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5" yWindow="-15" windowWidth="8430" windowHeight="8985" tabRatio="865" activeTab="8"/>
  </bookViews>
  <sheets>
    <sheet name="GK" sheetId="61" r:id="rId1"/>
    <sheet name="MP" sheetId="62" r:id="rId2"/>
    <sheet name="unos" sheetId="7" r:id="rId3"/>
    <sheet name="UNOS_POREZNI BILANS" sheetId="44" r:id="rId4"/>
    <sheet name="UNOS1" sheetId="43" r:id="rId5"/>
    <sheet name="UNOS-INV01" sheetId="22" r:id="rId6"/>
    <sheet name="biljeske" sheetId="63" r:id="rId7"/>
    <sheet name="bilans-stanja" sheetId="55" r:id="rId8"/>
    <sheet name="bilans-uspjeha" sheetId="56" r:id="rId9"/>
    <sheet name="PROM.KAP1." sheetId="42" r:id="rId10"/>
    <sheet name="PROM.KAP2." sheetId="41" r:id="rId11"/>
    <sheet name="got.tok_ind" sheetId="40" r:id="rId12"/>
    <sheet name="pos.podaci" sheetId="10" r:id="rId13"/>
    <sheet name="STAT.ANEX 1" sheetId="12" r:id="rId14"/>
    <sheet name="Obrazac_ANEKS" sheetId="64" r:id="rId15"/>
    <sheet name="INV01-A" sheetId="23" r:id="rId16"/>
    <sheet name="INV01-B" sheetId="36" r:id="rId17"/>
    <sheet name="INV01-C" sheetId="24" r:id="rId18"/>
    <sheet name="obr.tz-2" sheetId="15" r:id="rId19"/>
    <sheet name="Obrazac_ZS" sheetId="35" r:id="rId20"/>
    <sheet name="obr.OVN" sheetId="3" r:id="rId21"/>
    <sheet name="obr.DOP.KOMORAMA" sheetId="14" r:id="rId22"/>
    <sheet name="obrazac.ONŠ" sheetId="27" r:id="rId23"/>
    <sheet name="Porezna prijava" sheetId="26" r:id="rId24"/>
    <sheet name="porezni bilans" sheetId="16" r:id="rId25"/>
    <sheet name="IZJAVA" sheetId="52" r:id="rId26"/>
    <sheet name="Obrazac GU-DOB" sheetId="48" r:id="rId27"/>
    <sheet name="Obrazac IZ-DOB" sheetId="47" r:id="rId28"/>
    <sheet name="PREGLED" sheetId="51" r:id="rId29"/>
    <sheet name="PRIJAVA ULOGA" sheetId="50" r:id="rId30"/>
    <sheet name="OBR.RAZVRSTAVANJA" sheetId="54" r:id="rId31"/>
    <sheet name="odl.rasp.dobiti" sheetId="58" r:id="rId32"/>
    <sheet name="odl.pokr.gubitka" sheetId="59" r:id="rId33"/>
    <sheet name="god.iz.posl" sheetId="60" r:id="rId34"/>
    <sheet name="odl.utvr.izvj" sheetId="57" r:id="rId35"/>
    <sheet name="DOPIS" sheetId="34" r:id="rId36"/>
    <sheet name="Obr.From P-OD" sheetId="49" r:id="rId37"/>
  </sheets>
  <definedNames>
    <definedName name="_xlnm._FilterDatabase" localSheetId="2" hidden="1">unos!$A$2:$E$420</definedName>
    <definedName name="AOPBB">GK!$C$10:$C$200</definedName>
    <definedName name="AOPZ5">GK!$C$485:$C$486</definedName>
    <definedName name="AOPZ5SK">GK!$C$581:$C$582</definedName>
    <definedName name="AOPZ6">GK!$C$490:$C$491</definedName>
    <definedName name="AOPZ6SK">GK!$C$586:$C$587</definedName>
    <definedName name="BrutoBilans">GK!$A$9:$M$201</definedName>
    <definedName name="BrutoBilansSK">GK!$A$495:$M$576</definedName>
    <definedName name="Duguje">GK!$E$10:$E$200</definedName>
    <definedName name="DugujePS">GK!$H$10:$H$200</definedName>
    <definedName name="DugujeSk">GK!$E$496:$E$576</definedName>
    <definedName name="DugujeSkPS">GK!$H$496:$H$576</definedName>
    <definedName name="DugujeSkTP">GK!$K$496:$K$576</definedName>
    <definedName name="DugujeTP">GK!$K$10:$K$200</definedName>
    <definedName name="DugujeZ5">GK!$E$485:$E$486</definedName>
    <definedName name="DugujeZ5SK">GK!$E$581:$E$582</definedName>
    <definedName name="DugujeZ6">GK!$E$490:$E$491</definedName>
    <definedName name="DugujeZ6SK">GK!$E$586:$E$587</definedName>
    <definedName name="FirmaAdresa">MP!$B$4</definedName>
    <definedName name="FirmaBanka1">MP!$B$21</definedName>
    <definedName name="FirmaBanka2">MP!$B$23</definedName>
    <definedName name="FirmaBanka3">MP!$B$25</definedName>
    <definedName name="FirmaDirekor">MP!$B$13</definedName>
    <definedName name="FirmaDjeNaziv">MP!$B$12</definedName>
    <definedName name="FirmaDjeSifra">MP!$B$11</definedName>
    <definedName name="FirmaFax">MP!$B$20</definedName>
    <definedName name="FirmaID">MP!$B$8</definedName>
    <definedName name="FirmaJMBG">MP!$B$14</definedName>
    <definedName name="FirmaNaziv">MP!$B$3</definedName>
    <definedName name="FirmaOpcina">MP!$B$7</definedName>
    <definedName name="FirmaPDV">MP!$B$9</definedName>
    <definedName name="FirmaPTT">MP!$B$6</definedName>
    <definedName name="FirmaRacun1">MP!$B$22</definedName>
    <definedName name="FirmaRacun2">MP!$B$24</definedName>
    <definedName name="FirmaRacun3">MP!$B$26</definedName>
    <definedName name="FirmaRegistracija">MP!$B$17</definedName>
    <definedName name="FirmaRegistracijaSud">MP!$B$18</definedName>
    <definedName name="FirmaSjediste">MP!$B$5</definedName>
    <definedName name="FirmaTelefon">MP!$B$19</definedName>
    <definedName name="FirmaZastupnik">MP!$B$15</definedName>
    <definedName name="FirmaZastupnikAdresa">MP!$B$16</definedName>
    <definedName name="Grupa1">GK!$A$206:$M$213</definedName>
    <definedName name="Grupa2">GK!$A$218:$M$252</definedName>
    <definedName name="Grupa3">GK!$A$257:$M$336</definedName>
    <definedName name="Grupa4">GK!$A$341:$M$480</definedName>
    <definedName name="KontoSk">GK!$A$496:$A$576</definedName>
    <definedName name="KontoZ5">GK!$A$485:$A$486</definedName>
    <definedName name="KontoZ5SK">GK!$A$581:$A$582</definedName>
    <definedName name="KontoZ6">GK!$A$490:$A$491</definedName>
    <definedName name="KontoZ6SK">GK!$A$586:$A$587</definedName>
    <definedName name="Nalog5">GK!$A$485:$M$485</definedName>
    <definedName name="Nalog5SK">GK!$A$581:$M$581</definedName>
    <definedName name="Nalog6">GK!$A$490:$M$490</definedName>
    <definedName name="Nalog6SK">GK!$A$586:$M$586</definedName>
    <definedName name="ObracunDoDatuma">MP!$B$39</definedName>
    <definedName name="ObracunGodina">MP!$B$40</definedName>
    <definedName name="ObracunOdDatuma">MP!$B$38</definedName>
    <definedName name="ObracunPredaja">MP!$B$41</definedName>
    <definedName name="Potrazuje">GK!$F$10:$F$200</definedName>
    <definedName name="PotrazujePS">GK!$I$10:$I$200</definedName>
    <definedName name="PotrazujeSk">GK!$F$496:$F$576</definedName>
    <definedName name="PotrazujeSkPS">GK!$I$496:$I$576</definedName>
    <definedName name="PotrazujeSkTP">GK!$L$496:$L$576</definedName>
    <definedName name="PotrazujeTP">GK!$L$10:$L$200</definedName>
    <definedName name="PotrazujeZ5">GK!$F$485:$F$486</definedName>
    <definedName name="PotrazujeZ5SK">GK!$F$581:$F$582</definedName>
    <definedName name="PotrazujeZ6">GK!$F$490:$F$491</definedName>
    <definedName name="PotrazujeZ6SK">GK!$F$586:$F$587</definedName>
    <definedName name="RacunovodjaAdresa">MP!$B$31</definedName>
    <definedName name="RacunovodjaID">MP!$B$33</definedName>
    <definedName name="RacunovodjaIme">MP!$B$30</definedName>
    <definedName name="RacunovodjaLicenca">MP!$B$32</definedName>
    <definedName name="RacunovodjaTelefon">MP!$B$34</definedName>
    <definedName name="Saldo">GK!$G$10:$G$200</definedName>
    <definedName name="SaldoPS">GK!$J$10:$J$200</definedName>
    <definedName name="SaldoSk">GK!$G$496:$G$576</definedName>
    <definedName name="SaldoSkPS">GK!$J$496:$J$576</definedName>
    <definedName name="SaldoSkTP">GK!$M$496:$M$576</definedName>
    <definedName name="SaldoTP">GK!$M$10:$M$200</definedName>
    <definedName name="SaldoZ5">GK!$G$485:$G$486</definedName>
    <definedName name="SaldoZ5SK">GK!$G$581:$G$582</definedName>
    <definedName name="SaldoZ6">GK!$G$490:$G$491</definedName>
    <definedName name="SaldoZ6SK">GK!$G$586:$G$587</definedName>
  </definedNames>
  <calcPr calcId="125725" fullPrecision="0"/>
</workbook>
</file>

<file path=xl/calcChain.xml><?xml version="1.0" encoding="utf-8"?>
<calcChain xmlns="http://schemas.openxmlformats.org/spreadsheetml/2006/main">
  <c r="AB20" i="56"/>
  <c r="AI20"/>
  <c r="AI20" i="64"/>
  <c r="S20"/>
  <c r="F235" i="7"/>
  <c r="F234"/>
  <c r="E58" i="43"/>
  <c r="E57"/>
  <c r="E56"/>
  <c r="E55"/>
  <c r="E53"/>
  <c r="C235" i="7"/>
  <c r="C234"/>
  <c r="Q31" i="50"/>
  <c r="V31" s="1"/>
  <c r="Q32"/>
  <c r="V32" s="1"/>
  <c r="Q30"/>
  <c r="V30" s="1"/>
  <c r="L7" i="22"/>
  <c r="AF20" i="12"/>
  <c r="AG20"/>
  <c r="AH20"/>
  <c r="AE20"/>
  <c r="F14"/>
  <c r="B19" i="60" l="1"/>
  <c r="A18" i="57"/>
  <c r="X28" i="54" l="1"/>
  <c r="G74" i="43"/>
  <c r="AH39" i="64" s="1"/>
  <c r="G73" i="43"/>
  <c r="AA73" i="12" s="1"/>
  <c r="F74" i="43"/>
  <c r="AR39" i="64" s="1"/>
  <c r="F73" i="43"/>
  <c r="AR38" i="64" s="1"/>
  <c r="G72" i="43"/>
  <c r="AA72" i="12" s="1"/>
  <c r="F72" i="43"/>
  <c r="AR37" i="64" s="1"/>
  <c r="G71" i="43"/>
  <c r="AH36" i="64" s="1"/>
  <c r="F71" i="43"/>
  <c r="AR36" i="64" s="1"/>
  <c r="X135" i="12"/>
  <c r="X134"/>
  <c r="AA132"/>
  <c r="AA131"/>
  <c r="AA130"/>
  <c r="AA129"/>
  <c r="AA128"/>
  <c r="AA106"/>
  <c r="AA102"/>
  <c r="AA76"/>
  <c r="AA39"/>
  <c r="AA38"/>
  <c r="AH18"/>
  <c r="AG18"/>
  <c r="AF18"/>
  <c r="AE18"/>
  <c r="AD18"/>
  <c r="Z16"/>
  <c r="F16"/>
  <c r="W14"/>
  <c r="AH12"/>
  <c r="AG12"/>
  <c r="AF12"/>
  <c r="AE12"/>
  <c r="AD12"/>
  <c r="AC12"/>
  <c r="AB12"/>
  <c r="AA12"/>
  <c r="Z12"/>
  <c r="Y12"/>
  <c r="X12"/>
  <c r="W12"/>
  <c r="V12"/>
  <c r="K10"/>
  <c r="AC19" i="23"/>
  <c r="AD19"/>
  <c r="AE19"/>
  <c r="AB19"/>
  <c r="D13"/>
  <c r="W15"/>
  <c r="D15"/>
  <c r="T13"/>
  <c r="AR71" i="64"/>
  <c r="AH71"/>
  <c r="AH70"/>
  <c r="AH69"/>
  <c r="AR70"/>
  <c r="AR69"/>
  <c r="AR68"/>
  <c r="AH68"/>
  <c r="AR67"/>
  <c r="AH67"/>
  <c r="AR65"/>
  <c r="AR59"/>
  <c r="AR60"/>
  <c r="AR61"/>
  <c r="AR62"/>
  <c r="AR63"/>
  <c r="AR64"/>
  <c r="AR58"/>
  <c r="AR49"/>
  <c r="AR50"/>
  <c r="AR51"/>
  <c r="AR52"/>
  <c r="AR53"/>
  <c r="AR54"/>
  <c r="AR55"/>
  <c r="AR56"/>
  <c r="AR48"/>
  <c r="AR46"/>
  <c r="AH45"/>
  <c r="AR45"/>
  <c r="AR43"/>
  <c r="AR35"/>
  <c r="AR34"/>
  <c r="AR33"/>
  <c r="AR32"/>
  <c r="AR31"/>
  <c r="AR30"/>
  <c r="AR29"/>
  <c r="AR28"/>
  <c r="AH29"/>
  <c r="AH28"/>
  <c r="AR26"/>
  <c r="F81" i="43"/>
  <c r="F77"/>
  <c r="F65"/>
  <c r="S76" i="64"/>
  <c r="AR76"/>
  <c r="T75"/>
  <c r="D74"/>
  <c r="D73"/>
  <c r="AB20"/>
  <c r="AZ15"/>
  <c r="AY15"/>
  <c r="AX15"/>
  <c r="AW15"/>
  <c r="AV15"/>
  <c r="AU15"/>
  <c r="AT15"/>
  <c r="AS15"/>
  <c r="AR15"/>
  <c r="AQ15"/>
  <c r="AP15"/>
  <c r="AO15"/>
  <c r="AN15"/>
  <c r="AM15"/>
  <c r="AL15"/>
  <c r="AK15"/>
  <c r="AH15"/>
  <c r="AG15"/>
  <c r="AF15"/>
  <c r="AE15"/>
  <c r="AD15"/>
  <c r="AC15"/>
  <c r="AB15"/>
  <c r="AA15"/>
  <c r="Z15"/>
  <c r="Y15"/>
  <c r="X15"/>
  <c r="W15"/>
  <c r="V15"/>
  <c r="U15"/>
  <c r="T15"/>
  <c r="S15"/>
  <c r="P15"/>
  <c r="O15"/>
  <c r="N15"/>
  <c r="M15"/>
  <c r="L15"/>
  <c r="K15"/>
  <c r="J15"/>
  <c r="I15"/>
  <c r="H15"/>
  <c r="G15"/>
  <c r="F15"/>
  <c r="E15"/>
  <c r="D15"/>
  <c r="C15"/>
  <c r="B15"/>
  <c r="A15"/>
  <c r="AK13"/>
  <c r="S13"/>
  <c r="A13"/>
  <c r="BA9"/>
  <c r="AZ9"/>
  <c r="AY9"/>
  <c r="BA7"/>
  <c r="AZ7"/>
  <c r="AY7"/>
  <c r="AX7"/>
  <c r="AW7"/>
  <c r="A6"/>
  <c r="BA5"/>
  <c r="AZ5"/>
  <c r="AY5"/>
  <c r="AX5"/>
  <c r="AW5"/>
  <c r="AV5"/>
  <c r="AU5"/>
  <c r="AT5"/>
  <c r="AS5"/>
  <c r="AR5"/>
  <c r="AQ5"/>
  <c r="AP5"/>
  <c r="A4"/>
  <c r="BA3"/>
  <c r="AZ3"/>
  <c r="AY3"/>
  <c r="AX3"/>
  <c r="AW3"/>
  <c r="AV3"/>
  <c r="AU3"/>
  <c r="AT3"/>
  <c r="AS3"/>
  <c r="AR3"/>
  <c r="AQ3"/>
  <c r="AP3"/>
  <c r="AO3"/>
  <c r="A2"/>
  <c r="W237" i="63"/>
  <c r="W236"/>
  <c r="W229"/>
  <c r="W230"/>
  <c r="W231"/>
  <c r="W232"/>
  <c r="W233"/>
  <c r="W234"/>
  <c r="W235"/>
  <c r="W228"/>
  <c r="E237"/>
  <c r="E236"/>
  <c r="E229"/>
  <c r="E230"/>
  <c r="E231"/>
  <c r="E232"/>
  <c r="E233"/>
  <c r="E234"/>
  <c r="E235"/>
  <c r="E228"/>
  <c r="A237"/>
  <c r="A236"/>
  <c r="A229"/>
  <c r="A230"/>
  <c r="A231"/>
  <c r="A232"/>
  <c r="A233"/>
  <c r="A234"/>
  <c r="A235"/>
  <c r="A228"/>
  <c r="W193"/>
  <c r="W194"/>
  <c r="W195"/>
  <c r="W196"/>
  <c r="W197"/>
  <c r="W198"/>
  <c r="W199"/>
  <c r="W200"/>
  <c r="W201"/>
  <c r="W192"/>
  <c r="E193"/>
  <c r="E194"/>
  <c r="E195"/>
  <c r="E196"/>
  <c r="E197"/>
  <c r="E198"/>
  <c r="E199"/>
  <c r="E200"/>
  <c r="E201"/>
  <c r="E192"/>
  <c r="A193"/>
  <c r="A194"/>
  <c r="A195"/>
  <c r="A196"/>
  <c r="A197"/>
  <c r="A198"/>
  <c r="A199"/>
  <c r="A200"/>
  <c r="A201"/>
  <c r="A192"/>
  <c r="W166"/>
  <c r="W165"/>
  <c r="W164"/>
  <c r="W162"/>
  <c r="W163"/>
  <c r="W161"/>
  <c r="E166"/>
  <c r="E165"/>
  <c r="E164"/>
  <c r="E162"/>
  <c r="E163"/>
  <c r="E161"/>
  <c r="A166"/>
  <c r="A165"/>
  <c r="A164"/>
  <c r="A163"/>
  <c r="A162"/>
  <c r="A161"/>
  <c r="S1071"/>
  <c r="R1069"/>
  <c r="AI1070"/>
  <c r="F1071"/>
  <c r="F1069"/>
  <c r="W24"/>
  <c r="E894"/>
  <c r="E893"/>
  <c r="E892"/>
  <c r="E891"/>
  <c r="E890"/>
  <c r="E889"/>
  <c r="E888"/>
  <c r="A894"/>
  <c r="A893"/>
  <c r="A889"/>
  <c r="A890"/>
  <c r="A891"/>
  <c r="A892"/>
  <c r="A888"/>
  <c r="E873"/>
  <c r="E874"/>
  <c r="E875"/>
  <c r="E876"/>
  <c r="E877"/>
  <c r="E872"/>
  <c r="A873"/>
  <c r="A874"/>
  <c r="A875"/>
  <c r="A876"/>
  <c r="A877"/>
  <c r="A872"/>
  <c r="E855"/>
  <c r="E856"/>
  <c r="E857"/>
  <c r="E858"/>
  <c r="E859"/>
  <c r="E860"/>
  <c r="E861"/>
  <c r="E854"/>
  <c r="A855"/>
  <c r="A856"/>
  <c r="A857"/>
  <c r="A858"/>
  <c r="A859"/>
  <c r="A860"/>
  <c r="A861"/>
  <c r="A854"/>
  <c r="E843"/>
  <c r="E842"/>
  <c r="E841"/>
  <c r="E840"/>
  <c r="E839"/>
  <c r="E838"/>
  <c r="E837"/>
  <c r="E836"/>
  <c r="E835"/>
  <c r="E834"/>
  <c r="A843"/>
  <c r="A842"/>
  <c r="A835"/>
  <c r="A836"/>
  <c r="A837"/>
  <c r="A838"/>
  <c r="A839"/>
  <c r="A840"/>
  <c r="A841"/>
  <c r="A834"/>
  <c r="E823"/>
  <c r="E822"/>
  <c r="E821"/>
  <c r="E820"/>
  <c r="E819"/>
  <c r="E818"/>
  <c r="E817"/>
  <c r="E816"/>
  <c r="E815"/>
  <c r="A823"/>
  <c r="A822"/>
  <c r="A821"/>
  <c r="A820"/>
  <c r="A819"/>
  <c r="A818"/>
  <c r="A817"/>
  <c r="A816"/>
  <c r="A815"/>
  <c r="E801"/>
  <c r="E802"/>
  <c r="E803"/>
  <c r="E804"/>
  <c r="E800"/>
  <c r="A801"/>
  <c r="A802"/>
  <c r="A803"/>
  <c r="A804"/>
  <c r="A800"/>
  <c r="E786"/>
  <c r="E787"/>
  <c r="E788"/>
  <c r="E789"/>
  <c r="E785"/>
  <c r="A786"/>
  <c r="A787"/>
  <c r="A788"/>
  <c r="A789"/>
  <c r="A785"/>
  <c r="E768"/>
  <c r="E769"/>
  <c r="E770"/>
  <c r="E771"/>
  <c r="E772"/>
  <c r="E773"/>
  <c r="E774"/>
  <c r="E767"/>
  <c r="A768"/>
  <c r="A769"/>
  <c r="A770"/>
  <c r="A771"/>
  <c r="A772"/>
  <c r="A773"/>
  <c r="A774"/>
  <c r="A767"/>
  <c r="E749"/>
  <c r="E750"/>
  <c r="E751"/>
  <c r="E752"/>
  <c r="E753"/>
  <c r="E754"/>
  <c r="E755"/>
  <c r="E756"/>
  <c r="E748"/>
  <c r="A749"/>
  <c r="A750"/>
  <c r="A751"/>
  <c r="A752"/>
  <c r="A753"/>
  <c r="A754"/>
  <c r="A755"/>
  <c r="A756"/>
  <c r="A748"/>
  <c r="E737"/>
  <c r="E736"/>
  <c r="E735"/>
  <c r="E734"/>
  <c r="E733"/>
  <c r="E732"/>
  <c r="E731"/>
  <c r="E730"/>
  <c r="E729"/>
  <c r="E728"/>
  <c r="A737"/>
  <c r="A736"/>
  <c r="A729"/>
  <c r="A730"/>
  <c r="A731"/>
  <c r="A732"/>
  <c r="A733"/>
  <c r="A734"/>
  <c r="A735"/>
  <c r="A728"/>
  <c r="E715"/>
  <c r="A715"/>
  <c r="E696"/>
  <c r="E697"/>
  <c r="E698"/>
  <c r="E705"/>
  <c r="E706"/>
  <c r="E707"/>
  <c r="E708"/>
  <c r="E695"/>
  <c r="A696"/>
  <c r="A697"/>
  <c r="A698"/>
  <c r="A705"/>
  <c r="A706"/>
  <c r="A707"/>
  <c r="A708"/>
  <c r="A695"/>
  <c r="E685"/>
  <c r="E686"/>
  <c r="E687"/>
  <c r="E688"/>
  <c r="E684"/>
  <c r="A685"/>
  <c r="A686"/>
  <c r="A687"/>
  <c r="A688"/>
  <c r="A684"/>
  <c r="E676"/>
  <c r="E677"/>
  <c r="E675"/>
  <c r="A676"/>
  <c r="A677"/>
  <c r="A675"/>
  <c r="E667"/>
  <c r="E668"/>
  <c r="E666"/>
  <c r="A667"/>
  <c r="A668"/>
  <c r="A666"/>
  <c r="E655"/>
  <c r="E656"/>
  <c r="E657"/>
  <c r="E658"/>
  <c r="E659"/>
  <c r="E654"/>
  <c r="A655"/>
  <c r="A656"/>
  <c r="A657"/>
  <c r="A658"/>
  <c r="A659"/>
  <c r="A654"/>
  <c r="E636"/>
  <c r="E637"/>
  <c r="E638"/>
  <c r="E639"/>
  <c r="E640"/>
  <c r="E635"/>
  <c r="A636"/>
  <c r="A637"/>
  <c r="A638"/>
  <c r="A639"/>
  <c r="A640"/>
  <c r="A635"/>
  <c r="E617"/>
  <c r="E618"/>
  <c r="E619"/>
  <c r="E620"/>
  <c r="E621"/>
  <c r="E622"/>
  <c r="E623"/>
  <c r="E624"/>
  <c r="E616"/>
  <c r="A624"/>
  <c r="A623"/>
  <c r="A617"/>
  <c r="A618"/>
  <c r="A619"/>
  <c r="A620"/>
  <c r="A621"/>
  <c r="A622"/>
  <c r="A616"/>
  <c r="E605"/>
  <c r="E604"/>
  <c r="E603"/>
  <c r="E602"/>
  <c r="E601"/>
  <c r="E600"/>
  <c r="E599"/>
  <c r="E598"/>
  <c r="E597"/>
  <c r="A605"/>
  <c r="A604"/>
  <c r="A598"/>
  <c r="A599"/>
  <c r="A600"/>
  <c r="A601"/>
  <c r="A602"/>
  <c r="A603"/>
  <c r="A597"/>
  <c r="E580"/>
  <c r="E581"/>
  <c r="E582"/>
  <c r="E583"/>
  <c r="E584"/>
  <c r="E585"/>
  <c r="E586"/>
  <c r="E579"/>
  <c r="A580"/>
  <c r="A581"/>
  <c r="A582"/>
  <c r="A583"/>
  <c r="A584"/>
  <c r="A585"/>
  <c r="A586"/>
  <c r="A579"/>
  <c r="E568"/>
  <c r="E567"/>
  <c r="E566"/>
  <c r="E564"/>
  <c r="E565"/>
  <c r="E563"/>
  <c r="A568"/>
  <c r="A567"/>
  <c r="A566"/>
  <c r="A565"/>
  <c r="A564"/>
  <c r="A563"/>
  <c r="E550"/>
  <c r="E551"/>
  <c r="E552"/>
  <c r="E549"/>
  <c r="A552"/>
  <c r="A550"/>
  <c r="A551"/>
  <c r="A549"/>
  <c r="E529"/>
  <c r="E530"/>
  <c r="E531"/>
  <c r="E532"/>
  <c r="E533"/>
  <c r="E534"/>
  <c r="E535"/>
  <c r="E536"/>
  <c r="E537"/>
  <c r="E528"/>
  <c r="A529"/>
  <c r="A530"/>
  <c r="A531"/>
  <c r="A532"/>
  <c r="A533"/>
  <c r="A534"/>
  <c r="A535"/>
  <c r="A536"/>
  <c r="A537"/>
  <c r="A528"/>
  <c r="AA518"/>
  <c r="T518"/>
  <c r="C500"/>
  <c r="C501"/>
  <c r="C499"/>
  <c r="A500"/>
  <c r="A501"/>
  <c r="A499"/>
  <c r="AA502"/>
  <c r="T502"/>
  <c r="C482"/>
  <c r="C483"/>
  <c r="C484"/>
  <c r="C481"/>
  <c r="A482"/>
  <c r="A483"/>
  <c r="A484"/>
  <c r="A481"/>
  <c r="C473"/>
  <c r="C474"/>
  <c r="C475"/>
  <c r="C472"/>
  <c r="A473"/>
  <c r="A474"/>
  <c r="A475"/>
  <c r="A472"/>
  <c r="AA485"/>
  <c r="T485"/>
  <c r="AA476"/>
  <c r="T476"/>
  <c r="C457"/>
  <c r="C451"/>
  <c r="C452"/>
  <c r="C453"/>
  <c r="C454"/>
  <c r="C455"/>
  <c r="C456"/>
  <c r="C450"/>
  <c r="A457"/>
  <c r="A451"/>
  <c r="A452"/>
  <c r="A453"/>
  <c r="A454"/>
  <c r="A455"/>
  <c r="A456"/>
  <c r="A450"/>
  <c r="C443"/>
  <c r="C444"/>
  <c r="C442"/>
  <c r="C438"/>
  <c r="C439"/>
  <c r="C440"/>
  <c r="C441"/>
  <c r="C437"/>
  <c r="A443"/>
  <c r="A444"/>
  <c r="A442"/>
  <c r="A438"/>
  <c r="A439"/>
  <c r="A440"/>
  <c r="A441"/>
  <c r="A437"/>
  <c r="AA458"/>
  <c r="T458"/>
  <c r="AA445"/>
  <c r="T445"/>
  <c r="C421"/>
  <c r="C422"/>
  <c r="C420"/>
  <c r="A421"/>
  <c r="A422"/>
  <c r="A420"/>
  <c r="C413"/>
  <c r="C414"/>
  <c r="C412"/>
  <c r="A413"/>
  <c r="A414"/>
  <c r="A412"/>
  <c r="AA423"/>
  <c r="T423"/>
  <c r="AA415"/>
  <c r="T415"/>
  <c r="C394"/>
  <c r="C395"/>
  <c r="C396"/>
  <c r="C397"/>
  <c r="C393"/>
  <c r="A394"/>
  <c r="A395"/>
  <c r="A396"/>
  <c r="A397"/>
  <c r="A393"/>
  <c r="C384"/>
  <c r="C385"/>
  <c r="C386"/>
  <c r="C387"/>
  <c r="C383"/>
  <c r="A384"/>
  <c r="A385"/>
  <c r="A386"/>
  <c r="A387"/>
  <c r="A383"/>
  <c r="AA398"/>
  <c r="T398"/>
  <c r="AA388"/>
  <c r="T388"/>
  <c r="C364"/>
  <c r="C365"/>
  <c r="C366"/>
  <c r="C367"/>
  <c r="C368"/>
  <c r="C363"/>
  <c r="A364"/>
  <c r="A365"/>
  <c r="A366"/>
  <c r="A367"/>
  <c r="A368"/>
  <c r="A363"/>
  <c r="C353"/>
  <c r="C354"/>
  <c r="C355"/>
  <c r="C356"/>
  <c r="C357"/>
  <c r="C352"/>
  <c r="A353"/>
  <c r="A354"/>
  <c r="A355"/>
  <c r="A356"/>
  <c r="A357"/>
  <c r="A352"/>
  <c r="AA369"/>
  <c r="T369"/>
  <c r="AA358"/>
  <c r="T358"/>
  <c r="C330"/>
  <c r="C331"/>
  <c r="C332"/>
  <c r="C333"/>
  <c r="C334"/>
  <c r="C335"/>
  <c r="C336"/>
  <c r="C329"/>
  <c r="A336"/>
  <c r="A335"/>
  <c r="A330"/>
  <c r="A331"/>
  <c r="A332"/>
  <c r="A333"/>
  <c r="A334"/>
  <c r="A329"/>
  <c r="C296"/>
  <c r="C297"/>
  <c r="C298"/>
  <c r="C299"/>
  <c r="C300"/>
  <c r="C301"/>
  <c r="C295"/>
  <c r="A296"/>
  <c r="A297"/>
  <c r="A298"/>
  <c r="A299"/>
  <c r="A300"/>
  <c r="A301"/>
  <c r="A295"/>
  <c r="C317"/>
  <c r="C318"/>
  <c r="C319"/>
  <c r="C320"/>
  <c r="C321"/>
  <c r="C322"/>
  <c r="C323"/>
  <c r="C316"/>
  <c r="A323"/>
  <c r="A322"/>
  <c r="A317"/>
  <c r="A318"/>
  <c r="A319"/>
  <c r="A320"/>
  <c r="A321"/>
  <c r="A316"/>
  <c r="AA337"/>
  <c r="T337"/>
  <c r="AA324"/>
  <c r="T324"/>
  <c r="AA302"/>
  <c r="T302"/>
  <c r="T291"/>
  <c r="AA291"/>
  <c r="C285"/>
  <c r="C286"/>
  <c r="C287"/>
  <c r="C288"/>
  <c r="C289"/>
  <c r="C290"/>
  <c r="C284"/>
  <c r="A285"/>
  <c r="A286"/>
  <c r="A287"/>
  <c r="A288"/>
  <c r="A289"/>
  <c r="A290"/>
  <c r="A284"/>
  <c r="W269"/>
  <c r="W270"/>
  <c r="W271"/>
  <c r="W268"/>
  <c r="E269"/>
  <c r="E270"/>
  <c r="E271"/>
  <c r="E268"/>
  <c r="A269"/>
  <c r="A270"/>
  <c r="A271"/>
  <c r="A268"/>
  <c r="W249"/>
  <c r="W250"/>
  <c r="W251"/>
  <c r="W252"/>
  <c r="W253"/>
  <c r="W254"/>
  <c r="W255"/>
  <c r="W256"/>
  <c r="W248"/>
  <c r="E249"/>
  <c r="E250"/>
  <c r="E251"/>
  <c r="E252"/>
  <c r="E253"/>
  <c r="E254"/>
  <c r="E255"/>
  <c r="E256"/>
  <c r="E248"/>
  <c r="A249"/>
  <c r="A250"/>
  <c r="A251"/>
  <c r="A252"/>
  <c r="A253"/>
  <c r="A254"/>
  <c r="A255"/>
  <c r="A256"/>
  <c r="A248"/>
  <c r="W218"/>
  <c r="W217"/>
  <c r="W216"/>
  <c r="W215"/>
  <c r="W214"/>
  <c r="W213"/>
  <c r="W212"/>
  <c r="W211"/>
  <c r="W210"/>
  <c r="W209"/>
  <c r="E218"/>
  <c r="E217"/>
  <c r="E216"/>
  <c r="E215"/>
  <c r="E214"/>
  <c r="E213"/>
  <c r="E212"/>
  <c r="E211"/>
  <c r="E210"/>
  <c r="E209"/>
  <c r="A218"/>
  <c r="A217"/>
  <c r="A216"/>
  <c r="A215"/>
  <c r="A214"/>
  <c r="A213"/>
  <c r="A212"/>
  <c r="A211"/>
  <c r="A210"/>
  <c r="A209"/>
  <c r="W179"/>
  <c r="W180"/>
  <c r="W181"/>
  <c r="W182"/>
  <c r="W178"/>
  <c r="E179"/>
  <c r="E180"/>
  <c r="E181"/>
  <c r="E182"/>
  <c r="E178"/>
  <c r="A179"/>
  <c r="A180"/>
  <c r="A181"/>
  <c r="A182"/>
  <c r="A178"/>
  <c r="W143"/>
  <c r="W144"/>
  <c r="W145"/>
  <c r="W146"/>
  <c r="W147"/>
  <c r="W148"/>
  <c r="W149"/>
  <c r="W142"/>
  <c r="E143"/>
  <c r="E144"/>
  <c r="E145"/>
  <c r="E146"/>
  <c r="E147"/>
  <c r="E148"/>
  <c r="E149"/>
  <c r="E142"/>
  <c r="A143"/>
  <c r="A144"/>
  <c r="A145"/>
  <c r="A146"/>
  <c r="A147"/>
  <c r="A148"/>
  <c r="A149"/>
  <c r="A142"/>
  <c r="W125"/>
  <c r="W126"/>
  <c r="W127"/>
  <c r="W128"/>
  <c r="W129"/>
  <c r="W130"/>
  <c r="W124"/>
  <c r="E125"/>
  <c r="E126"/>
  <c r="E127"/>
  <c r="E128"/>
  <c r="E129"/>
  <c r="E130"/>
  <c r="E124"/>
  <c r="A125"/>
  <c r="A126"/>
  <c r="A127"/>
  <c r="A128"/>
  <c r="A129"/>
  <c r="A130"/>
  <c r="A124"/>
  <c r="W111"/>
  <c r="W112"/>
  <c r="W110"/>
  <c r="E111"/>
  <c r="E112"/>
  <c r="E110"/>
  <c r="A111"/>
  <c r="A112"/>
  <c r="A110"/>
  <c r="W91"/>
  <c r="W92"/>
  <c r="W93"/>
  <c r="W94"/>
  <c r="W95"/>
  <c r="W96"/>
  <c r="W97"/>
  <c r="W98"/>
  <c r="W90"/>
  <c r="E91"/>
  <c r="E92"/>
  <c r="E93"/>
  <c r="E94"/>
  <c r="E95"/>
  <c r="E96"/>
  <c r="E97"/>
  <c r="E98"/>
  <c r="E90"/>
  <c r="A91"/>
  <c r="A92"/>
  <c r="A93"/>
  <c r="A94"/>
  <c r="A95"/>
  <c r="A96"/>
  <c r="A97"/>
  <c r="A98"/>
  <c r="A90"/>
  <c r="W75"/>
  <c r="W76"/>
  <c r="W77"/>
  <c r="W78"/>
  <c r="W79"/>
  <c r="W74"/>
  <c r="E75"/>
  <c r="E76"/>
  <c r="E77"/>
  <c r="E78"/>
  <c r="E79"/>
  <c r="E74"/>
  <c r="A75"/>
  <c r="A76"/>
  <c r="A77"/>
  <c r="A78"/>
  <c r="A79"/>
  <c r="A74"/>
  <c r="W56"/>
  <c r="W57"/>
  <c r="W58"/>
  <c r="W59"/>
  <c r="W60"/>
  <c r="W61"/>
  <c r="W62"/>
  <c r="W63"/>
  <c r="W55"/>
  <c r="E56"/>
  <c r="E57"/>
  <c r="E58"/>
  <c r="E59"/>
  <c r="E60"/>
  <c r="E61"/>
  <c r="E62"/>
  <c r="E63"/>
  <c r="E55"/>
  <c r="A56"/>
  <c r="A57"/>
  <c r="A58"/>
  <c r="A59"/>
  <c r="A60"/>
  <c r="A61"/>
  <c r="A62"/>
  <c r="A63"/>
  <c r="A55"/>
  <c r="W33"/>
  <c r="W34"/>
  <c r="W35"/>
  <c r="W36"/>
  <c r="W37"/>
  <c r="W38"/>
  <c r="W32"/>
  <c r="E33"/>
  <c r="E34"/>
  <c r="E35"/>
  <c r="E36"/>
  <c r="E37"/>
  <c r="E38"/>
  <c r="E32"/>
  <c r="A33"/>
  <c r="A34"/>
  <c r="A35"/>
  <c r="A36"/>
  <c r="A37"/>
  <c r="A38"/>
  <c r="A32"/>
  <c r="W25"/>
  <c r="W26"/>
  <c r="W27"/>
  <c r="W28"/>
  <c r="W29"/>
  <c r="W30"/>
  <c r="W31"/>
  <c r="E30"/>
  <c r="E31"/>
  <c r="E25"/>
  <c r="E26"/>
  <c r="E27"/>
  <c r="E28"/>
  <c r="E29"/>
  <c r="E24"/>
  <c r="A25"/>
  <c r="A26"/>
  <c r="A27"/>
  <c r="A28"/>
  <c r="A29"/>
  <c r="A30"/>
  <c r="A31"/>
  <c r="A24"/>
  <c r="X13"/>
  <c r="U13"/>
  <c r="P13"/>
  <c r="W9"/>
  <c r="T9"/>
  <c r="P9"/>
  <c r="D6"/>
  <c r="A4"/>
  <c r="A3"/>
  <c r="A2"/>
  <c r="AH166" i="56"/>
  <c r="AH167"/>
  <c r="AH168"/>
  <c r="AH169"/>
  <c r="AH170"/>
  <c r="AH171"/>
  <c r="AH173"/>
  <c r="AH174"/>
  <c r="AH175"/>
  <c r="AH176"/>
  <c r="AH177"/>
  <c r="AH144"/>
  <c r="AH145"/>
  <c r="G151" i="7"/>
  <c r="G154"/>
  <c r="F154"/>
  <c r="G157"/>
  <c r="F157"/>
  <c r="BB14" i="10"/>
  <c r="BA14"/>
  <c r="AZ14"/>
  <c r="AY14"/>
  <c r="AX14"/>
  <c r="AW14"/>
  <c r="AV14"/>
  <c r="AU14"/>
  <c r="AT14"/>
  <c r="AS14"/>
  <c r="AR14"/>
  <c r="AQ14"/>
  <c r="AP14"/>
  <c r="AO14"/>
  <c r="AN14"/>
  <c r="AM14"/>
  <c r="B5" i="48"/>
  <c r="B4" i="26"/>
  <c r="A504" i="7"/>
  <c r="A496"/>
  <c r="A493"/>
  <c r="A485"/>
  <c r="A482"/>
  <c r="AE116" i="12"/>
  <c r="AA116"/>
  <c r="AF169"/>
  <c r="AE169"/>
  <c r="AD169"/>
  <c r="AC169"/>
  <c r="AB169"/>
  <c r="AA169"/>
  <c r="Z169"/>
  <c r="N170"/>
  <c r="I169"/>
  <c r="H169"/>
  <c r="G169"/>
  <c r="F169"/>
  <c r="E169"/>
  <c r="D169"/>
  <c r="C169"/>
  <c r="B169"/>
  <c r="A169"/>
  <c r="P7"/>
  <c r="G56" i="7"/>
  <c r="AF55" i="63" s="1"/>
  <c r="G57" i="7"/>
  <c r="AF56" i="63" s="1"/>
  <c r="G58" i="7"/>
  <c r="AF57" i="63" s="1"/>
  <c r="AO57" s="1"/>
  <c r="G59" i="7"/>
  <c r="AF58" i="63" s="1"/>
  <c r="AO58" s="1"/>
  <c r="G60" i="7"/>
  <c r="AF59" i="63" s="1"/>
  <c r="AO59" s="1"/>
  <c r="G61" i="7"/>
  <c r="AF60" i="63" s="1"/>
  <c r="G62" i="7"/>
  <c r="AF61" i="63" s="1"/>
  <c r="AO61" s="1"/>
  <c r="G63" i="7"/>
  <c r="AF62" i="63" s="1"/>
  <c r="AO62" s="1"/>
  <c r="G64" i="7"/>
  <c r="AF63" i="63" s="1"/>
  <c r="AO63" s="1"/>
  <c r="G65" i="7"/>
  <c r="AF74" i="63" s="1"/>
  <c r="G66" i="7"/>
  <c r="AF75" i="63" s="1"/>
  <c r="AO75" s="1"/>
  <c r="G67" i="7"/>
  <c r="AH43" i="64" s="1"/>
  <c r="G68" i="7"/>
  <c r="AF77" i="63" s="1"/>
  <c r="G69" i="7"/>
  <c r="G70"/>
  <c r="AF79" i="63" s="1"/>
  <c r="AO79" s="1"/>
  <c r="G71" i="7"/>
  <c r="G72"/>
  <c r="AF91" i="63" s="1"/>
  <c r="G73" i="7"/>
  <c r="AA83" i="12" s="1"/>
  <c r="G74" i="7"/>
  <c r="AF93" i="63" s="1"/>
  <c r="AO93" s="1"/>
  <c r="G75" i="7"/>
  <c r="AH52" i="64" s="1"/>
  <c r="G76" i="7"/>
  <c r="AF95" i="63" s="1"/>
  <c r="AO95" s="1"/>
  <c r="G77" i="7"/>
  <c r="AF96" i="63" s="1"/>
  <c r="G78" i="7"/>
  <c r="AF97" i="63" s="1"/>
  <c r="AO97" s="1"/>
  <c r="G79" i="7"/>
  <c r="AF98" i="63" s="1"/>
  <c r="AO98" s="1"/>
  <c r="G80" i="7"/>
  <c r="AF110" i="63" s="1"/>
  <c r="G81" i="7"/>
  <c r="AF111" i="63" s="1"/>
  <c r="AO111" s="1"/>
  <c r="G82" i="7"/>
  <c r="AF112" i="63" s="1"/>
  <c r="AO112" s="1"/>
  <c r="G83" i="7"/>
  <c r="AF124" i="63" s="1"/>
  <c r="G84" i="7"/>
  <c r="AF125" i="63" s="1"/>
  <c r="G85" i="7"/>
  <c r="AF126" i="63" s="1"/>
  <c r="AO126" s="1"/>
  <c r="G86" i="7"/>
  <c r="AF127" i="63" s="1"/>
  <c r="AO127" s="1"/>
  <c r="G87" i="7"/>
  <c r="AF128" i="63" s="1"/>
  <c r="G88" i="7"/>
  <c r="AF129" i="63" s="1"/>
  <c r="G89" i="7"/>
  <c r="AF130" i="63" s="1"/>
  <c r="AO130" s="1"/>
  <c r="G90" i="7"/>
  <c r="AF142" i="63" s="1"/>
  <c r="G91" i="7"/>
  <c r="AA95" i="12" s="1"/>
  <c r="G92" i="7"/>
  <c r="AH60" i="64" s="1"/>
  <c r="G93" i="7"/>
  <c r="AF145" i="63" s="1"/>
  <c r="G94" i="7"/>
  <c r="AA98" i="12" s="1"/>
  <c r="G95" i="7"/>
  <c r="AF147" i="63" s="1"/>
  <c r="AO147" s="1"/>
  <c r="G96" i="7"/>
  <c r="AH64" i="64" s="1"/>
  <c r="G97" i="7"/>
  <c r="AF149" i="63" s="1"/>
  <c r="G98" i="7"/>
  <c r="AF178" i="63" s="1"/>
  <c r="G99" i="7"/>
  <c r="AH67" i="56" s="1"/>
  <c r="G100" i="7"/>
  <c r="G101"/>
  <c r="AF181" i="63" s="1"/>
  <c r="G102" i="7"/>
  <c r="AF182" i="63" s="1"/>
  <c r="AO182" s="1"/>
  <c r="G103" i="7"/>
  <c r="G104"/>
  <c r="AF210" i="63" s="1"/>
  <c r="G105" i="7"/>
  <c r="AF211" i="63" s="1"/>
  <c r="AO211" s="1"/>
  <c r="G106" i="7"/>
  <c r="AF212" i="63" s="1"/>
  <c r="AO212" s="1"/>
  <c r="G107" i="7"/>
  <c r="AH93" i="56" s="1"/>
  <c r="G108" i="7"/>
  <c r="AF214" i="63" s="1"/>
  <c r="G109" i="7"/>
  <c r="AH95" i="56" s="1"/>
  <c r="G110" i="7"/>
  <c r="AH96" i="56" s="1"/>
  <c r="G111" i="7"/>
  <c r="G112"/>
  <c r="AF218" i="63" s="1"/>
  <c r="G113" i="7"/>
  <c r="AF248" i="63" s="1"/>
  <c r="G114" i="7"/>
  <c r="AF249" i="63" s="1"/>
  <c r="AO249" s="1"/>
  <c r="G115" i="7"/>
  <c r="AF250" i="63" s="1"/>
  <c r="AO250" s="1"/>
  <c r="G116" i="7"/>
  <c r="AF251" i="63" s="1"/>
  <c r="AO251" s="1"/>
  <c r="G117" i="7"/>
  <c r="AF252" i="63" s="1"/>
  <c r="G118" i="7"/>
  <c r="AH121" i="56" s="1"/>
  <c r="G119" i="7"/>
  <c r="AH122" i="56" s="1"/>
  <c r="G120" i="7"/>
  <c r="AF255" i="63" s="1"/>
  <c r="AO255" s="1"/>
  <c r="G121" i="7"/>
  <c r="G122"/>
  <c r="AA109" i="12" s="1"/>
  <c r="G123" i="7"/>
  <c r="AF269" i="63" s="1"/>
  <c r="AO269" s="1"/>
  <c r="G124" i="7"/>
  <c r="AA111" i="12" s="1"/>
  <c r="G125" i="7"/>
  <c r="AF271" i="63" s="1"/>
  <c r="AO271" s="1"/>
  <c r="G4" i="7"/>
  <c r="AF24" i="63" s="1"/>
  <c r="AO24" s="1"/>
  <c r="G5" i="7"/>
  <c r="AH31" i="56" s="1"/>
  <c r="G6" i="7"/>
  <c r="AA30" i="12" s="1"/>
  <c r="G7" i="7"/>
  <c r="AF27" i="63" s="1"/>
  <c r="AO27" s="1"/>
  <c r="G8" i="7"/>
  <c r="AA32" i="12" s="1"/>
  <c r="G9" i="7"/>
  <c r="AA33" i="12" s="1"/>
  <c r="G10" i="7"/>
  <c r="AF30" i="63" s="1"/>
  <c r="G11" i="7"/>
  <c r="AF31" i="63" s="1"/>
  <c r="G12" i="7"/>
  <c r="AH125" i="56" s="1"/>
  <c r="G13" i="7"/>
  <c r="AH126" i="56" s="1"/>
  <c r="G14" i="7"/>
  <c r="AH127" i="56" s="1"/>
  <c r="G18" i="7"/>
  <c r="AA37" i="12" s="1"/>
  <c r="G19" i="7"/>
  <c r="AA40" i="12" s="1"/>
  <c r="G20" i="7"/>
  <c r="AF34" i="63" s="1"/>
  <c r="G21" i="7"/>
  <c r="AH32" i="64" s="1"/>
  <c r="G22" i="7"/>
  <c r="AF36" i="63" s="1"/>
  <c r="AO36" s="1"/>
  <c r="G23" i="7"/>
  <c r="AF37" i="63" s="1"/>
  <c r="AO37" s="1"/>
  <c r="G24" i="7"/>
  <c r="AF38" i="63" s="1"/>
  <c r="G25" i="7"/>
  <c r="G26"/>
  <c r="AF162" i="63" s="1"/>
  <c r="G27" i="7"/>
  <c r="G28"/>
  <c r="AH62" i="56" s="1"/>
  <c r="G29" i="7"/>
  <c r="G30"/>
  <c r="AF166" i="63" s="1"/>
  <c r="G31" i="7"/>
  <c r="AF192" i="63" s="1"/>
  <c r="AO192" s="1"/>
  <c r="G32" i="7"/>
  <c r="AF193" i="63" s="1"/>
  <c r="AO193" s="1"/>
  <c r="G33" i="7"/>
  <c r="AF194" i="63" s="1"/>
  <c r="G34" i="7"/>
  <c r="G35"/>
  <c r="AF196" i="63" s="1"/>
  <c r="AO196" s="1"/>
  <c r="G36" i="7"/>
  <c r="AA50" i="12" s="1"/>
  <c r="G37" i="7"/>
  <c r="G38"/>
  <c r="AF199" i="63" s="1"/>
  <c r="G39" i="7"/>
  <c r="G40"/>
  <c r="G41"/>
  <c r="AF228" i="63" s="1"/>
  <c r="AO228" s="1"/>
  <c r="G42" i="7"/>
  <c r="G43"/>
  <c r="AF230" i="63" s="1"/>
  <c r="AO230" s="1"/>
  <c r="G44" i="7"/>
  <c r="G45"/>
  <c r="AF232" i="63" s="1"/>
  <c r="AO232" s="1"/>
  <c r="G46" i="7"/>
  <c r="AF233" i="63" s="1"/>
  <c r="AO233" s="1"/>
  <c r="G47" i="7"/>
  <c r="G48"/>
  <c r="AH113" i="56" s="1"/>
  <c r="G49" i="7"/>
  <c r="AF236" i="63" s="1"/>
  <c r="AO236" s="1"/>
  <c r="G50" i="7"/>
  <c r="AF237" i="63" s="1"/>
  <c r="G51" i="7"/>
  <c r="G52"/>
  <c r="AA54" i="12" s="1"/>
  <c r="G15" i="7"/>
  <c r="AH129" i="56" s="1"/>
  <c r="G16" i="7"/>
  <c r="AH130" i="56" s="1"/>
  <c r="G17" i="7"/>
  <c r="AH131" i="56" s="1"/>
  <c r="A26" i="41"/>
  <c r="A18"/>
  <c r="A15"/>
  <c r="A7"/>
  <c r="A4"/>
  <c r="AB7" i="15"/>
  <c r="AA7"/>
  <c r="Z7"/>
  <c r="Y7"/>
  <c r="X7"/>
  <c r="AB10" i="35"/>
  <c r="AA10"/>
  <c r="Z10"/>
  <c r="Y10"/>
  <c r="X10"/>
  <c r="E31" i="3"/>
  <c r="E2" i="14"/>
  <c r="C2" i="27"/>
  <c r="G15" i="51"/>
  <c r="D7" i="50"/>
  <c r="AZ31" i="24"/>
  <c r="AY31"/>
  <c r="AX31"/>
  <c r="AW31"/>
  <c r="AV31"/>
  <c r="AU31"/>
  <c r="AT31"/>
  <c r="AS31"/>
  <c r="AR31"/>
  <c r="AQ31"/>
  <c r="AP31"/>
  <c r="AO31"/>
  <c r="AD31"/>
  <c r="O31"/>
  <c r="I31"/>
  <c r="E31"/>
  <c r="AE17" i="23"/>
  <c r="AD17"/>
  <c r="AC17"/>
  <c r="AB17"/>
  <c r="AA17"/>
  <c r="AE11"/>
  <c r="AD11"/>
  <c r="AC11"/>
  <c r="AB11"/>
  <c r="AA11"/>
  <c r="Z11"/>
  <c r="Y11"/>
  <c r="X11"/>
  <c r="W11"/>
  <c r="V11"/>
  <c r="U11"/>
  <c r="T11"/>
  <c r="S11"/>
  <c r="I9"/>
  <c r="E4" i="43"/>
  <c r="F459" i="7"/>
  <c r="AR71" i="40" s="1"/>
  <c r="F465" i="7"/>
  <c r="C200"/>
  <c r="D200"/>
  <c r="M450" i="63" s="1"/>
  <c r="F200" i="7"/>
  <c r="Z51" i="55" s="1"/>
  <c r="G200" i="7"/>
  <c r="AG51" i="55" s="1"/>
  <c r="C201" i="7"/>
  <c r="M438" i="63" s="1"/>
  <c r="AH438" s="1"/>
  <c r="D201" i="7"/>
  <c r="F201"/>
  <c r="Z52" i="55" s="1"/>
  <c r="G201" i="7"/>
  <c r="AG52" i="55" s="1"/>
  <c r="C202" i="7"/>
  <c r="D202"/>
  <c r="M452" i="63" s="1"/>
  <c r="AH452" s="1"/>
  <c r="F202" i="7"/>
  <c r="Z53" i="55" s="1"/>
  <c r="G202" i="7"/>
  <c r="AG53" i="55" s="1"/>
  <c r="C203" i="7"/>
  <c r="D203"/>
  <c r="M453" i="63" s="1"/>
  <c r="AH453" s="1"/>
  <c r="F203" i="7"/>
  <c r="Z54" i="55" s="1"/>
  <c r="G203" i="7"/>
  <c r="AG54" i="55" s="1"/>
  <c r="C204" i="7"/>
  <c r="D204"/>
  <c r="M454" i="63" s="1"/>
  <c r="AH454" s="1"/>
  <c r="F204" i="7"/>
  <c r="Z55" i="55" s="1"/>
  <c r="G204" i="7"/>
  <c r="AG55" i="55" s="1"/>
  <c r="C205" i="7"/>
  <c r="M442" i="63" s="1"/>
  <c r="AH442" s="1"/>
  <c r="D205" i="7"/>
  <c r="F205"/>
  <c r="Z56" i="55" s="1"/>
  <c r="G205" i="7"/>
  <c r="AG56" i="55" s="1"/>
  <c r="C206" i="7"/>
  <c r="M443" i="63" s="1"/>
  <c r="AH443" s="1"/>
  <c r="D206" i="7"/>
  <c r="F206"/>
  <c r="Z57" i="55" s="1"/>
  <c r="G206" i="7"/>
  <c r="AG57" i="55" s="1"/>
  <c r="C207" i="7"/>
  <c r="M444" i="63" s="1"/>
  <c r="AH444" s="1"/>
  <c r="D207" i="7"/>
  <c r="F207"/>
  <c r="Z58" i="55" s="1"/>
  <c r="G207" i="7"/>
  <c r="AG58" i="55" s="1"/>
  <c r="C209" i="7"/>
  <c r="M472" i="63" s="1"/>
  <c r="AH472" s="1"/>
  <c r="D209" i="7"/>
  <c r="M481" i="63" s="1"/>
  <c r="AH481" s="1"/>
  <c r="F209" i="7"/>
  <c r="Z60" i="55" s="1"/>
  <c r="G209" i="7"/>
  <c r="AG60" i="55" s="1"/>
  <c r="C210" i="7"/>
  <c r="M473" i="63" s="1"/>
  <c r="AH473" s="1"/>
  <c r="D210" i="7"/>
  <c r="M482" i="63" s="1"/>
  <c r="AH482" s="1"/>
  <c r="F210" i="7"/>
  <c r="G210"/>
  <c r="C211"/>
  <c r="M474" i="63" s="1"/>
  <c r="AH474" s="1"/>
  <c r="D211" i="7"/>
  <c r="M483" i="63" s="1"/>
  <c r="AH483" s="1"/>
  <c r="F211" i="7"/>
  <c r="G211"/>
  <c r="C212"/>
  <c r="M475" i="63" s="1"/>
  <c r="AH475" s="1"/>
  <c r="D212" i="7"/>
  <c r="M484" i="63" s="1"/>
  <c r="AH484" s="1"/>
  <c r="F212" i="7"/>
  <c r="G212"/>
  <c r="C215"/>
  <c r="M500" i="63" s="1"/>
  <c r="AH500" s="1"/>
  <c r="D215" i="7"/>
  <c r="F215"/>
  <c r="G215"/>
  <c r="AR30" i="40"/>
  <c r="AR31"/>
  <c r="C217" i="7"/>
  <c r="D217"/>
  <c r="F217"/>
  <c r="G217"/>
  <c r="C218"/>
  <c r="D218"/>
  <c r="F218"/>
  <c r="G218"/>
  <c r="C219"/>
  <c r="D219"/>
  <c r="F219"/>
  <c r="G219"/>
  <c r="C220"/>
  <c r="D220"/>
  <c r="F220"/>
  <c r="G220"/>
  <c r="C221"/>
  <c r="D221"/>
  <c r="F221"/>
  <c r="G221"/>
  <c r="C222"/>
  <c r="D222"/>
  <c r="F222"/>
  <c r="G222"/>
  <c r="C223"/>
  <c r="D223"/>
  <c r="F223"/>
  <c r="G223"/>
  <c r="C224"/>
  <c r="D224"/>
  <c r="F224"/>
  <c r="G224"/>
  <c r="C225"/>
  <c r="D225"/>
  <c r="F225"/>
  <c r="G225"/>
  <c r="C226"/>
  <c r="D226"/>
  <c r="F226"/>
  <c r="G226"/>
  <c r="C227"/>
  <c r="D227"/>
  <c r="F227"/>
  <c r="G227"/>
  <c r="C228"/>
  <c r="D228"/>
  <c r="F228"/>
  <c r="G228"/>
  <c r="C229"/>
  <c r="D229"/>
  <c r="F229"/>
  <c r="G229"/>
  <c r="C230"/>
  <c r="D230"/>
  <c r="F230"/>
  <c r="G230"/>
  <c r="C231"/>
  <c r="D231"/>
  <c r="F231"/>
  <c r="G231"/>
  <c r="C232"/>
  <c r="D232"/>
  <c r="F232"/>
  <c r="G232"/>
  <c r="C233"/>
  <c r="D233"/>
  <c r="F233"/>
  <c r="G233"/>
  <c r="D234"/>
  <c r="G234"/>
  <c r="D235"/>
  <c r="G235"/>
  <c r="C236"/>
  <c r="D236"/>
  <c r="F236"/>
  <c r="G236"/>
  <c r="C237"/>
  <c r="D237"/>
  <c r="F237"/>
  <c r="G237"/>
  <c r="C238"/>
  <c r="D238"/>
  <c r="F238"/>
  <c r="G238"/>
  <c r="C239"/>
  <c r="D239"/>
  <c r="F239"/>
  <c r="G239"/>
  <c r="C240"/>
  <c r="D240"/>
  <c r="F240"/>
  <c r="G240"/>
  <c r="C241"/>
  <c r="D241"/>
  <c r="F241"/>
  <c r="G241"/>
  <c r="C242"/>
  <c r="D242"/>
  <c r="F242"/>
  <c r="G242"/>
  <c r="C243"/>
  <c r="D243"/>
  <c r="F243"/>
  <c r="G243"/>
  <c r="C244"/>
  <c r="D244"/>
  <c r="F244"/>
  <c r="G244"/>
  <c r="C245"/>
  <c r="D245"/>
  <c r="F245"/>
  <c r="G245"/>
  <c r="C246"/>
  <c r="D246"/>
  <c r="F246"/>
  <c r="G246"/>
  <c r="C247"/>
  <c r="D247"/>
  <c r="F247"/>
  <c r="G247"/>
  <c r="C248"/>
  <c r="D248"/>
  <c r="F248"/>
  <c r="G248"/>
  <c r="C249"/>
  <c r="D249"/>
  <c r="F249"/>
  <c r="G249"/>
  <c r="C250"/>
  <c r="D250"/>
  <c r="F250"/>
  <c r="G250"/>
  <c r="C251"/>
  <c r="D251"/>
  <c r="F251"/>
  <c r="G251"/>
  <c r="C252"/>
  <c r="D252"/>
  <c r="F252"/>
  <c r="G252"/>
  <c r="C253"/>
  <c r="D253"/>
  <c r="F253"/>
  <c r="G253"/>
  <c r="C254"/>
  <c r="D254"/>
  <c r="F254"/>
  <c r="G254"/>
  <c r="C255"/>
  <c r="D255"/>
  <c r="F255"/>
  <c r="G255"/>
  <c r="C256"/>
  <c r="D256"/>
  <c r="F256"/>
  <c r="G256"/>
  <c r="C257"/>
  <c r="D257"/>
  <c r="F257"/>
  <c r="G257"/>
  <c r="C258"/>
  <c r="D258"/>
  <c r="F258"/>
  <c r="G258"/>
  <c r="C259"/>
  <c r="D259"/>
  <c r="F259"/>
  <c r="G259"/>
  <c r="C260"/>
  <c r="D260"/>
  <c r="F260"/>
  <c r="G260"/>
  <c r="C261"/>
  <c r="D261"/>
  <c r="F261"/>
  <c r="G261"/>
  <c r="C262"/>
  <c r="D262"/>
  <c r="F262"/>
  <c r="G262"/>
  <c r="C273"/>
  <c r="D273"/>
  <c r="F273"/>
  <c r="AF549" i="63" s="1"/>
  <c r="G273" i="7"/>
  <c r="C274"/>
  <c r="W550" i="63" s="1"/>
  <c r="D274" i="7"/>
  <c r="F274"/>
  <c r="AF550" i="63" s="1"/>
  <c r="G274" i="7"/>
  <c r="AG78" i="55" s="1"/>
  <c r="C275" i="7"/>
  <c r="W551" i="63" s="1"/>
  <c r="D275" i="7"/>
  <c r="F275"/>
  <c r="AF551" i="63" s="1"/>
  <c r="G275" i="7"/>
  <c r="AG83" i="55" s="1"/>
  <c r="C277" i="7"/>
  <c r="D277"/>
  <c r="F277"/>
  <c r="AF563" i="63" s="1"/>
  <c r="G277" i="7"/>
  <c r="C278"/>
  <c r="D278"/>
  <c r="F278"/>
  <c r="AF564" i="63" s="1"/>
  <c r="G278" i="7"/>
  <c r="C279"/>
  <c r="W565" i="63" s="1"/>
  <c r="D279" i="7"/>
  <c r="F279"/>
  <c r="AF565" i="63" s="1"/>
  <c r="G279" i="7"/>
  <c r="C280"/>
  <c r="W566" i="63" s="1"/>
  <c r="D280" i="7"/>
  <c r="F280"/>
  <c r="AF566" i="63" s="1"/>
  <c r="G280" i="7"/>
  <c r="C281"/>
  <c r="D281"/>
  <c r="F281"/>
  <c r="AF567" i="63" s="1"/>
  <c r="G281" i="7"/>
  <c r="C282"/>
  <c r="D282"/>
  <c r="F282"/>
  <c r="G282"/>
  <c r="C283"/>
  <c r="W579" i="63" s="1"/>
  <c r="D283" i="7"/>
  <c r="F283"/>
  <c r="AF579" i="63" s="1"/>
  <c r="G283" i="7"/>
  <c r="C284"/>
  <c r="W580" i="63" s="1"/>
  <c r="D284" i="7"/>
  <c r="F284"/>
  <c r="AF580" i="63" s="1"/>
  <c r="G284" i="7"/>
  <c r="C285"/>
  <c r="W581" i="63" s="1"/>
  <c r="D285" i="7"/>
  <c r="F285"/>
  <c r="AF581" i="63" s="1"/>
  <c r="G285" i="7"/>
  <c r="C286"/>
  <c r="W582" i="63" s="1"/>
  <c r="D286" i="7"/>
  <c r="F286"/>
  <c r="G286"/>
  <c r="C287"/>
  <c r="W583" i="63" s="1"/>
  <c r="D287" i="7"/>
  <c r="F287"/>
  <c r="AF583" i="63" s="1"/>
  <c r="G287" i="7"/>
  <c r="C288"/>
  <c r="W584" i="63" s="1"/>
  <c r="D288" i="7"/>
  <c r="F288"/>
  <c r="AF584" i="63" s="1"/>
  <c r="G288" i="7"/>
  <c r="C289"/>
  <c r="W585" i="63" s="1"/>
  <c r="D289" i="7"/>
  <c r="F289"/>
  <c r="G289"/>
  <c r="C290"/>
  <c r="D290"/>
  <c r="F290"/>
  <c r="G290"/>
  <c r="C300"/>
  <c r="W616" i="63" s="1"/>
  <c r="D300" i="7"/>
  <c r="F300"/>
  <c r="G300"/>
  <c r="C301"/>
  <c r="W617" i="63" s="1"/>
  <c r="D301" i="7"/>
  <c r="F301"/>
  <c r="AF617" i="63" s="1"/>
  <c r="G301" i="7"/>
  <c r="C302"/>
  <c r="W618" i="63" s="1"/>
  <c r="D302" i="7"/>
  <c r="F302"/>
  <c r="AF618" i="63" s="1"/>
  <c r="G302" i="7"/>
  <c r="C303"/>
  <c r="W619" i="63" s="1"/>
  <c r="D303" i="7"/>
  <c r="F303"/>
  <c r="AF619" i="63" s="1"/>
  <c r="G303" i="7"/>
  <c r="C304"/>
  <c r="D304"/>
  <c r="F304"/>
  <c r="AF620" i="63" s="1"/>
  <c r="G304" i="7"/>
  <c r="C305"/>
  <c r="D305"/>
  <c r="F305"/>
  <c r="AF621" i="63" s="1"/>
  <c r="G305" i="7"/>
  <c r="C306"/>
  <c r="W622" i="63" s="1"/>
  <c r="D306" i="7"/>
  <c r="F306"/>
  <c r="AF622" i="63" s="1"/>
  <c r="G306" i="7"/>
  <c r="C307"/>
  <c r="W623" i="63" s="1"/>
  <c r="D307" i="7"/>
  <c r="F307"/>
  <c r="AF623" i="63" s="1"/>
  <c r="G307" i="7"/>
  <c r="C308"/>
  <c r="D308"/>
  <c r="F308"/>
  <c r="AF624" i="63" s="1"/>
  <c r="G308" i="7"/>
  <c r="C214"/>
  <c r="D214"/>
  <c r="F214"/>
  <c r="Z63" i="55" s="1"/>
  <c r="G214" i="7"/>
  <c r="AG63" i="55" s="1"/>
  <c r="C216" i="7"/>
  <c r="M501" i="63" s="1"/>
  <c r="AH501" s="1"/>
  <c r="D216" i="7"/>
  <c r="F216"/>
  <c r="G216"/>
  <c r="C309"/>
  <c r="D309"/>
  <c r="F309"/>
  <c r="AF635" i="63" s="1"/>
  <c r="G309" i="7"/>
  <c r="C310"/>
  <c r="W636" i="63" s="1"/>
  <c r="D310" i="7"/>
  <c r="F310"/>
  <c r="G310"/>
  <c r="C311"/>
  <c r="W637" i="63" s="1"/>
  <c r="D311" i="7"/>
  <c r="F311"/>
  <c r="AF637" i="63" s="1"/>
  <c r="G311" i="7"/>
  <c r="C312"/>
  <c r="W638" i="63" s="1"/>
  <c r="D312" i="7"/>
  <c r="F312"/>
  <c r="AF638" i="63" s="1"/>
  <c r="G312" i="7"/>
  <c r="C313"/>
  <c r="D313"/>
  <c r="F313"/>
  <c r="Z96" i="55" s="1"/>
  <c r="G313" i="7"/>
  <c r="AG96" i="55" s="1"/>
  <c r="C314" i="7"/>
  <c r="W640" i="63" s="1"/>
  <c r="D314" i="7"/>
  <c r="F314"/>
  <c r="AF640" i="63" s="1"/>
  <c r="G314" i="7"/>
  <c r="F369"/>
  <c r="AF785" i="63" s="1"/>
  <c r="C369" i="7"/>
  <c r="W785" i="63" s="1"/>
  <c r="F370" i="7"/>
  <c r="AH159" i="55" s="1"/>
  <c r="C370" i="7"/>
  <c r="W786" i="63" s="1"/>
  <c r="F371" i="7"/>
  <c r="C371"/>
  <c r="W787" i="63" s="1"/>
  <c r="F372" i="7"/>
  <c r="AH164" i="55" s="1"/>
  <c r="C372" i="7"/>
  <c r="W788" i="63" s="1"/>
  <c r="F373" i="7"/>
  <c r="C373"/>
  <c r="F352"/>
  <c r="AH140" i="55" s="1"/>
  <c r="C352" i="7"/>
  <c r="W748" i="63" s="1"/>
  <c r="F353" i="7"/>
  <c r="AF749" i="63" s="1"/>
  <c r="C353" i="7"/>
  <c r="W749" i="63" s="1"/>
  <c r="F354" i="7"/>
  <c r="AH142" i="55" s="1"/>
  <c r="C354" i="7"/>
  <c r="W750" i="63" s="1"/>
  <c r="F355" i="7"/>
  <c r="AF751" i="63" s="1"/>
  <c r="C355" i="7"/>
  <c r="F356"/>
  <c r="AF752" i="63" s="1"/>
  <c r="C356" i="7"/>
  <c r="W752" i="63" s="1"/>
  <c r="F357" i="7"/>
  <c r="AF753" i="63" s="1"/>
  <c r="C357" i="7"/>
  <c r="W753" i="63" s="1"/>
  <c r="F358" i="7"/>
  <c r="AF754" i="63" s="1"/>
  <c r="C358" i="7"/>
  <c r="W754" i="63" s="1"/>
  <c r="F359" i="7"/>
  <c r="AF755" i="63" s="1"/>
  <c r="C359" i="7"/>
  <c r="F360"/>
  <c r="AF756" i="63" s="1"/>
  <c r="C360" i="7"/>
  <c r="F361"/>
  <c r="AF767" i="63" s="1"/>
  <c r="C361" i="7"/>
  <c r="W767" i="63" s="1"/>
  <c r="F362" i="7"/>
  <c r="AF768" i="63" s="1"/>
  <c r="C362" i="7"/>
  <c r="W768" i="63" s="1"/>
  <c r="F363" i="7"/>
  <c r="AH152" i="55" s="1"/>
  <c r="C363" i="7"/>
  <c r="W769" i="63" s="1"/>
  <c r="F364" i="7"/>
  <c r="AF770" i="63" s="1"/>
  <c r="C364" i="7"/>
  <c r="W770" i="63" s="1"/>
  <c r="F365" i="7"/>
  <c r="AF771" i="63" s="1"/>
  <c r="C365" i="7"/>
  <c r="F366"/>
  <c r="AF772" i="63" s="1"/>
  <c r="C366" i="7"/>
  <c r="W772" i="63" s="1"/>
  <c r="F367" i="7"/>
  <c r="AF773" i="63" s="1"/>
  <c r="C367" i="7"/>
  <c r="W773" i="63" s="1"/>
  <c r="F368" i="7"/>
  <c r="AF774" i="63" s="1"/>
  <c r="C368" i="7"/>
  <c r="AR156" i="55" s="1"/>
  <c r="F374" i="7"/>
  <c r="C374"/>
  <c r="F375"/>
  <c r="AF801" i="63" s="1"/>
  <c r="C375" i="7"/>
  <c r="F376"/>
  <c r="AF802" i="63" s="1"/>
  <c r="C376" i="7"/>
  <c r="W802" i="63" s="1"/>
  <c r="F377" i="7"/>
  <c r="AF803" i="63" s="1"/>
  <c r="C377" i="7"/>
  <c r="W803" i="63" s="1"/>
  <c r="F378" i="7"/>
  <c r="AF804" i="63" s="1"/>
  <c r="C378" i="7"/>
  <c r="W804" i="63" s="1"/>
  <c r="F379" i="7"/>
  <c r="AF815" i="63" s="1"/>
  <c r="C379" i="7"/>
  <c r="W815" i="63" s="1"/>
  <c r="F380" i="7"/>
  <c r="AF816" i="63" s="1"/>
  <c r="C380" i="7"/>
  <c r="W816" i="63" s="1"/>
  <c r="F381" i="7"/>
  <c r="AF817" i="63" s="1"/>
  <c r="C381" i="7"/>
  <c r="F382"/>
  <c r="AF818" i="63" s="1"/>
  <c r="C382" i="7"/>
  <c r="W818" i="63" s="1"/>
  <c r="F383" i="7"/>
  <c r="AF819" i="63" s="1"/>
  <c r="C383" i="7"/>
  <c r="W819" i="63" s="1"/>
  <c r="F384" i="7"/>
  <c r="C384"/>
  <c r="W820" i="63" s="1"/>
  <c r="F385" i="7"/>
  <c r="AF821" i="63" s="1"/>
  <c r="C385" i="7"/>
  <c r="W821" i="63" s="1"/>
  <c r="F386" i="7"/>
  <c r="AF822" i="63" s="1"/>
  <c r="C386" i="7"/>
  <c r="F387"/>
  <c r="AF823" i="63" s="1"/>
  <c r="C387" i="7"/>
  <c r="W823" i="63" s="1"/>
  <c r="F388" i="7"/>
  <c r="AF834" i="63" s="1"/>
  <c r="C388" i="7"/>
  <c r="W834" i="63" s="1"/>
  <c r="F389" i="7"/>
  <c r="AF835" i="63" s="1"/>
  <c r="C389" i="7"/>
  <c r="W835" i="63" s="1"/>
  <c r="F390" i="7"/>
  <c r="AF836" i="63" s="1"/>
  <c r="C390" i="7"/>
  <c r="F391"/>
  <c r="AF837" i="63" s="1"/>
  <c r="C391" i="7"/>
  <c r="W837" i="63" s="1"/>
  <c r="F392" i="7"/>
  <c r="AF838" i="63" s="1"/>
  <c r="C392" i="7"/>
  <c r="W838" i="63" s="1"/>
  <c r="F393" i="7"/>
  <c r="C393"/>
  <c r="W839" i="63" s="1"/>
  <c r="F394" i="7"/>
  <c r="C394"/>
  <c r="W840" i="63" s="1"/>
  <c r="F395" i="7"/>
  <c r="AF841" i="63" s="1"/>
  <c r="C395" i="7"/>
  <c r="W841" i="63" s="1"/>
  <c r="F396" i="7"/>
  <c r="AF842" i="63" s="1"/>
  <c r="C396" i="7"/>
  <c r="F397"/>
  <c r="AF843" i="63" s="1"/>
  <c r="C397" i="7"/>
  <c r="W843" i="63" s="1"/>
  <c r="F398" i="7"/>
  <c r="C398"/>
  <c r="F399"/>
  <c r="AF855" i="63" s="1"/>
  <c r="C399" i="7"/>
  <c r="W855" i="63" s="1"/>
  <c r="F400" i="7"/>
  <c r="C400"/>
  <c r="W856" i="63" s="1"/>
  <c r="F401" i="7"/>
  <c r="AF857" i="63" s="1"/>
  <c r="C401" i="7"/>
  <c r="F402"/>
  <c r="AF858" i="63" s="1"/>
  <c r="C402" i="7"/>
  <c r="W858" i="63" s="1"/>
  <c r="F403" i="7"/>
  <c r="AF859" i="63" s="1"/>
  <c r="C403" i="7"/>
  <c r="W859" i="63" s="1"/>
  <c r="F404" i="7"/>
  <c r="AF860" i="63" s="1"/>
  <c r="C404" i="7"/>
  <c r="W860" i="63" s="1"/>
  <c r="F405" i="7"/>
  <c r="AF861" i="63" s="1"/>
  <c r="C405" i="7"/>
  <c r="W861" i="63" s="1"/>
  <c r="F406" i="7"/>
  <c r="AF872" i="63" s="1"/>
  <c r="C406" i="7"/>
  <c r="F407"/>
  <c r="AF873" i="63" s="1"/>
  <c r="C407" i="7"/>
  <c r="W873" i="63" s="1"/>
  <c r="F408" i="7"/>
  <c r="AF874" i="63" s="1"/>
  <c r="C408" i="7"/>
  <c r="W874" i="63" s="1"/>
  <c r="F409" i="7"/>
  <c r="C409"/>
  <c r="W875" i="63" s="1"/>
  <c r="F410" i="7"/>
  <c r="AF876" i="63" s="1"/>
  <c r="C410" i="7"/>
  <c r="W876" i="63" s="1"/>
  <c r="F411" i="7"/>
  <c r="AF877" i="63" s="1"/>
  <c r="C411" i="7"/>
  <c r="F342"/>
  <c r="AF728" i="63" s="1"/>
  <c r="C342" i="7"/>
  <c r="F343"/>
  <c r="AF729" i="63" s="1"/>
  <c r="C343" i="7"/>
  <c r="W729" i="63" s="1"/>
  <c r="F344" i="7"/>
  <c r="AF730" i="63" s="1"/>
  <c r="C344" i="7"/>
  <c r="W730" i="63" s="1"/>
  <c r="F345" i="7"/>
  <c r="AF731" i="63" s="1"/>
  <c r="C345" i="7"/>
  <c r="F346"/>
  <c r="AF732" i="63" s="1"/>
  <c r="C346" i="7"/>
  <c r="W732" i="63" s="1"/>
  <c r="F347" i="7"/>
  <c r="AF733" i="63" s="1"/>
  <c r="C347" i="7"/>
  <c r="W733" i="63" s="1"/>
  <c r="F348" i="7"/>
  <c r="AF734" i="63" s="1"/>
  <c r="C348" i="7"/>
  <c r="F349"/>
  <c r="AF735" i="63" s="1"/>
  <c r="C349" i="7"/>
  <c r="W735" i="63" s="1"/>
  <c r="F350" i="7"/>
  <c r="AH147" i="55" s="1"/>
  <c r="C350" i="7"/>
  <c r="AR147" i="55" s="1"/>
  <c r="F351" i="7"/>
  <c r="AF737" i="63" s="1"/>
  <c r="C351" i="7"/>
  <c r="W737" i="63" s="1"/>
  <c r="F412" i="7"/>
  <c r="C412"/>
  <c r="W888" i="63" s="1"/>
  <c r="F413" i="7"/>
  <c r="AF889" i="63" s="1"/>
  <c r="C413" i="7"/>
  <c r="F414"/>
  <c r="AF890" i="63" s="1"/>
  <c r="C414" i="7"/>
  <c r="W890" i="63" s="1"/>
  <c r="F415" i="7"/>
  <c r="AF891" i="63" s="1"/>
  <c r="C415" i="7"/>
  <c r="F416"/>
  <c r="AF892" i="63" s="1"/>
  <c r="C416" i="7"/>
  <c r="W892" i="63" s="1"/>
  <c r="F417" i="7"/>
  <c r="AH176" i="55" s="1"/>
  <c r="C417" i="7"/>
  <c r="W893" i="63" s="1"/>
  <c r="F418" i="7"/>
  <c r="AF894" i="63" s="1"/>
  <c r="C418" i="7"/>
  <c r="W894" i="63" s="1"/>
  <c r="BA28" i="40"/>
  <c r="BA30"/>
  <c r="BA31"/>
  <c r="BA32"/>
  <c r="BA33"/>
  <c r="BA34"/>
  <c r="BA35"/>
  <c r="BA36"/>
  <c r="BA38"/>
  <c r="BA39"/>
  <c r="BA40"/>
  <c r="BA41"/>
  <c r="BA42"/>
  <c r="BA43"/>
  <c r="BA44"/>
  <c r="BA60"/>
  <c r="BA61"/>
  <c r="BA62"/>
  <c r="BA63"/>
  <c r="BA53"/>
  <c r="BA54"/>
  <c r="BA55"/>
  <c r="BA56"/>
  <c r="BA57"/>
  <c r="BA58"/>
  <c r="BA73"/>
  <c r="BA74"/>
  <c r="BA75"/>
  <c r="BA76"/>
  <c r="BA77"/>
  <c r="BA78"/>
  <c r="BA68"/>
  <c r="BA69"/>
  <c r="BA70"/>
  <c r="BA71"/>
  <c r="F171" i="7"/>
  <c r="Z28" i="55" s="1"/>
  <c r="F172" i="7"/>
  <c r="Z29" i="55" s="1"/>
  <c r="F173" i="7"/>
  <c r="Z30" i="55" s="1"/>
  <c r="F174" i="7"/>
  <c r="F175"/>
  <c r="F176"/>
  <c r="F177"/>
  <c r="F178"/>
  <c r="Z34" i="55" s="1"/>
  <c r="F179" i="7"/>
  <c r="Z35" i="55" s="1"/>
  <c r="F180" i="7"/>
  <c r="F181"/>
  <c r="F182"/>
  <c r="F184"/>
  <c r="Z37" i="55" s="1"/>
  <c r="F183" i="7"/>
  <c r="F185"/>
  <c r="F186"/>
  <c r="F187"/>
  <c r="F188"/>
  <c r="F189"/>
  <c r="F190"/>
  <c r="F191"/>
  <c r="F192"/>
  <c r="Z45" i="55" s="1"/>
  <c r="F193" i="7"/>
  <c r="Z46" i="55" s="1"/>
  <c r="F194" i="7"/>
  <c r="Z47" i="55" s="1"/>
  <c r="F195" i="7"/>
  <c r="F196"/>
  <c r="F197"/>
  <c r="F198"/>
  <c r="F199"/>
  <c r="G171"/>
  <c r="AG28" i="55" s="1"/>
  <c r="G172" i="7"/>
  <c r="AG29" i="55" s="1"/>
  <c r="G173" i="7"/>
  <c r="AG30" i="55" s="1"/>
  <c r="G174" i="7"/>
  <c r="G175"/>
  <c r="G176"/>
  <c r="G177"/>
  <c r="G178"/>
  <c r="AG34" i="55" s="1"/>
  <c r="G179" i="7"/>
  <c r="AG35" i="55" s="1"/>
  <c r="G180" i="7"/>
  <c r="G181"/>
  <c r="G182"/>
  <c r="G184"/>
  <c r="AG37" i="55" s="1"/>
  <c r="G183" i="7"/>
  <c r="G185"/>
  <c r="G186"/>
  <c r="G187"/>
  <c r="G188"/>
  <c r="G189"/>
  <c r="G190"/>
  <c r="G191"/>
  <c r="G192"/>
  <c r="AG45" i="55" s="1"/>
  <c r="G193" i="7"/>
  <c r="AG46" i="55" s="1"/>
  <c r="G194" i="7"/>
  <c r="AG47" i="55" s="1"/>
  <c r="G195" i="7"/>
  <c r="G196"/>
  <c r="G197"/>
  <c r="G198"/>
  <c r="G199"/>
  <c r="C171"/>
  <c r="M284" i="63" s="1"/>
  <c r="AH284" s="1"/>
  <c r="D171" i="7"/>
  <c r="C172"/>
  <c r="M285" i="63" s="1"/>
  <c r="AH285" s="1"/>
  <c r="D172" i="7"/>
  <c r="C173"/>
  <c r="D173"/>
  <c r="M297" i="63" s="1"/>
  <c r="AH297" s="1"/>
  <c r="C174" i="7"/>
  <c r="M287" i="63" s="1"/>
  <c r="AH287" s="1"/>
  <c r="C175" i="7"/>
  <c r="M288" i="63" s="1"/>
  <c r="AH288" s="1"/>
  <c r="D174" i="7"/>
  <c r="D175"/>
  <c r="M299" i="63" s="1"/>
  <c r="AH299" s="1"/>
  <c r="C176" i="7"/>
  <c r="M289" i="63" s="1"/>
  <c r="AH289" s="1"/>
  <c r="C177" i="7"/>
  <c r="D176"/>
  <c r="D177"/>
  <c r="M301" i="63" s="1"/>
  <c r="AH301" s="1"/>
  <c r="C178" i="7"/>
  <c r="M316" i="63" s="1"/>
  <c r="AH316" s="1"/>
  <c r="D178" i="7"/>
  <c r="M329" i="63" s="1"/>
  <c r="AH329" s="1"/>
  <c r="C179" i="7"/>
  <c r="M317" i="63" s="1"/>
  <c r="AH317" s="1"/>
  <c r="D179" i="7"/>
  <c r="M330" i="63" s="1"/>
  <c r="AH330" s="1"/>
  <c r="C180" i="7"/>
  <c r="M318" i="63" s="1"/>
  <c r="AH318" s="1"/>
  <c r="C181" i="7"/>
  <c r="M319" i="63" s="1"/>
  <c r="AH319" s="1"/>
  <c r="C182" i="7"/>
  <c r="M320" i="63" s="1"/>
  <c r="AH320" s="1"/>
  <c r="D180" i="7"/>
  <c r="M331" i="63" s="1"/>
  <c r="AH331" s="1"/>
  <c r="D181" i="7"/>
  <c r="M332" i="63" s="1"/>
  <c r="AH332" s="1"/>
  <c r="D182" i="7"/>
  <c r="M333" i="63" s="1"/>
  <c r="AH333" s="1"/>
  <c r="C184" i="7"/>
  <c r="M322" i="63" s="1"/>
  <c r="AH322" s="1"/>
  <c r="D184" i="7"/>
  <c r="M335" i="63" s="1"/>
  <c r="AH335" s="1"/>
  <c r="C183" i="7"/>
  <c r="M321" i="63" s="1"/>
  <c r="AH321" s="1"/>
  <c r="C185" i="7"/>
  <c r="D183"/>
  <c r="M334" i="63" s="1"/>
  <c r="AH334" s="1"/>
  <c r="D185" i="7"/>
  <c r="M336" i="63" s="1"/>
  <c r="AH336" s="1"/>
  <c r="C186" i="7"/>
  <c r="C187"/>
  <c r="C188"/>
  <c r="C189"/>
  <c r="M355" i="63" s="1"/>
  <c r="AH355" s="1"/>
  <c r="C190" i="7"/>
  <c r="M356" i="63" s="1"/>
  <c r="AH356" s="1"/>
  <c r="C191" i="7"/>
  <c r="D186"/>
  <c r="M363" i="63" s="1"/>
  <c r="AH363" s="1"/>
  <c r="D187" i="7"/>
  <c r="M364" i="63" s="1"/>
  <c r="AH364" s="1"/>
  <c r="D188" i="7"/>
  <c r="M365" i="63" s="1"/>
  <c r="AH365" s="1"/>
  <c r="D189" i="7"/>
  <c r="M366" i="63" s="1"/>
  <c r="AH366" s="1"/>
  <c r="D190" i="7"/>
  <c r="M367" i="63" s="1"/>
  <c r="AH367" s="1"/>
  <c r="D191" i="7"/>
  <c r="M368" i="63" s="1"/>
  <c r="AH368" s="1"/>
  <c r="C192" i="7"/>
  <c r="M383" i="63" s="1"/>
  <c r="AH383" s="1"/>
  <c r="D192" i="7"/>
  <c r="M393" i="63" s="1"/>
  <c r="AH393" s="1"/>
  <c r="C193" i="7"/>
  <c r="M384" i="63" s="1"/>
  <c r="AH384" s="1"/>
  <c r="D193" i="7"/>
  <c r="M394" i="63" s="1"/>
  <c r="AH394" s="1"/>
  <c r="C194" i="7"/>
  <c r="M385" i="63" s="1"/>
  <c r="AH385" s="1"/>
  <c r="D194" i="7"/>
  <c r="M395" i="63" s="1"/>
  <c r="AH395" s="1"/>
  <c r="C195" i="7"/>
  <c r="M386" i="63" s="1"/>
  <c r="AH386" s="1"/>
  <c r="C196" i="7"/>
  <c r="D195"/>
  <c r="D196"/>
  <c r="M397" i="63" s="1"/>
  <c r="AH397" s="1"/>
  <c r="C197" i="7"/>
  <c r="M412" i="63" s="1"/>
  <c r="C198" i="7"/>
  <c r="M413" i="63" s="1"/>
  <c r="AH413" s="1"/>
  <c r="C199" i="7"/>
  <c r="M414" i="63" s="1"/>
  <c r="AH414" s="1"/>
  <c r="D197" i="7"/>
  <c r="M420" i="63" s="1"/>
  <c r="D198" i="7"/>
  <c r="M421" i="63" s="1"/>
  <c r="AH421" s="1"/>
  <c r="D199" i="7"/>
  <c r="M422" i="63" s="1"/>
  <c r="AH422" s="1"/>
  <c r="C291" i="7"/>
  <c r="W597" i="63" s="1"/>
  <c r="D291" i="7"/>
  <c r="F291"/>
  <c r="AF597" i="63" s="1"/>
  <c r="G291" i="7"/>
  <c r="AG87" i="55" s="1"/>
  <c r="C292" i="7"/>
  <c r="D292"/>
  <c r="F292"/>
  <c r="AF598" i="63" s="1"/>
  <c r="G292" i="7"/>
  <c r="AG88" i="55" s="1"/>
  <c r="C293" i="7"/>
  <c r="W599" i="63" s="1"/>
  <c r="D293" i="7"/>
  <c r="F293"/>
  <c r="AF599" i="63" s="1"/>
  <c r="G293" i="7"/>
  <c r="AG89" i="55" s="1"/>
  <c r="C294" i="7"/>
  <c r="D294"/>
  <c r="F294"/>
  <c r="G294"/>
  <c r="C295"/>
  <c r="W601" i="63" s="1"/>
  <c r="D295" i="7"/>
  <c r="F295"/>
  <c r="AF601" i="63" s="1"/>
  <c r="G295" i="7"/>
  <c r="C296"/>
  <c r="W602" i="63" s="1"/>
  <c r="D296" i="7"/>
  <c r="F296"/>
  <c r="Z91" i="55" s="1"/>
  <c r="G296" i="7"/>
  <c r="AG91" i="55" s="1"/>
  <c r="C297" i="7"/>
  <c r="D297"/>
  <c r="F297"/>
  <c r="Z92" i="55" s="1"/>
  <c r="G297" i="7"/>
  <c r="AG92" i="55" s="1"/>
  <c r="C298" i="7"/>
  <c r="W604" i="63" s="1"/>
  <c r="D298" i="7"/>
  <c r="F298"/>
  <c r="G298"/>
  <c r="AG93" i="55" s="1"/>
  <c r="AR63" i="40"/>
  <c r="AR78"/>
  <c r="AR73"/>
  <c r="AR74"/>
  <c r="AR75"/>
  <c r="AR76"/>
  <c r="AR77"/>
  <c r="F317" i="7"/>
  <c r="AF655" i="63" s="1"/>
  <c r="C317" i="7"/>
  <c r="AR109" i="55" s="1"/>
  <c r="AR69" i="40"/>
  <c r="AR70"/>
  <c r="C263" i="7"/>
  <c r="C264"/>
  <c r="W529" i="63" s="1"/>
  <c r="C265" i="7"/>
  <c r="W530" i="63" s="1"/>
  <c r="C266" i="7"/>
  <c r="W531" i="63" s="1"/>
  <c r="C267" i="7"/>
  <c r="W532" i="63" s="1"/>
  <c r="C268" i="7"/>
  <c r="W533" i="63" s="1"/>
  <c r="C269" i="7"/>
  <c r="C271"/>
  <c r="W536" i="63" s="1"/>
  <c r="C272" i="7"/>
  <c r="D263"/>
  <c r="D264"/>
  <c r="D265"/>
  <c r="D266"/>
  <c r="D267"/>
  <c r="D268"/>
  <c r="D269"/>
  <c r="D271"/>
  <c r="D272"/>
  <c r="C270"/>
  <c r="W535" i="63" s="1"/>
  <c r="D270" i="7"/>
  <c r="AR86" i="40"/>
  <c r="AR87"/>
  <c r="C316" i="7"/>
  <c r="W654" i="63" s="1"/>
  <c r="C318" i="7"/>
  <c r="C319"/>
  <c r="AR111" i="55" s="1"/>
  <c r="C320" i="7"/>
  <c r="W658" i="63" s="1"/>
  <c r="C321" i="7"/>
  <c r="C322"/>
  <c r="W666" i="63" s="1"/>
  <c r="C323" i="7"/>
  <c r="W667" i="63" s="1"/>
  <c r="C324" i="7"/>
  <c r="W668" i="63" s="1"/>
  <c r="C325" i="7"/>
  <c r="W675" i="63" s="1"/>
  <c r="C326" i="7"/>
  <c r="C327"/>
  <c r="C328"/>
  <c r="W684" i="63" s="1"/>
  <c r="C329" i="7"/>
  <c r="C330"/>
  <c r="W686" i="63" s="1"/>
  <c r="C332" i="7"/>
  <c r="C333"/>
  <c r="W695" i="63" s="1"/>
  <c r="C334" i="7"/>
  <c r="C335"/>
  <c r="W697" i="63" s="1"/>
  <c r="C336" i="7"/>
  <c r="AR129" i="55" s="1"/>
  <c r="C331" i="7"/>
  <c r="W687" i="63" s="1"/>
  <c r="C337" i="7"/>
  <c r="W705" i="63" s="1"/>
  <c r="C338" i="7"/>
  <c r="W706" i="63" s="1"/>
  <c r="C339" i="7"/>
  <c r="AR133" i="55" s="1"/>
  <c r="C340" i="7"/>
  <c r="W708" i="63" s="1"/>
  <c r="C341" i="7"/>
  <c r="C208"/>
  <c r="C213"/>
  <c r="C276"/>
  <c r="C299"/>
  <c r="C315"/>
  <c r="D208"/>
  <c r="D213"/>
  <c r="D276"/>
  <c r="D299"/>
  <c r="D315"/>
  <c r="AH198" i="56"/>
  <c r="AH199"/>
  <c r="AR198"/>
  <c r="AR199"/>
  <c r="AR30"/>
  <c r="AR31"/>
  <c r="AR32"/>
  <c r="AR34"/>
  <c r="AR35"/>
  <c r="AR36"/>
  <c r="AR37"/>
  <c r="AR38"/>
  <c r="AR43"/>
  <c r="AR44"/>
  <c r="AR46"/>
  <c r="AR47"/>
  <c r="AR48"/>
  <c r="AR49"/>
  <c r="AR50"/>
  <c r="AR51"/>
  <c r="AR52"/>
  <c r="AR53"/>
  <c r="AR54"/>
  <c r="AR59"/>
  <c r="AR60"/>
  <c r="AR61"/>
  <c r="AR62"/>
  <c r="AR63"/>
  <c r="AR64"/>
  <c r="AR66"/>
  <c r="AR67"/>
  <c r="AR68"/>
  <c r="AR69"/>
  <c r="AR70"/>
  <c r="AR80"/>
  <c r="AR81"/>
  <c r="AR82"/>
  <c r="AR83"/>
  <c r="AR84"/>
  <c r="AR85"/>
  <c r="AR86"/>
  <c r="AR87"/>
  <c r="AR88"/>
  <c r="AR90"/>
  <c r="AR91"/>
  <c r="AR92"/>
  <c r="AR93"/>
  <c r="AR94"/>
  <c r="AR95"/>
  <c r="AR96"/>
  <c r="AR97"/>
  <c r="AR98"/>
  <c r="AR106"/>
  <c r="AR107"/>
  <c r="AR108"/>
  <c r="AR109"/>
  <c r="AR110"/>
  <c r="AR111"/>
  <c r="AR112"/>
  <c r="AR113"/>
  <c r="AR114"/>
  <c r="AR116"/>
  <c r="AR117"/>
  <c r="AR118"/>
  <c r="AR119"/>
  <c r="AR120"/>
  <c r="AR121"/>
  <c r="AR122"/>
  <c r="AR123"/>
  <c r="AR125"/>
  <c r="AR126"/>
  <c r="AR127"/>
  <c r="AR129"/>
  <c r="AR130"/>
  <c r="AR131"/>
  <c r="AR137"/>
  <c r="AR138"/>
  <c r="AR144"/>
  <c r="AR145"/>
  <c r="AR150"/>
  <c r="AR151"/>
  <c r="AR154"/>
  <c r="AR166"/>
  <c r="AR167"/>
  <c r="AR168"/>
  <c r="AR169"/>
  <c r="AR170"/>
  <c r="AR171"/>
  <c r="AR173"/>
  <c r="AR174"/>
  <c r="AR175"/>
  <c r="AR176"/>
  <c r="AR177"/>
  <c r="AR180"/>
  <c r="F338" i="7"/>
  <c r="AF706" i="63" s="1"/>
  <c r="F339" i="7"/>
  <c r="AF707" i="63" s="1"/>
  <c r="F340" i="7"/>
  <c r="F341"/>
  <c r="AF715" i="63" s="1"/>
  <c r="F337" i="7"/>
  <c r="AF705" i="63" s="1"/>
  <c r="F331" i="7"/>
  <c r="AF687" i="63" s="1"/>
  <c r="F318" i="7"/>
  <c r="F319"/>
  <c r="AF657" i="63" s="1"/>
  <c r="F320" i="7"/>
  <c r="AH112" i="55" s="1"/>
  <c r="F321" i="7"/>
  <c r="F322"/>
  <c r="AF666" i="63" s="1"/>
  <c r="F323" i="7"/>
  <c r="AF667" i="63" s="1"/>
  <c r="F324" i="7"/>
  <c r="AF668" i="63" s="1"/>
  <c r="F325" i="7"/>
  <c r="AF675" i="63" s="1"/>
  <c r="F326" i="7"/>
  <c r="AF676" i="63" s="1"/>
  <c r="F327" i="7"/>
  <c r="AH118" i="55" s="1"/>
  <c r="F328" i="7"/>
  <c r="AF684" i="63" s="1"/>
  <c r="F329" i="7"/>
  <c r="AF685" i="63" s="1"/>
  <c r="F330" i="7"/>
  <c r="AH123" i="55" s="1"/>
  <c r="F332" i="7"/>
  <c r="AF688" i="63" s="1"/>
  <c r="F333" i="7"/>
  <c r="AH126" i="55" s="1"/>
  <c r="F334" i="7"/>
  <c r="AF696" i="63" s="1"/>
  <c r="F335" i="7"/>
  <c r="AF697" i="63" s="1"/>
  <c r="F336" i="7"/>
  <c r="AH129" i="55" s="1"/>
  <c r="F316" i="7"/>
  <c r="G208"/>
  <c r="G213"/>
  <c r="G263"/>
  <c r="G264"/>
  <c r="G265"/>
  <c r="G266"/>
  <c r="G267"/>
  <c r="G268"/>
  <c r="G269"/>
  <c r="G270"/>
  <c r="AG75" i="55" s="1"/>
  <c r="G271" i="7"/>
  <c r="G272"/>
  <c r="G276"/>
  <c r="G299"/>
  <c r="G315"/>
  <c r="AG97" i="55" s="1"/>
  <c r="F208" i="7"/>
  <c r="F213"/>
  <c r="F263"/>
  <c r="F264"/>
  <c r="F265"/>
  <c r="F266"/>
  <c r="AF531" i="63" s="1"/>
  <c r="F267" i="7"/>
  <c r="AF532" i="63" s="1"/>
  <c r="F268" i="7"/>
  <c r="F269"/>
  <c r="AF534" i="63" s="1"/>
  <c r="F270" i="7"/>
  <c r="F271"/>
  <c r="AF536" i="63" s="1"/>
  <c r="F272" i="7"/>
  <c r="AF537" i="63" s="1"/>
  <c r="F276" i="7"/>
  <c r="F299"/>
  <c r="F315"/>
  <c r="Z97" i="55" s="1"/>
  <c r="B32" i="34"/>
  <c r="B30"/>
  <c r="B13"/>
  <c r="E37"/>
  <c r="B3"/>
  <c r="A2"/>
  <c r="A1"/>
  <c r="Z87" i="49"/>
  <c r="G87"/>
  <c r="F85"/>
  <c r="H25"/>
  <c r="W24"/>
  <c r="X23"/>
  <c r="W21"/>
  <c r="V21"/>
  <c r="U21"/>
  <c r="T21"/>
  <c r="S21"/>
  <c r="R21"/>
  <c r="Q21"/>
  <c r="P21"/>
  <c r="O21"/>
  <c r="N21"/>
  <c r="M21"/>
  <c r="L21"/>
  <c r="K21"/>
  <c r="M19"/>
  <c r="B5"/>
  <c r="Y45" i="57"/>
  <c r="A38"/>
  <c r="A29"/>
  <c r="A26"/>
  <c r="F14"/>
  <c r="D5"/>
  <c r="M3"/>
  <c r="L3"/>
  <c r="K3"/>
  <c r="J3"/>
  <c r="I3"/>
  <c r="H3"/>
  <c r="G3"/>
  <c r="F3"/>
  <c r="E3"/>
  <c r="D3"/>
  <c r="C3"/>
  <c r="B3"/>
  <c r="A3"/>
  <c r="A2"/>
  <c r="A1"/>
  <c r="AA46" i="60"/>
  <c r="A10"/>
  <c r="D5"/>
  <c r="M3"/>
  <c r="L3"/>
  <c r="K3"/>
  <c r="J3"/>
  <c r="I3"/>
  <c r="H3"/>
  <c r="G3"/>
  <c r="F3"/>
  <c r="E3"/>
  <c r="D3"/>
  <c r="C3"/>
  <c r="B3"/>
  <c r="A3"/>
  <c r="A2"/>
  <c r="A1"/>
  <c r="A41" i="59"/>
  <c r="Y48"/>
  <c r="A28"/>
  <c r="A17"/>
  <c r="F14"/>
  <c r="D5"/>
  <c r="M3"/>
  <c r="L3"/>
  <c r="K3"/>
  <c r="J3"/>
  <c r="I3"/>
  <c r="H3"/>
  <c r="G3"/>
  <c r="F3"/>
  <c r="E3"/>
  <c r="D3"/>
  <c r="C3"/>
  <c r="B3"/>
  <c r="A3"/>
  <c r="A2"/>
  <c r="A1"/>
  <c r="A28" i="58"/>
  <c r="D5"/>
  <c r="M3"/>
  <c r="L3"/>
  <c r="K3"/>
  <c r="J3"/>
  <c r="I3"/>
  <c r="H3"/>
  <c r="G3"/>
  <c r="F3"/>
  <c r="E3"/>
  <c r="D3"/>
  <c r="C3"/>
  <c r="B3"/>
  <c r="A3"/>
  <c r="A2"/>
  <c r="A1"/>
  <c r="A41"/>
  <c r="Y48"/>
  <c r="A17"/>
  <c r="F14"/>
  <c r="Y38" i="54"/>
  <c r="D6"/>
  <c r="A19"/>
  <c r="M4"/>
  <c r="L4"/>
  <c r="K4"/>
  <c r="J4"/>
  <c r="I4"/>
  <c r="H4"/>
  <c r="G4"/>
  <c r="F4"/>
  <c r="E4"/>
  <c r="D4"/>
  <c r="C4"/>
  <c r="B4"/>
  <c r="A4"/>
  <c r="A3"/>
  <c r="A2"/>
  <c r="G12"/>
  <c r="C29" i="50"/>
  <c r="A3"/>
  <c r="A2"/>
  <c r="F4"/>
  <c r="T42"/>
  <c r="H17" i="51"/>
  <c r="C17"/>
  <c r="C15"/>
  <c r="D13"/>
  <c r="A9"/>
  <c r="C5"/>
  <c r="P17" i="47"/>
  <c r="AB16"/>
  <c r="I16"/>
  <c r="D33"/>
  <c r="X33"/>
  <c r="AH15"/>
  <c r="AG15"/>
  <c r="AF15"/>
  <c r="AD15"/>
  <c r="AC15"/>
  <c r="U15"/>
  <c r="T15"/>
  <c r="S15"/>
  <c r="R15"/>
  <c r="Q15"/>
  <c r="P15"/>
  <c r="O15"/>
  <c r="N15"/>
  <c r="M15"/>
  <c r="L15"/>
  <c r="K15"/>
  <c r="J15"/>
  <c r="I15"/>
  <c r="I13"/>
  <c r="B5"/>
  <c r="M10" i="48"/>
  <c r="L10"/>
  <c r="P35"/>
  <c r="D35"/>
  <c r="G24" i="52"/>
  <c r="A2"/>
  <c r="A1"/>
  <c r="B6"/>
  <c r="V193" i="16"/>
  <c r="N193"/>
  <c r="D192"/>
  <c r="C190"/>
  <c r="O8"/>
  <c r="M8"/>
  <c r="J8"/>
  <c r="H5"/>
  <c r="H3"/>
  <c r="H4"/>
  <c r="AE70" i="26"/>
  <c r="R15"/>
  <c r="N15"/>
  <c r="L10"/>
  <c r="AC14"/>
  <c r="F14"/>
  <c r="W12"/>
  <c r="V12"/>
  <c r="U12"/>
  <c r="T12"/>
  <c r="S12"/>
  <c r="R12"/>
  <c r="Q12"/>
  <c r="P12"/>
  <c r="O12"/>
  <c r="N12"/>
  <c r="M12"/>
  <c r="L12"/>
  <c r="K12"/>
  <c r="V7"/>
  <c r="S7"/>
  <c r="O7"/>
  <c r="C27" i="27"/>
  <c r="C24"/>
  <c r="M27"/>
  <c r="I8"/>
  <c r="C5"/>
  <c r="C4"/>
  <c r="C3"/>
  <c r="C1"/>
  <c r="Z35" i="14"/>
  <c r="E36"/>
  <c r="E35"/>
  <c r="A34"/>
  <c r="W8"/>
  <c r="T8"/>
  <c r="P8"/>
  <c r="E5"/>
  <c r="E4"/>
  <c r="E3"/>
  <c r="E1"/>
  <c r="K31" i="3"/>
  <c r="E33"/>
  <c r="B27"/>
  <c r="H5"/>
  <c r="A5"/>
  <c r="A3"/>
  <c r="A1"/>
  <c r="C30" i="35"/>
  <c r="C32"/>
  <c r="X31"/>
  <c r="R21"/>
  <c r="B14"/>
  <c r="B9"/>
  <c r="B11"/>
  <c r="B17"/>
  <c r="C26" i="15"/>
  <c r="C28"/>
  <c r="X27"/>
  <c r="N15"/>
  <c r="B6"/>
  <c r="B9"/>
  <c r="AB9"/>
  <c r="AA9"/>
  <c r="Z9"/>
  <c r="Y9"/>
  <c r="X9"/>
  <c r="O4"/>
  <c r="N4"/>
  <c r="M4"/>
  <c r="L4"/>
  <c r="K4"/>
  <c r="J4"/>
  <c r="I4"/>
  <c r="H4"/>
  <c r="G4"/>
  <c r="F4"/>
  <c r="E4"/>
  <c r="D4"/>
  <c r="C4"/>
  <c r="B1"/>
  <c r="M46" i="10"/>
  <c r="K44"/>
  <c r="E43"/>
  <c r="AL44"/>
  <c r="AJ20"/>
  <c r="AE20"/>
  <c r="X20"/>
  <c r="BC9"/>
  <c r="BB9"/>
  <c r="BA9"/>
  <c r="BC7"/>
  <c r="BB7"/>
  <c r="BA7"/>
  <c r="AZ7"/>
  <c r="AY7"/>
  <c r="BC4"/>
  <c r="BB4"/>
  <c r="BA4"/>
  <c r="AZ4"/>
  <c r="AY4"/>
  <c r="AX4"/>
  <c r="AW4"/>
  <c r="AV4"/>
  <c r="AU4"/>
  <c r="AT4"/>
  <c r="AS4"/>
  <c r="AR4"/>
  <c r="BC2"/>
  <c r="BB2"/>
  <c r="BA2"/>
  <c r="AZ2"/>
  <c r="AY2"/>
  <c r="AX2"/>
  <c r="AW2"/>
  <c r="AV2"/>
  <c r="AU2"/>
  <c r="AT2"/>
  <c r="AS2"/>
  <c r="AR2"/>
  <c r="AQ2"/>
  <c r="AH14"/>
  <c r="AG14"/>
  <c r="AF14"/>
  <c r="AE14"/>
  <c r="AD14"/>
  <c r="AC14"/>
  <c r="AB14"/>
  <c r="AA14"/>
  <c r="Z14"/>
  <c r="Y14"/>
  <c r="X14"/>
  <c r="W14"/>
  <c r="V14"/>
  <c r="U14"/>
  <c r="T14"/>
  <c r="S14"/>
  <c r="P14"/>
  <c r="O14"/>
  <c r="N14"/>
  <c r="M14"/>
  <c r="L14"/>
  <c r="K14"/>
  <c r="J14"/>
  <c r="I14"/>
  <c r="H14"/>
  <c r="G14"/>
  <c r="F14"/>
  <c r="E14"/>
  <c r="D14"/>
  <c r="C14"/>
  <c r="B14"/>
  <c r="A14"/>
  <c r="AM12"/>
  <c r="S12"/>
  <c r="A12"/>
  <c r="A6"/>
  <c r="A4"/>
  <c r="A4" i="55"/>
  <c r="A2" i="10"/>
  <c r="AX22" i="42"/>
  <c r="X22"/>
  <c r="W21"/>
  <c r="S20"/>
  <c r="D21"/>
  <c r="D20"/>
  <c r="AG16"/>
  <c r="AD16"/>
  <c r="BF8"/>
  <c r="BE8"/>
  <c r="BD8"/>
  <c r="BF6"/>
  <c r="BE6"/>
  <c r="BD6"/>
  <c r="BC6"/>
  <c r="BB6"/>
  <c r="BF4"/>
  <c r="BE4"/>
  <c r="BD4"/>
  <c r="BC4"/>
  <c r="BB4"/>
  <c r="BA4"/>
  <c r="AZ4"/>
  <c r="AY4"/>
  <c r="AX4"/>
  <c r="AW4"/>
  <c r="AV4"/>
  <c r="AU4"/>
  <c r="BF2"/>
  <c r="BE2"/>
  <c r="BD2"/>
  <c r="BC2"/>
  <c r="BB2"/>
  <c r="BA2"/>
  <c r="AZ2"/>
  <c r="AY2"/>
  <c r="AX2"/>
  <c r="AW2"/>
  <c r="AV2"/>
  <c r="AU2"/>
  <c r="AT2"/>
  <c r="BF12"/>
  <c r="BE12"/>
  <c r="BD12"/>
  <c r="BC12"/>
  <c r="BB12"/>
  <c r="BA12"/>
  <c r="AZ12"/>
  <c r="AY12"/>
  <c r="AX12"/>
  <c r="AW12"/>
  <c r="AV12"/>
  <c r="AU12"/>
  <c r="AT12"/>
  <c r="AS12"/>
  <c r="AR12"/>
  <c r="AQ12"/>
  <c r="AQ10"/>
  <c r="AJ12"/>
  <c r="AI12"/>
  <c r="AH12"/>
  <c r="AG12"/>
  <c r="AF12"/>
  <c r="AE12"/>
  <c r="AD12"/>
  <c r="AC12"/>
  <c r="AB12"/>
  <c r="AA12"/>
  <c r="Z12"/>
  <c r="Y12"/>
  <c r="X12"/>
  <c r="W12"/>
  <c r="V12"/>
  <c r="U12"/>
  <c r="U10"/>
  <c r="Q12"/>
  <c r="P12"/>
  <c r="O12"/>
  <c r="N12"/>
  <c r="M12"/>
  <c r="L12"/>
  <c r="K12"/>
  <c r="J12"/>
  <c r="I12"/>
  <c r="H12"/>
  <c r="G12"/>
  <c r="F12"/>
  <c r="E12"/>
  <c r="D12"/>
  <c r="C12"/>
  <c r="B12"/>
  <c r="B10"/>
  <c r="A6"/>
  <c r="A4"/>
  <c r="A2"/>
  <c r="F92" i="40"/>
  <c r="F91"/>
  <c r="AA94"/>
  <c r="V93"/>
  <c r="AO94"/>
  <c r="AJ22"/>
  <c r="AE22"/>
  <c r="X22"/>
  <c r="BH9"/>
  <c r="BG9"/>
  <c r="BF9"/>
  <c r="BH6"/>
  <c r="BG6"/>
  <c r="BF6"/>
  <c r="BE6"/>
  <c r="BD6"/>
  <c r="BH4"/>
  <c r="BG4"/>
  <c r="BF4"/>
  <c r="BE4"/>
  <c r="BD4"/>
  <c r="BC4"/>
  <c r="BB4"/>
  <c r="BA4"/>
  <c r="AZ4"/>
  <c r="AY4"/>
  <c r="AX4"/>
  <c r="AW4"/>
  <c r="BH2"/>
  <c r="BG2"/>
  <c r="BF2"/>
  <c r="BE2"/>
  <c r="BD2"/>
  <c r="BC2"/>
  <c r="BB2"/>
  <c r="BA2"/>
  <c r="AZ2"/>
  <c r="AY2"/>
  <c r="AX2"/>
  <c r="AW2"/>
  <c r="AV2"/>
  <c r="BE14"/>
  <c r="BD14"/>
  <c r="BC14"/>
  <c r="BB14"/>
  <c r="BA14"/>
  <c r="AZ14"/>
  <c r="AY14"/>
  <c r="AX14"/>
  <c r="AW14"/>
  <c r="AV14"/>
  <c r="AU14"/>
  <c r="AT14"/>
  <c r="AS14"/>
  <c r="AR14"/>
  <c r="AQ14"/>
  <c r="AP14"/>
  <c r="AP12"/>
  <c r="AH14"/>
  <c r="AG14"/>
  <c r="AF14"/>
  <c r="AE14"/>
  <c r="AD14"/>
  <c r="AC14"/>
  <c r="AB14"/>
  <c r="AA14"/>
  <c r="Z14"/>
  <c r="Y14"/>
  <c r="X14"/>
  <c r="W14"/>
  <c r="V14"/>
  <c r="U14"/>
  <c r="T14"/>
  <c r="S14"/>
  <c r="S12"/>
  <c r="P14"/>
  <c r="O14"/>
  <c r="N14"/>
  <c r="M14"/>
  <c r="L14"/>
  <c r="K14"/>
  <c r="J14"/>
  <c r="I14"/>
  <c r="H14"/>
  <c r="G14"/>
  <c r="F14"/>
  <c r="E14"/>
  <c r="D14"/>
  <c r="C14"/>
  <c r="B14"/>
  <c r="A14"/>
  <c r="A12"/>
  <c r="A6"/>
  <c r="A6" i="55"/>
  <c r="A4" i="40"/>
  <c r="A2"/>
  <c r="F182" i="55"/>
  <c r="F181"/>
  <c r="V185"/>
  <c r="U184"/>
  <c r="AT184"/>
  <c r="X20"/>
  <c r="BA9"/>
  <c r="AZ9"/>
  <c r="AY9"/>
  <c r="BA7"/>
  <c r="AZ7"/>
  <c r="AY7"/>
  <c r="AX7"/>
  <c r="AW7"/>
  <c r="BA5"/>
  <c r="AZ5"/>
  <c r="AY5"/>
  <c r="AX5"/>
  <c r="AW5"/>
  <c r="AV5"/>
  <c r="AU5"/>
  <c r="AT5"/>
  <c r="AS5"/>
  <c r="AR5"/>
  <c r="AQ5"/>
  <c r="AP5"/>
  <c r="BA3"/>
  <c r="AZ3"/>
  <c r="AY3"/>
  <c r="AX3"/>
  <c r="AW3"/>
  <c r="AV3"/>
  <c r="AU3"/>
  <c r="AT3"/>
  <c r="AS3"/>
  <c r="AR3"/>
  <c r="AQ3"/>
  <c r="AP3"/>
  <c r="AO3"/>
  <c r="AZ15"/>
  <c r="AY15"/>
  <c r="AX15"/>
  <c r="AW15"/>
  <c r="AV15"/>
  <c r="AU15"/>
  <c r="AT15"/>
  <c r="AS15"/>
  <c r="AR15"/>
  <c r="AQ15"/>
  <c r="AP15"/>
  <c r="AO15"/>
  <c r="AN15"/>
  <c r="AM15"/>
  <c r="AL15"/>
  <c r="AK15"/>
  <c r="AK13"/>
  <c r="AH15"/>
  <c r="AG15"/>
  <c r="AF15"/>
  <c r="AE15"/>
  <c r="AD15"/>
  <c r="AC15"/>
  <c r="AB15"/>
  <c r="AA15"/>
  <c r="Z15"/>
  <c r="Y15"/>
  <c r="X15"/>
  <c r="W15"/>
  <c r="V15"/>
  <c r="U15"/>
  <c r="T15"/>
  <c r="S15"/>
  <c r="F207" i="56"/>
  <c r="F206"/>
  <c r="V210"/>
  <c r="U209"/>
  <c r="AK13"/>
  <c r="AT209"/>
  <c r="BA9"/>
  <c r="AZ9"/>
  <c r="AY9"/>
  <c r="BA7"/>
  <c r="AZ7"/>
  <c r="AY7"/>
  <c r="AX7"/>
  <c r="AW7"/>
  <c r="BA5"/>
  <c r="AZ5"/>
  <c r="AY5"/>
  <c r="AX5"/>
  <c r="AW5"/>
  <c r="AV5"/>
  <c r="AU5"/>
  <c r="AT5"/>
  <c r="AS5"/>
  <c r="AR5"/>
  <c r="AQ5"/>
  <c r="AP5"/>
  <c r="BA3"/>
  <c r="AZ3"/>
  <c r="AY3"/>
  <c r="AX3"/>
  <c r="AW3"/>
  <c r="AV3"/>
  <c r="AU3"/>
  <c r="AT3"/>
  <c r="AR3"/>
  <c r="AS3"/>
  <c r="AQ3"/>
  <c r="AP3"/>
  <c r="AO3"/>
  <c r="S20"/>
  <c r="AZ15"/>
  <c r="AY15"/>
  <c r="AX15"/>
  <c r="AW15"/>
  <c r="AV15"/>
  <c r="AU15"/>
  <c r="AT15"/>
  <c r="AS15"/>
  <c r="AR15"/>
  <c r="AQ15"/>
  <c r="AP15"/>
  <c r="AO15"/>
  <c r="AN15"/>
  <c r="AM15"/>
  <c r="AL15"/>
  <c r="AK15"/>
  <c r="Y15"/>
  <c r="AH15"/>
  <c r="AG15"/>
  <c r="AF15"/>
  <c r="AE15"/>
  <c r="AD15"/>
  <c r="AC15"/>
  <c r="AB15"/>
  <c r="AA15"/>
  <c r="Z15"/>
  <c r="X15"/>
  <c r="W15"/>
  <c r="V15"/>
  <c r="U15"/>
  <c r="T15"/>
  <c r="S15"/>
  <c r="P15" i="55"/>
  <c r="O15"/>
  <c r="N15"/>
  <c r="M15"/>
  <c r="L15"/>
  <c r="K15"/>
  <c r="J15"/>
  <c r="I15"/>
  <c r="H15"/>
  <c r="G15"/>
  <c r="F15"/>
  <c r="E15"/>
  <c r="D15"/>
  <c r="C15"/>
  <c r="B15"/>
  <c r="A15"/>
  <c r="S13"/>
  <c r="A13"/>
  <c r="A2"/>
  <c r="A2" i="56"/>
  <c r="A6"/>
  <c r="P15"/>
  <c r="O15"/>
  <c r="N15"/>
  <c r="M15"/>
  <c r="K15"/>
  <c r="L15"/>
  <c r="J15"/>
  <c r="I15"/>
  <c r="H15"/>
  <c r="G15"/>
  <c r="F15"/>
  <c r="E15"/>
  <c r="D15"/>
  <c r="C15"/>
  <c r="B15"/>
  <c r="A15"/>
  <c r="A4"/>
  <c r="S13"/>
  <c r="A13"/>
  <c r="F54" i="7"/>
  <c r="S1010" i="63" s="1"/>
  <c r="N33" i="57"/>
  <c r="J16" i="26"/>
  <c r="BA85" i="40"/>
  <c r="BA87"/>
  <c r="G35" i="43"/>
  <c r="D35" s="1"/>
  <c r="AA25" i="35" s="1"/>
  <c r="V5" i="41"/>
  <c r="Z5"/>
  <c r="AD5"/>
  <c r="AH5"/>
  <c r="AL5"/>
  <c r="V6"/>
  <c r="Z6"/>
  <c r="AD6"/>
  <c r="AH6"/>
  <c r="AL6"/>
  <c r="D485" i="7"/>
  <c r="V7" i="41" s="1"/>
  <c r="I485" i="7"/>
  <c r="V8" i="41"/>
  <c r="Z8"/>
  <c r="AD8"/>
  <c r="AH8"/>
  <c r="AL8"/>
  <c r="V9"/>
  <c r="Z9"/>
  <c r="AD9"/>
  <c r="AH9"/>
  <c r="AL9"/>
  <c r="V10"/>
  <c r="Z10"/>
  <c r="AD10"/>
  <c r="AH10"/>
  <c r="AL10"/>
  <c r="AL11"/>
  <c r="V11"/>
  <c r="Z11"/>
  <c r="AD11"/>
  <c r="AH11"/>
  <c r="V12"/>
  <c r="Z12"/>
  <c r="AD12"/>
  <c r="AH12"/>
  <c r="AL12"/>
  <c r="V13"/>
  <c r="Z13"/>
  <c r="AD13"/>
  <c r="AH13"/>
  <c r="AL13"/>
  <c r="V14"/>
  <c r="Z14"/>
  <c r="AD14"/>
  <c r="AH14"/>
  <c r="AL14"/>
  <c r="D493" i="7"/>
  <c r="V15" i="41" s="1"/>
  <c r="V16"/>
  <c r="Z16"/>
  <c r="AD16"/>
  <c r="AH16"/>
  <c r="AL16"/>
  <c r="V17"/>
  <c r="Z17"/>
  <c r="AD17"/>
  <c r="AH17"/>
  <c r="AL17"/>
  <c r="V19"/>
  <c r="Z19"/>
  <c r="AD19"/>
  <c r="AH19"/>
  <c r="AL19"/>
  <c r="V20"/>
  <c r="Z20"/>
  <c r="AD20"/>
  <c r="AH20"/>
  <c r="AL20"/>
  <c r="V21"/>
  <c r="Z21"/>
  <c r="AD21"/>
  <c r="AH21"/>
  <c r="AL21"/>
  <c r="V22"/>
  <c r="Z22"/>
  <c r="AD22"/>
  <c r="AH22"/>
  <c r="V23"/>
  <c r="Z23"/>
  <c r="AD23"/>
  <c r="AH23"/>
  <c r="AL23"/>
  <c r="V24"/>
  <c r="Z24"/>
  <c r="AD24"/>
  <c r="AH24"/>
  <c r="AL24"/>
  <c r="V25"/>
  <c r="Z25"/>
  <c r="AD25"/>
  <c r="AH25"/>
  <c r="AL25"/>
  <c r="V4"/>
  <c r="Z4"/>
  <c r="AD4"/>
  <c r="AH4"/>
  <c r="AL4"/>
  <c r="BA86" i="40"/>
  <c r="F126" i="7"/>
  <c r="S1011" i="63" s="1"/>
  <c r="K483" i="7"/>
  <c r="M483" s="1"/>
  <c r="K484"/>
  <c r="M484" s="1"/>
  <c r="K486"/>
  <c r="M486" s="1"/>
  <c r="K487"/>
  <c r="M487" s="1"/>
  <c r="K488"/>
  <c r="M488" s="1"/>
  <c r="K489"/>
  <c r="K490"/>
  <c r="K491"/>
  <c r="K492"/>
  <c r="M492"/>
  <c r="K494"/>
  <c r="K495"/>
  <c r="K497"/>
  <c r="K498"/>
  <c r="M498" s="1"/>
  <c r="K499"/>
  <c r="K501"/>
  <c r="M501" s="1"/>
  <c r="K502"/>
  <c r="K503"/>
  <c r="M503" s="1"/>
  <c r="K482"/>
  <c r="M482" s="1"/>
  <c r="I20" i="27"/>
  <c r="J20"/>
  <c r="J19" s="1"/>
  <c r="L20"/>
  <c r="L19" s="1"/>
  <c r="M20"/>
  <c r="M19" s="1"/>
  <c r="AR33" i="40"/>
  <c r="AR35"/>
  <c r="AR36"/>
  <c r="AR56"/>
  <c r="AR57"/>
  <c r="AR58"/>
  <c r="H419" i="7"/>
  <c r="H420"/>
  <c r="J215"/>
  <c r="J419"/>
  <c r="J420"/>
  <c r="AU99" i="55"/>
  <c r="D30" i="43"/>
  <c r="K16" i="27"/>
  <c r="N16" s="1"/>
  <c r="K17"/>
  <c r="N17" s="1"/>
  <c r="K15"/>
  <c r="N15" s="1"/>
  <c r="B468" i="7"/>
  <c r="B467"/>
  <c r="B466"/>
  <c r="B465"/>
  <c r="B464"/>
  <c r="B463"/>
  <c r="B462"/>
  <c r="B461"/>
  <c r="B460"/>
  <c r="B459"/>
  <c r="B458"/>
  <c r="B457"/>
  <c r="B456"/>
  <c r="B455"/>
  <c r="B454"/>
  <c r="B453"/>
  <c r="B452"/>
  <c r="B451"/>
  <c r="B450"/>
  <c r="B449"/>
  <c r="B448"/>
  <c r="B447"/>
  <c r="B446"/>
  <c r="B443"/>
  <c r="B444"/>
  <c r="B445"/>
  <c r="B441"/>
  <c r="B442"/>
  <c r="B440"/>
  <c r="B439"/>
  <c r="B438"/>
  <c r="B437"/>
  <c r="B436"/>
  <c r="B435"/>
  <c r="B434"/>
  <c r="B433"/>
  <c r="B432"/>
  <c r="B431"/>
  <c r="AR178" i="55"/>
  <c r="AH178"/>
  <c r="Z99"/>
  <c r="AG99"/>
  <c r="AR203" i="56"/>
  <c r="AH203"/>
  <c r="AR202"/>
  <c r="AH202"/>
  <c r="AR196"/>
  <c r="AH196"/>
  <c r="AR193"/>
  <c r="AH193"/>
  <c r="AR160"/>
  <c r="AH160"/>
  <c r="F485" i="7"/>
  <c r="F493" s="1"/>
  <c r="G485"/>
  <c r="G493" s="1"/>
  <c r="AD15" i="41" s="1"/>
  <c r="H485" i="7"/>
  <c r="H493" s="1"/>
  <c r="H496" s="1"/>
  <c r="L485"/>
  <c r="AT7" i="41" s="1"/>
  <c r="M489" i="7"/>
  <c r="M490"/>
  <c r="M491"/>
  <c r="M494"/>
  <c r="M495"/>
  <c r="M497"/>
  <c r="M499"/>
  <c r="M502"/>
  <c r="I44" i="51"/>
  <c r="E46" i="43"/>
  <c r="H11" i="3" s="1"/>
  <c r="I37" i="43"/>
  <c r="D37" s="1"/>
  <c r="H36"/>
  <c r="D36" s="1"/>
  <c r="AA33" i="50"/>
  <c r="Q19" i="48"/>
  <c r="Q20" s="1"/>
  <c r="Q22"/>
  <c r="Q23" s="1"/>
  <c r="Q25"/>
  <c r="Q26" s="1"/>
  <c r="Q28"/>
  <c r="Q29" s="1"/>
  <c r="R178" i="16"/>
  <c r="R181"/>
  <c r="Z21" i="26" s="1"/>
  <c r="AB18" i="47" s="1"/>
  <c r="R180" i="16"/>
  <c r="R162"/>
  <c r="R163"/>
  <c r="R164"/>
  <c r="R165"/>
  <c r="R167"/>
  <c r="R168"/>
  <c r="R169"/>
  <c r="R170"/>
  <c r="R161"/>
  <c r="R159"/>
  <c r="R158"/>
  <c r="R156"/>
  <c r="R155"/>
  <c r="R154"/>
  <c r="Q16" i="48"/>
  <c r="Q17" s="1"/>
  <c r="R127" i="16"/>
  <c r="R124"/>
  <c r="R121"/>
  <c r="R115"/>
  <c r="R113"/>
  <c r="R111"/>
  <c r="R108"/>
  <c r="R105"/>
  <c r="R103"/>
  <c r="R100"/>
  <c r="R98"/>
  <c r="R96"/>
  <c r="R93"/>
  <c r="R90"/>
  <c r="R87"/>
  <c r="R84"/>
  <c r="R80"/>
  <c r="R77"/>
  <c r="R74"/>
  <c r="R72"/>
  <c r="R70"/>
  <c r="R68"/>
  <c r="R64"/>
  <c r="R62"/>
  <c r="R57"/>
  <c r="R55"/>
  <c r="R52"/>
  <c r="R51"/>
  <c r="R48"/>
  <c r="R45"/>
  <c r="R42"/>
  <c r="R25"/>
  <c r="R22"/>
  <c r="R19"/>
  <c r="R17"/>
  <c r="R15"/>
  <c r="AA16" i="26"/>
  <c r="R138" i="44"/>
  <c r="P19" i="47" s="1"/>
  <c r="R145" i="44"/>
  <c r="R160" i="16" s="1"/>
  <c r="R151" i="44"/>
  <c r="R166" i="16"/>
  <c r="G27" i="48"/>
  <c r="G24"/>
  <c r="G21"/>
  <c r="G18"/>
  <c r="G15"/>
  <c r="K11" i="3"/>
  <c r="K10"/>
  <c r="J11"/>
  <c r="H46" i="43"/>
  <c r="G47"/>
  <c r="L12" i="3"/>
  <c r="L13"/>
  <c r="L14"/>
  <c r="L15"/>
  <c r="L16"/>
  <c r="L17"/>
  <c r="L18"/>
  <c r="L19"/>
  <c r="L20"/>
  <c r="L21"/>
  <c r="L22"/>
  <c r="L23"/>
  <c r="L24"/>
  <c r="AT38" i="10"/>
  <c r="AT29"/>
  <c r="AT28"/>
  <c r="AT27"/>
  <c r="AT25"/>
  <c r="AT24"/>
  <c r="AG38"/>
  <c r="AG29"/>
  <c r="AG28"/>
  <c r="AG27"/>
  <c r="AG25"/>
  <c r="AG24"/>
  <c r="AT5" i="41"/>
  <c r="AT6"/>
  <c r="AT8"/>
  <c r="AT9"/>
  <c r="AT10"/>
  <c r="AT11"/>
  <c r="AT12"/>
  <c r="AT13"/>
  <c r="AT14"/>
  <c r="AT16"/>
  <c r="AT17"/>
  <c r="AT19"/>
  <c r="AT20"/>
  <c r="AT21"/>
  <c r="AT22"/>
  <c r="AT23"/>
  <c r="AT24"/>
  <c r="AT25"/>
  <c r="AT4"/>
  <c r="E18" i="43"/>
  <c r="E19" s="1"/>
  <c r="AA27" i="35"/>
  <c r="AA20" i="15"/>
  <c r="W22" i="14"/>
  <c r="W23"/>
  <c r="W21"/>
  <c r="S22"/>
  <c r="S23"/>
  <c r="S21"/>
  <c r="W16"/>
  <c r="W17"/>
  <c r="W15"/>
  <c r="AA22" i="15"/>
  <c r="Z29" i="23"/>
  <c r="Z31"/>
  <c r="Z32"/>
  <c r="Z34"/>
  <c r="Z35"/>
  <c r="Z36"/>
  <c r="Z37"/>
  <c r="Z38"/>
  <c r="Z39"/>
  <c r="Z54"/>
  <c r="Z55"/>
  <c r="Z59"/>
  <c r="V8" i="36"/>
  <c r="V10"/>
  <c r="V11"/>
  <c r="V12"/>
  <c r="Q12" s="1"/>
  <c r="V15"/>
  <c r="V16"/>
  <c r="V17"/>
  <c r="V18"/>
  <c r="V19"/>
  <c r="V20"/>
  <c r="V21"/>
  <c r="Q21" s="1"/>
  <c r="V22"/>
  <c r="V23"/>
  <c r="V25"/>
  <c r="V26"/>
  <c r="V27"/>
  <c r="V30"/>
  <c r="Q30" s="1"/>
  <c r="V31"/>
  <c r="V33"/>
  <c r="Q33" s="1"/>
  <c r="V34"/>
  <c r="V35"/>
  <c r="V36"/>
  <c r="V37"/>
  <c r="Q37" s="1"/>
  <c r="W25" i="24" s="1"/>
  <c r="AE25" s="1"/>
  <c r="AA8" i="36"/>
  <c r="AA10"/>
  <c r="AA11"/>
  <c r="AA15"/>
  <c r="AA16"/>
  <c r="AA17"/>
  <c r="AA18"/>
  <c r="AA19"/>
  <c r="AA20"/>
  <c r="AA21"/>
  <c r="AA22"/>
  <c r="AA23"/>
  <c r="AA25"/>
  <c r="AA26"/>
  <c r="AA27"/>
  <c r="AA30"/>
  <c r="AA29" s="1"/>
  <c r="AA31"/>
  <c r="AA33"/>
  <c r="AA34"/>
  <c r="AA35"/>
  <c r="AA36"/>
  <c r="Y71" i="22"/>
  <c r="AF8" i="36"/>
  <c r="AF10"/>
  <c r="AF9" s="1"/>
  <c r="AF7" s="1"/>
  <c r="AF11"/>
  <c r="AF15"/>
  <c r="AF16"/>
  <c r="AF17"/>
  <c r="AF18"/>
  <c r="AF19"/>
  <c r="AF20"/>
  <c r="AF21"/>
  <c r="AF22"/>
  <c r="AF23"/>
  <c r="AF25"/>
  <c r="AF26"/>
  <c r="AF27"/>
  <c r="AF30"/>
  <c r="AF31"/>
  <c r="AF33"/>
  <c r="AF34"/>
  <c r="AF35"/>
  <c r="AF36"/>
  <c r="AE46" i="22"/>
  <c r="Y46"/>
  <c r="S46"/>
  <c r="AE35"/>
  <c r="Y35"/>
  <c r="S35"/>
  <c r="AF5" i="24"/>
  <c r="AD4"/>
  <c r="AE18"/>
  <c r="W17"/>
  <c r="AE17" s="1"/>
  <c r="W16"/>
  <c r="AE16" s="1"/>
  <c r="W15"/>
  <c r="AE15" s="1"/>
  <c r="S20" i="22"/>
  <c r="B70"/>
  <c r="B69"/>
  <c r="B68"/>
  <c r="W27" i="24"/>
  <c r="AE27" s="1"/>
  <c r="AA41" i="36"/>
  <c r="Q41" s="1"/>
  <c r="AF41"/>
  <c r="V40"/>
  <c r="AA40"/>
  <c r="AF40"/>
  <c r="AF39"/>
  <c r="AA39"/>
  <c r="V39"/>
  <c r="B61" i="22"/>
  <c r="V28" i="36"/>
  <c r="Q28" s="1"/>
  <c r="Z41" i="23"/>
  <c r="B64" i="22"/>
  <c r="B63"/>
  <c r="B62"/>
  <c r="B58"/>
  <c r="B59"/>
  <c r="B60"/>
  <c r="B57"/>
  <c r="B56"/>
  <c r="B55"/>
  <c r="B48"/>
  <c r="B49"/>
  <c r="B47"/>
  <c r="B44"/>
  <c r="B43"/>
  <c r="B42"/>
  <c r="B41"/>
  <c r="B40"/>
  <c r="B39"/>
  <c r="B38"/>
  <c r="B37"/>
  <c r="B36"/>
  <c r="S25"/>
  <c r="Q38" i="36"/>
  <c r="AE29" i="14"/>
  <c r="AA29"/>
  <c r="AE28"/>
  <c r="AA28"/>
  <c r="AE27"/>
  <c r="AA27"/>
  <c r="AT36" i="10"/>
  <c r="AG36"/>
  <c r="E45" i="43"/>
  <c r="H45"/>
  <c r="F47"/>
  <c r="J10" i="3"/>
  <c r="G496" i="7"/>
  <c r="G504" s="1"/>
  <c r="AD26" i="41" s="1"/>
  <c r="AR195" i="56"/>
  <c r="AH195"/>
  <c r="AH192"/>
  <c r="F151" i="7"/>
  <c r="AR192" i="56"/>
  <c r="Z7" i="41"/>
  <c r="AF216" i="63"/>
  <c r="AO216" s="1"/>
  <c r="AH30" i="56"/>
  <c r="AH90"/>
  <c r="AF209" i="63"/>
  <c r="AF143"/>
  <c r="AO143" s="1"/>
  <c r="AF76"/>
  <c r="AO76" s="1"/>
  <c r="Z15" i="41"/>
  <c r="F496" i="7"/>
  <c r="Z18" i="41" s="1"/>
  <c r="F504" i="7"/>
  <c r="Z26" i="41"/>
  <c r="W167" i="63"/>
  <c r="W272"/>
  <c r="AO31"/>
  <c r="AO91"/>
  <c r="Q40" i="36" l="1"/>
  <c r="Q34"/>
  <c r="Q27"/>
  <c r="Q22"/>
  <c r="Q36"/>
  <c r="V29"/>
  <c r="Q20"/>
  <c r="W80" i="63"/>
  <c r="W113"/>
  <c r="W131"/>
  <c r="AF29" i="36"/>
  <c r="W183" i="63"/>
  <c r="W219"/>
  <c r="W257"/>
  <c r="W202"/>
  <c r="W238"/>
  <c r="AO199"/>
  <c r="AD18" i="41"/>
  <c r="H47" i="43"/>
  <c r="AO194" i="63"/>
  <c r="AO30"/>
  <c r="AO218"/>
  <c r="AO214"/>
  <c r="AO210"/>
  <c r="AO129"/>
  <c r="AO125"/>
  <c r="AO110"/>
  <c r="AO77"/>
  <c r="AP11" i="41"/>
  <c r="AX11" s="1"/>
  <c r="AO38" i="63"/>
  <c r="AO34"/>
  <c r="AO128"/>
  <c r="AO237"/>
  <c r="AO162"/>
  <c r="AO252"/>
  <c r="AO248"/>
  <c r="AO181"/>
  <c r="AO96"/>
  <c r="AO60"/>
  <c r="AO56"/>
  <c r="AP4" i="41"/>
  <c r="AX4" s="1"/>
  <c r="AP10"/>
  <c r="AX10" s="1"/>
  <c r="AP8"/>
  <c r="AX8" s="1"/>
  <c r="AP6"/>
  <c r="AR72" i="40"/>
  <c r="AH38" i="64"/>
  <c r="AA74" i="12"/>
  <c r="BA72" i="40"/>
  <c r="BA52"/>
  <c r="W39" i="63"/>
  <c r="AF148"/>
  <c r="AO148" s="1"/>
  <c r="AH92" i="56"/>
  <c r="AF179" i="63"/>
  <c r="AO179" s="1"/>
  <c r="V29" i="44"/>
  <c r="M517" i="63"/>
  <c r="AH517" s="1"/>
  <c r="M516"/>
  <c r="AH516" s="1"/>
  <c r="M515"/>
  <c r="M514"/>
  <c r="AH514" s="1"/>
  <c r="M513"/>
  <c r="AH513" s="1"/>
  <c r="M512"/>
  <c r="Q26" i="36"/>
  <c r="Q11"/>
  <c r="Q17"/>
  <c r="AA9"/>
  <c r="AA7" s="1"/>
  <c r="AH118" i="56"/>
  <c r="AF254" i="63"/>
  <c r="AO254" s="1"/>
  <c r="AH120" i="56"/>
  <c r="AH60"/>
  <c r="AH116"/>
  <c r="AF32" i="63"/>
  <c r="AO32" s="1"/>
  <c r="AH54" i="56"/>
  <c r="AF253" i="63"/>
  <c r="AO253" s="1"/>
  <c r="AH69" i="56"/>
  <c r="AH37"/>
  <c r="G54" i="7"/>
  <c r="V26" i="44" s="1"/>
  <c r="V27" s="1"/>
  <c r="R25" s="1"/>
  <c r="R34" i="16" s="1"/>
  <c r="AH66" i="56"/>
  <c r="AH117"/>
  <c r="AF268" i="63"/>
  <c r="AO268" s="1"/>
  <c r="AH47" i="56"/>
  <c r="AH138"/>
  <c r="V21" i="44"/>
  <c r="AH151" i="56"/>
  <c r="AH43"/>
  <c r="AH94"/>
  <c r="Z84" i="55"/>
  <c r="AH151"/>
  <c r="Z68"/>
  <c r="Z66"/>
  <c r="AH146"/>
  <c r="Z78"/>
  <c r="AN78" s="1"/>
  <c r="AH145"/>
  <c r="AO580" i="63"/>
  <c r="H359" i="7"/>
  <c r="AR112" i="55"/>
  <c r="AR164"/>
  <c r="AR176"/>
  <c r="AR153"/>
  <c r="AR124"/>
  <c r="AR138"/>
  <c r="AO687" i="63"/>
  <c r="AR144" i="55"/>
  <c r="AR155"/>
  <c r="H357" i="7"/>
  <c r="Z71" i="55"/>
  <c r="Z70"/>
  <c r="Z69"/>
  <c r="AU37"/>
  <c r="W707" i="63"/>
  <c r="W709" s="1"/>
  <c r="AH156" i="55"/>
  <c r="Z77"/>
  <c r="H383" i="7"/>
  <c r="AH109" i="55"/>
  <c r="AO667" i="63"/>
  <c r="AH153" i="55"/>
  <c r="W657" i="63"/>
  <c r="AO657" s="1"/>
  <c r="AU83" i="55"/>
  <c r="H324" i="7"/>
  <c r="Z89" i="55"/>
  <c r="AN89" s="1"/>
  <c r="AU87"/>
  <c r="AO707" i="63"/>
  <c r="AR134" i="55"/>
  <c r="H377" i="7"/>
  <c r="AR159" i="55"/>
  <c r="AR126"/>
  <c r="AG94"/>
  <c r="AH133"/>
  <c r="AO754" i="63"/>
  <c r="AO640"/>
  <c r="AU62" i="55"/>
  <c r="AU97"/>
  <c r="AG68"/>
  <c r="AN68" s="1"/>
  <c r="AE120" i="12" s="1"/>
  <c r="H319" i="7"/>
  <c r="H345"/>
  <c r="AH124" i="55"/>
  <c r="AO876" i="63"/>
  <c r="AH119" i="55"/>
  <c r="H354" i="7"/>
  <c r="H335"/>
  <c r="Z38" i="55"/>
  <c r="AR150"/>
  <c r="AU38"/>
  <c r="AU35"/>
  <c r="AF750" i="63"/>
  <c r="AO750" s="1"/>
  <c r="AH115" i="55"/>
  <c r="H388" i="7"/>
  <c r="AU46" i="55"/>
  <c r="AR169"/>
  <c r="AR152"/>
  <c r="AR123"/>
  <c r="AO705" i="63"/>
  <c r="AR119" i="55"/>
  <c r="AO890" i="63"/>
  <c r="H412" i="7"/>
  <c r="H400"/>
  <c r="AO804" i="63"/>
  <c r="AO802"/>
  <c r="AH166" i="55"/>
  <c r="AO773" i="63"/>
  <c r="AU75" i="55"/>
  <c r="AU60"/>
  <c r="AU48"/>
  <c r="H415" i="7"/>
  <c r="W731" i="63"/>
  <c r="AO731" s="1"/>
  <c r="AR166" i="55"/>
  <c r="H358" i="7"/>
  <c r="H302"/>
  <c r="AH98" i="56"/>
  <c r="AF35" i="63"/>
  <c r="AO35" s="1"/>
  <c r="AO166"/>
  <c r="AH369"/>
  <c r="V30" i="44"/>
  <c r="AF270" i="63"/>
  <c r="H316" i="7"/>
  <c r="AH38" i="56"/>
  <c r="AU36" i="55"/>
  <c r="S998" i="63" s="1"/>
  <c r="AR174" i="55"/>
  <c r="AR131"/>
  <c r="AR108"/>
  <c r="AO730" i="63"/>
  <c r="H410" i="7"/>
  <c r="AO617" i="63"/>
  <c r="H246" i="7"/>
  <c r="H228"/>
  <c r="AG62" i="55"/>
  <c r="F434" i="7"/>
  <c r="AR32" i="40" s="1"/>
  <c r="AH91" i="56"/>
  <c r="H378" i="7"/>
  <c r="C422"/>
  <c r="AH46" i="56"/>
  <c r="AH50"/>
  <c r="AH53"/>
  <c r="AH44"/>
  <c r="AH51"/>
  <c r="AR158" i="55"/>
  <c r="AH111"/>
  <c r="H337" i="7"/>
  <c r="H199"/>
  <c r="Z87" i="55"/>
  <c r="AN87" s="1"/>
  <c r="W605" i="63"/>
  <c r="AG48" i="55"/>
  <c r="AG44" s="1"/>
  <c r="AO729" i="63"/>
  <c r="H409" i="7"/>
  <c r="AO861" i="63"/>
  <c r="AO841"/>
  <c r="AO785"/>
  <c r="AO551"/>
  <c r="AH476"/>
  <c r="AO149"/>
  <c r="D496" i="7"/>
  <c r="D504" s="1"/>
  <c r="BA67" i="40"/>
  <c r="BA79" s="1"/>
  <c r="BA45"/>
  <c r="BA37"/>
  <c r="W150" i="63"/>
  <c r="AR57" i="64"/>
  <c r="AO145" i="63"/>
  <c r="AR47" i="64"/>
  <c r="W99" i="63"/>
  <c r="W64"/>
  <c r="F128" i="7"/>
  <c r="S1012" i="63"/>
  <c r="AH83" i="56"/>
  <c r="AH111"/>
  <c r="AH108"/>
  <c r="AH137"/>
  <c r="AA48" i="12"/>
  <c r="D27" i="43"/>
  <c r="D29" s="1"/>
  <c r="D31" s="1"/>
  <c r="AH124" i="56"/>
  <c r="AH128"/>
  <c r="AH33" i="64"/>
  <c r="AA29" i="12"/>
  <c r="AA34"/>
  <c r="AA41"/>
  <c r="AA47"/>
  <c r="AA51"/>
  <c r="AH114" i="56"/>
  <c r="AH36"/>
  <c r="AF33" i="63"/>
  <c r="AO33" s="1"/>
  <c r="AF29"/>
  <c r="AO29" s="1"/>
  <c r="AH34" i="64"/>
  <c r="AA42" i="12"/>
  <c r="AA46"/>
  <c r="G65" i="43"/>
  <c r="AH26" i="64"/>
  <c r="AH35"/>
  <c r="AH31"/>
  <c r="AA28" i="12"/>
  <c r="AA43"/>
  <c r="AA44"/>
  <c r="AA53"/>
  <c r="X26" i="54"/>
  <c r="AH30" i="64"/>
  <c r="AA31" i="12"/>
  <c r="AA35"/>
  <c r="AA45"/>
  <c r="AA49"/>
  <c r="AA52"/>
  <c r="AO74" i="63"/>
  <c r="AA103" i="12"/>
  <c r="AH49" i="56"/>
  <c r="AF131" i="63"/>
  <c r="AO131" s="1"/>
  <c r="AF144"/>
  <c r="AO144" s="1"/>
  <c r="AA92" i="12"/>
  <c r="AF94" i="63"/>
  <c r="AO94" s="1"/>
  <c r="AA104" i="12"/>
  <c r="AF113" i="63"/>
  <c r="AH48" i="56"/>
  <c r="AA69" i="12"/>
  <c r="AN51" i="55"/>
  <c r="AH54" i="64"/>
  <c r="AH50"/>
  <c r="AH62"/>
  <c r="AH65"/>
  <c r="AA75" i="12"/>
  <c r="AA79"/>
  <c r="AA89"/>
  <c r="AA85"/>
  <c r="AA91"/>
  <c r="AA100"/>
  <c r="AA96"/>
  <c r="AA108"/>
  <c r="AA112"/>
  <c r="AF146" i="63"/>
  <c r="AO146" s="1"/>
  <c r="AF92"/>
  <c r="AO92" s="1"/>
  <c r="G77" i="43"/>
  <c r="AH46" i="64"/>
  <c r="AH55"/>
  <c r="AH51"/>
  <c r="AH63"/>
  <c r="AH59"/>
  <c r="AA78" i="12"/>
  <c r="AA81"/>
  <c r="AA86"/>
  <c r="AA82"/>
  <c r="AA101"/>
  <c r="AA97"/>
  <c r="AA107"/>
  <c r="AH56" i="64"/>
  <c r="AA77" i="12"/>
  <c r="AA68"/>
  <c r="AA87"/>
  <c r="AA94"/>
  <c r="AA110"/>
  <c r="G126" i="7"/>
  <c r="G81" i="43"/>
  <c r="AH48" i="64"/>
  <c r="AH53"/>
  <c r="AH49"/>
  <c r="AH58"/>
  <c r="AH61"/>
  <c r="AA88" i="12"/>
  <c r="AA84"/>
  <c r="AA99"/>
  <c r="AA105"/>
  <c r="AF736" i="63"/>
  <c r="AF738" s="1"/>
  <c r="AF888"/>
  <c r="AO888" s="1"/>
  <c r="AH169" i="55"/>
  <c r="AF748" i="63"/>
  <c r="AO748" s="1"/>
  <c r="AG95" i="55"/>
  <c r="AH137"/>
  <c r="Z49"/>
  <c r="AN46"/>
  <c r="Z43"/>
  <c r="AO752" i="63"/>
  <c r="AO618"/>
  <c r="AH171" i="55"/>
  <c r="H339" i="7"/>
  <c r="H331"/>
  <c r="AH170" i="55"/>
  <c r="AG31"/>
  <c r="Z36"/>
  <c r="Z32"/>
  <c r="AO834" i="63"/>
  <c r="H301" i="7"/>
  <c r="AO566" i="63"/>
  <c r="AO565"/>
  <c r="Z61" i="55"/>
  <c r="Z59" s="1"/>
  <c r="AN60"/>
  <c r="AH420" i="63"/>
  <c r="AH423" s="1"/>
  <c r="M423"/>
  <c r="AH412"/>
  <c r="AH415" s="1"/>
  <c r="M415"/>
  <c r="AH337"/>
  <c r="AU90" i="55"/>
  <c r="AR172"/>
  <c r="AU94"/>
  <c r="AH485" i="63"/>
  <c r="M485"/>
  <c r="W774"/>
  <c r="AO774" s="1"/>
  <c r="AR141" i="55"/>
  <c r="AU93"/>
  <c r="AU92"/>
  <c r="AO835" i="63"/>
  <c r="H250" i="7"/>
  <c r="H244"/>
  <c r="H243"/>
  <c r="AN53" i="55"/>
  <c r="AU70"/>
  <c r="AA122" i="12" s="1"/>
  <c r="AU68" i="55"/>
  <c r="AA120" i="12" s="1"/>
  <c r="AU67" i="55"/>
  <c r="AA119" i="12" s="1"/>
  <c r="M369" i="63"/>
  <c r="H175" i="7"/>
  <c r="H346"/>
  <c r="AR173" i="55"/>
  <c r="AO749" i="63"/>
  <c r="W568"/>
  <c r="W552"/>
  <c r="AH172" i="55"/>
  <c r="AG74"/>
  <c r="AG73" s="1"/>
  <c r="H203" i="7"/>
  <c r="F421"/>
  <c r="H180"/>
  <c r="H403"/>
  <c r="H407"/>
  <c r="AH144" i="55"/>
  <c r="AH174"/>
  <c r="H321" i="7"/>
  <c r="H270"/>
  <c r="AO536" i="63"/>
  <c r="AG49" i="55"/>
  <c r="Z50"/>
  <c r="AH168"/>
  <c r="AO753" i="63"/>
  <c r="AG66" i="55"/>
  <c r="AN58"/>
  <c r="AN57"/>
  <c r="AN54"/>
  <c r="AO697" i="63"/>
  <c r="AO666"/>
  <c r="AO532"/>
  <c r="AG43" i="55"/>
  <c r="AG85"/>
  <c r="AF568" i="63"/>
  <c r="AF569" s="1"/>
  <c r="AF552"/>
  <c r="AG71" i="55"/>
  <c r="AG70"/>
  <c r="Z62"/>
  <c r="H315" i="7"/>
  <c r="I315" s="1"/>
  <c r="H202"/>
  <c r="AO823" i="63"/>
  <c r="AO821"/>
  <c r="AG61" i="55"/>
  <c r="AG59" s="1"/>
  <c r="H251" i="7"/>
  <c r="H389"/>
  <c r="AF769" i="63"/>
  <c r="AF775" s="1"/>
  <c r="AH175" i="55"/>
  <c r="AH143"/>
  <c r="AH128"/>
  <c r="AH173"/>
  <c r="AG84"/>
  <c r="Z88"/>
  <c r="AN88" s="1"/>
  <c r="F422" i="7"/>
  <c r="AG90" i="55"/>
  <c r="AG86" s="1"/>
  <c r="AG50"/>
  <c r="AG38"/>
  <c r="AG36"/>
  <c r="AG32"/>
  <c r="AN29"/>
  <c r="Z48"/>
  <c r="Z44" s="1"/>
  <c r="H182" i="7"/>
  <c r="Z31" i="55"/>
  <c r="AO737" i="63"/>
  <c r="H347" i="7"/>
  <c r="H402"/>
  <c r="AO843" i="63"/>
  <c r="AO818"/>
  <c r="AF786"/>
  <c r="AO786" s="1"/>
  <c r="AO638"/>
  <c r="AO637"/>
  <c r="AO623"/>
  <c r="AO622"/>
  <c r="AO584"/>
  <c r="H284" i="7"/>
  <c r="Z67" i="55"/>
  <c r="H207" i="7"/>
  <c r="AO838" i="63"/>
  <c r="AN47" i="55"/>
  <c r="AN63"/>
  <c r="H332" i="7"/>
  <c r="H271"/>
  <c r="H311"/>
  <c r="H379"/>
  <c r="H186"/>
  <c r="W655" i="63"/>
  <c r="AO655" s="1"/>
  <c r="AR170" i="55"/>
  <c r="AR151"/>
  <c r="H325" i="7"/>
  <c r="AU89" i="55"/>
  <c r="Z83"/>
  <c r="AN83" s="1"/>
  <c r="AO684" i="63"/>
  <c r="AO815"/>
  <c r="AN28" i="55"/>
  <c r="H274" i="7"/>
  <c r="H349"/>
  <c r="AH132" i="55"/>
  <c r="AO860" i="63"/>
  <c r="H382" i="7"/>
  <c r="H338"/>
  <c r="AH131" i="55"/>
  <c r="AR175"/>
  <c r="H368" i="7"/>
  <c r="H184"/>
  <c r="H296"/>
  <c r="W698" i="63"/>
  <c r="AH135" i="55"/>
  <c r="H183" i="7"/>
  <c r="H392"/>
  <c r="AF603" i="63"/>
  <c r="AO550"/>
  <c r="AR128" i="55"/>
  <c r="AR114"/>
  <c r="AH114"/>
  <c r="H322" i="7"/>
  <c r="H176"/>
  <c r="AH154" i="55"/>
  <c r="Z95"/>
  <c r="Z85"/>
  <c r="AH197" i="56"/>
  <c r="AO531" i="63"/>
  <c r="AO601"/>
  <c r="AO599"/>
  <c r="AU43" i="55"/>
  <c r="H171" i="7"/>
  <c r="H189"/>
  <c r="AO874" i="63"/>
  <c r="H380" i="7"/>
  <c r="AO770" i="63"/>
  <c r="AO768"/>
  <c r="AN96" i="55"/>
  <c r="AU95"/>
  <c r="AU85"/>
  <c r="H248" i="7"/>
  <c r="H220"/>
  <c r="H219"/>
  <c r="AU66" i="55"/>
  <c r="AA118" i="12" s="1"/>
  <c r="H211" i="7"/>
  <c r="AN97" i="55"/>
  <c r="H191" i="7"/>
  <c r="H190"/>
  <c r="AN37" i="55"/>
  <c r="H181" i="7"/>
  <c r="M337" i="63"/>
  <c r="M476"/>
  <c r="H361" i="7"/>
  <c r="H174"/>
  <c r="AO816" i="63"/>
  <c r="AO706"/>
  <c r="W688"/>
  <c r="AO688" s="1"/>
  <c r="AF602"/>
  <c r="AO602" s="1"/>
  <c r="W891"/>
  <c r="AO891" s="1"/>
  <c r="AO735"/>
  <c r="W854"/>
  <c r="H381" i="7"/>
  <c r="W800" i="63"/>
  <c r="H373" i="7"/>
  <c r="H371"/>
  <c r="AO619" i="63"/>
  <c r="H287" i="7"/>
  <c r="H273"/>
  <c r="H259"/>
  <c r="H256"/>
  <c r="H255"/>
  <c r="H252"/>
  <c r="H235"/>
  <c r="H234"/>
  <c r="H233"/>
  <c r="H232"/>
  <c r="H231"/>
  <c r="H230"/>
  <c r="H227"/>
  <c r="H223"/>
  <c r="AO767" i="63"/>
  <c r="H279" i="7"/>
  <c r="H385"/>
  <c r="AU29" i="55"/>
  <c r="AU91"/>
  <c r="AR168"/>
  <c r="H404" i="7"/>
  <c r="H179"/>
  <c r="H363"/>
  <c r="H369"/>
  <c r="H343"/>
  <c r="H317"/>
  <c r="F456" s="1"/>
  <c r="AR68" i="40" s="1"/>
  <c r="AR67" s="1"/>
  <c r="AN91" i="55"/>
  <c r="AF856" i="63"/>
  <c r="AO856" s="1"/>
  <c r="H298" i="7"/>
  <c r="AU58" i="55"/>
  <c r="AR163"/>
  <c r="AR140"/>
  <c r="AH138"/>
  <c r="H328" i="7"/>
  <c r="AR152" i="56"/>
  <c r="H329" i="7"/>
  <c r="AF605" i="63"/>
  <c r="H291" i="7"/>
  <c r="H177"/>
  <c r="H173"/>
  <c r="AO894" i="63"/>
  <c r="AO732"/>
  <c r="H411" i="7"/>
  <c r="AO873" i="63"/>
  <c r="AO858"/>
  <c r="AO855"/>
  <c r="H397" i="7"/>
  <c r="H396"/>
  <c r="AO837" i="63"/>
  <c r="H387" i="7"/>
  <c r="H386"/>
  <c r="AO819" i="63"/>
  <c r="W817"/>
  <c r="AO817" s="1"/>
  <c r="H367" i="7"/>
  <c r="H362"/>
  <c r="H370"/>
  <c r="H314"/>
  <c r="AU63" i="55"/>
  <c r="AO583" i="63"/>
  <c r="H286" i="7"/>
  <c r="AO581" i="63"/>
  <c r="AF586"/>
  <c r="H282" i="7"/>
  <c r="AU78" i="55"/>
  <c r="H222" i="7"/>
  <c r="H215"/>
  <c r="I215" s="1"/>
  <c r="AR58" i="56"/>
  <c r="S1030" i="63" s="1"/>
  <c r="AR45" i="56"/>
  <c r="AR42" s="1"/>
  <c r="AR128"/>
  <c r="AH37" i="64"/>
  <c r="AA71" i="12"/>
  <c r="AA21" i="14"/>
  <c r="K20" i="27"/>
  <c r="Z65" i="23"/>
  <c r="Z30"/>
  <c r="AT30" i="10"/>
  <c r="AA23" i="14"/>
  <c r="AG26" i="10"/>
  <c r="AG37" s="1"/>
  <c r="L10" i="3"/>
  <c r="AG30" i="10"/>
  <c r="N20" i="27"/>
  <c r="AE22" i="14"/>
  <c r="AA26" i="35"/>
  <c r="I19" i="27"/>
  <c r="K19" s="1"/>
  <c r="N19" s="1"/>
  <c r="H504" i="7"/>
  <c r="AH26" i="41" s="1"/>
  <c r="AH18"/>
  <c r="AO142" i="63"/>
  <c r="E21" i="43"/>
  <c r="S15" i="14" s="1"/>
  <c r="AA15" s="1"/>
  <c r="E22" i="43"/>
  <c r="S16" i="14" s="1"/>
  <c r="AA16" s="1"/>
  <c r="G14"/>
  <c r="E23" i="43"/>
  <c r="S17" i="14" s="1"/>
  <c r="AE17" s="1"/>
  <c r="AH450" i="63"/>
  <c r="AF64"/>
  <c r="AO64" s="1"/>
  <c r="AO55"/>
  <c r="D39" i="43"/>
  <c r="D41" s="1"/>
  <c r="AA28" i="35" s="1"/>
  <c r="V9" i="36"/>
  <c r="Q10"/>
  <c r="I493" i="7"/>
  <c r="K493" s="1"/>
  <c r="AL7" i="41"/>
  <c r="AF535" i="63"/>
  <c r="AO535" s="1"/>
  <c r="Z75" i="55"/>
  <c r="AN75" s="1"/>
  <c r="AF658" i="63"/>
  <c r="AO658" s="1"/>
  <c r="H320" i="7"/>
  <c r="M456" i="63"/>
  <c r="AH456" s="1"/>
  <c r="H206" i="7"/>
  <c r="AF659" i="63"/>
  <c r="AH113" i="55"/>
  <c r="AF708" i="63"/>
  <c r="AO708" s="1"/>
  <c r="H340" i="7"/>
  <c r="M353" i="63"/>
  <c r="AH353" s="1"/>
  <c r="H187" i="7"/>
  <c r="M323" i="63"/>
  <c r="AH323" s="1"/>
  <c r="AH324" s="1"/>
  <c r="H185" i="7"/>
  <c r="W624" i="63"/>
  <c r="AO624" s="1"/>
  <c r="H308" i="7"/>
  <c r="AF229" i="63"/>
  <c r="AH107" i="56"/>
  <c r="AH87"/>
  <c r="AF200" i="63"/>
  <c r="AO200" s="1"/>
  <c r="AF163"/>
  <c r="AO163" s="1"/>
  <c r="AH61" i="56"/>
  <c r="AF180" i="63"/>
  <c r="AO180" s="1"/>
  <c r="AH68" i="56"/>
  <c r="H10" i="3"/>
  <c r="E47" i="43"/>
  <c r="AF530" i="63"/>
  <c r="AO530" s="1"/>
  <c r="H265" i="7"/>
  <c r="M296" i="63"/>
  <c r="AH296" s="1"/>
  <c r="H172" i="7"/>
  <c r="AU54" i="55"/>
  <c r="M440" i="63"/>
  <c r="AH440" s="1"/>
  <c r="AF165"/>
  <c r="AO165" s="1"/>
  <c r="AH63" i="56"/>
  <c r="AF161" i="63"/>
  <c r="AO161" s="1"/>
  <c r="AH59" i="56"/>
  <c r="AX6" i="41"/>
  <c r="AO579" i="63"/>
  <c r="AO675"/>
  <c r="H353" i="7"/>
  <c r="R153" i="16"/>
  <c r="H376" i="7"/>
  <c r="H351"/>
  <c r="H416"/>
  <c r="M396" i="63"/>
  <c r="AR115" i="55"/>
  <c r="AH155"/>
  <c r="AR153" i="56"/>
  <c r="W685" i="63"/>
  <c r="AO685" s="1"/>
  <c r="M290"/>
  <c r="AH290" s="1"/>
  <c r="W822"/>
  <c r="AO822" s="1"/>
  <c r="AF582"/>
  <c r="AO582" s="1"/>
  <c r="H204" i="7"/>
  <c r="AF215" i="63"/>
  <c r="AO215" s="1"/>
  <c r="M457"/>
  <c r="AH457" s="1"/>
  <c r="H313" i="7"/>
  <c r="H405"/>
  <c r="H418"/>
  <c r="AF90" i="63"/>
  <c r="AO90" s="1"/>
  <c r="W586"/>
  <c r="W587" s="1"/>
  <c r="AH158" i="55"/>
  <c r="H372" i="7"/>
  <c r="W842" i="63"/>
  <c r="AO842" s="1"/>
  <c r="AH15" i="41"/>
  <c r="H193" i="7"/>
  <c r="AU55" i="55"/>
  <c r="AF639" i="63"/>
  <c r="H194" i="7"/>
  <c r="AO597" i="63"/>
  <c r="AO124"/>
  <c r="H280" i="7"/>
  <c r="H312"/>
  <c r="H399"/>
  <c r="H414"/>
  <c r="H283"/>
  <c r="AG77" i="55"/>
  <c r="AH141"/>
  <c r="AH52" i="56"/>
  <c r="AH34"/>
  <c r="H195" i="7"/>
  <c r="H212"/>
  <c r="AF788" i="63"/>
  <c r="AO788" s="1"/>
  <c r="AN34" i="55"/>
  <c r="M352" i="63"/>
  <c r="H406" i="7"/>
  <c r="K485"/>
  <c r="M485" s="1"/>
  <c r="H364"/>
  <c r="AO859" i="63"/>
  <c r="AU47" i="55"/>
  <c r="J25" i="3"/>
  <c r="AF32" i="36"/>
  <c r="AT26" i="10"/>
  <c r="L493" i="7"/>
  <c r="AD7" i="41"/>
  <c r="AR142" i="55"/>
  <c r="AR132"/>
  <c r="AH117"/>
  <c r="AH116" s="1"/>
  <c r="AP21" i="41"/>
  <c r="AX21" s="1"/>
  <c r="AP13"/>
  <c r="AX13" s="1"/>
  <c r="H323" i="7"/>
  <c r="AR172" i="56"/>
  <c r="AR165"/>
  <c r="H213" i="7"/>
  <c r="H266"/>
  <c r="H293"/>
  <c r="AN45" i="55"/>
  <c r="H344" i="7"/>
  <c r="H408"/>
  <c r="AO772" i="63"/>
  <c r="H303" i="7"/>
  <c r="H275"/>
  <c r="H237"/>
  <c r="H209"/>
  <c r="H205"/>
  <c r="W715" i="63"/>
  <c r="AO715" s="1"/>
  <c r="AR135" i="55"/>
  <c r="AR137"/>
  <c r="H342" i="7"/>
  <c r="AF840" i="63"/>
  <c r="AO840" s="1"/>
  <c r="H394" i="7"/>
  <c r="W771" i="63"/>
  <c r="AO771" s="1"/>
  <c r="AR154" i="55"/>
  <c r="W789" i="63"/>
  <c r="W790" s="1"/>
  <c r="AR165" i="55"/>
  <c r="M437" i="63"/>
  <c r="AU51" i="55"/>
  <c r="H200" i="7"/>
  <c r="AF234" i="63"/>
  <c r="AO234" s="1"/>
  <c r="AH112" i="56"/>
  <c r="AH109"/>
  <c r="AF231" i="63"/>
  <c r="AO231" s="1"/>
  <c r="AF256"/>
  <c r="AO256" s="1"/>
  <c r="AH123" i="56"/>
  <c r="W676" i="63"/>
  <c r="AO676" s="1"/>
  <c r="AR117" i="55"/>
  <c r="H413" i="7"/>
  <c r="W889" i="63"/>
  <c r="AO889" s="1"/>
  <c r="H260" i="7"/>
  <c r="AU71" i="55"/>
  <c r="AF656" i="63"/>
  <c r="AH110" i="55"/>
  <c r="W677" i="63"/>
  <c r="AR118" i="55"/>
  <c r="W659" i="63"/>
  <c r="AR113" i="55"/>
  <c r="AF604" i="63"/>
  <c r="AO604" s="1"/>
  <c r="Z93" i="55"/>
  <c r="AN93" s="1"/>
  <c r="W600" i="63"/>
  <c r="H294" i="7"/>
  <c r="AF893" i="63"/>
  <c r="AO893" s="1"/>
  <c r="H417" i="7"/>
  <c r="AF839" i="63"/>
  <c r="AO839" s="1"/>
  <c r="H393" i="7"/>
  <c r="W801" i="63"/>
  <c r="AO801" s="1"/>
  <c r="H375" i="7"/>
  <c r="W755" i="63"/>
  <c r="AO755" s="1"/>
  <c r="AR145" i="55"/>
  <c r="H305" i="7"/>
  <c r="W621" i="63"/>
  <c r="AO621" s="1"/>
  <c r="H281" i="7"/>
  <c r="W567" i="63"/>
  <c r="AO567" s="1"/>
  <c r="M439"/>
  <c r="AH439" s="1"/>
  <c r="AU53" i="55"/>
  <c r="AF197" i="63"/>
  <c r="AO197" s="1"/>
  <c r="AH84" i="56"/>
  <c r="Q16" i="36"/>
  <c r="AA22" i="14"/>
  <c r="H198" i="7"/>
  <c r="AF875" i="63"/>
  <c r="AO875" s="1"/>
  <c r="M286"/>
  <c r="AH286" s="1"/>
  <c r="AH7" i="41"/>
  <c r="AU57" i="55"/>
  <c r="H326" i="7"/>
  <c r="W728" i="63"/>
  <c r="H221" i="7"/>
  <c r="H210"/>
  <c r="AU45" i="55"/>
  <c r="H391" i="7"/>
  <c r="AU30" i="55"/>
  <c r="V32" i="36"/>
  <c r="Q18"/>
  <c r="Z33" i="23"/>
  <c r="AE21" i="14"/>
  <c r="L11" i="3"/>
  <c r="AN99" i="55"/>
  <c r="AR171"/>
  <c r="AH134"/>
  <c r="AH127"/>
  <c r="H192" i="7"/>
  <c r="F127"/>
  <c r="AR143" i="56" s="1"/>
  <c r="AP25" i="41"/>
  <c r="AX25" s="1"/>
  <c r="AP20"/>
  <c r="AX20" s="1"/>
  <c r="AH150" i="55"/>
  <c r="AG67"/>
  <c r="H341" i="7"/>
  <c r="I341" s="1"/>
  <c r="AR124" i="56"/>
  <c r="AR65"/>
  <c r="AR197"/>
  <c r="AN92" i="55"/>
  <c r="M357" i="63"/>
  <c r="AH357" s="1"/>
  <c r="H178" i="7"/>
  <c r="W877" i="63"/>
  <c r="AO877" s="1"/>
  <c r="W872"/>
  <c r="H395" i="7"/>
  <c r="H356"/>
  <c r="H258"/>
  <c r="H249"/>
  <c r="H247"/>
  <c r="M441" i="63"/>
  <c r="AH441" s="1"/>
  <c r="AH119" i="56"/>
  <c r="AH70"/>
  <c r="AF213" i="63"/>
  <c r="AO213" s="1"/>
  <c r="AO733"/>
  <c r="AO892"/>
  <c r="Q39" i="36"/>
  <c r="AF24"/>
  <c r="AF14"/>
  <c r="Q35"/>
  <c r="AA24"/>
  <c r="AA14"/>
  <c r="Q19"/>
  <c r="V14"/>
  <c r="Q8"/>
  <c r="W20" i="24" s="1"/>
  <c r="AE20" s="1"/>
  <c r="H267" i="7"/>
  <c r="AR89" i="56"/>
  <c r="H197" i="7"/>
  <c r="BA59" i="40"/>
  <c r="H366" i="7"/>
  <c r="H352"/>
  <c r="H240"/>
  <c r="H226"/>
  <c r="AH110" i="56"/>
  <c r="AH106"/>
  <c r="AH86"/>
  <c r="AH80"/>
  <c r="AF25" i="63"/>
  <c r="AF78"/>
  <c r="AO78" s="1"/>
  <c r="S1051"/>
  <c r="S1042"/>
  <c r="AF235"/>
  <c r="AO235" s="1"/>
  <c r="AP24" i="41"/>
  <c r="AX24" s="1"/>
  <c r="AP16"/>
  <c r="AX16" s="1"/>
  <c r="AP5"/>
  <c r="AX5" s="1"/>
  <c r="AO668" i="63"/>
  <c r="AR33" i="56"/>
  <c r="AR29"/>
  <c r="S1062" i="63" s="1"/>
  <c r="H295" i="7"/>
  <c r="AU34" i="55"/>
  <c r="H216" i="7"/>
  <c r="H307"/>
  <c r="H261"/>
  <c r="H253"/>
  <c r="H242"/>
  <c r="AU69" i="55"/>
  <c r="AA121" i="12" s="1"/>
  <c r="H238" i="7"/>
  <c r="H236"/>
  <c r="H229"/>
  <c r="AU61" i="55"/>
  <c r="AA13" i="36"/>
  <c r="H327" i="7"/>
  <c r="AF677" i="63"/>
  <c r="AF820"/>
  <c r="AO820" s="1"/>
  <c r="H384" i="7"/>
  <c r="W756" i="63"/>
  <c r="AO756" s="1"/>
  <c r="H360" i="7"/>
  <c r="AR146" i="55"/>
  <c r="H355" i="7"/>
  <c r="W751" i="63"/>
  <c r="AO751" s="1"/>
  <c r="AR143" i="55"/>
  <c r="AF789" i="63"/>
  <c r="AH165" i="55"/>
  <c r="AH88" i="56"/>
  <c r="AF201" i="63"/>
  <c r="AO201" s="1"/>
  <c r="AF198"/>
  <c r="AO198" s="1"/>
  <c r="AH85" i="56"/>
  <c r="Z74" i="55"/>
  <c r="H263" i="7"/>
  <c r="AF528" i="63"/>
  <c r="H336" i="7"/>
  <c r="AF698" i="63"/>
  <c r="W696"/>
  <c r="AO696" s="1"/>
  <c r="AR127" i="55"/>
  <c r="H334" i="7"/>
  <c r="W656" i="63"/>
  <c r="AR110" i="55"/>
  <c r="H318" i="7"/>
  <c r="W534" i="63"/>
  <c r="AO534" s="1"/>
  <c r="H269" i="7"/>
  <c r="W635" i="63"/>
  <c r="H309" i="7"/>
  <c r="H304"/>
  <c r="W620" i="63"/>
  <c r="AO620" s="1"/>
  <c r="Q29" i="36"/>
  <c r="W23" i="24" s="1"/>
  <c r="AE23" s="1"/>
  <c r="AR115" i="56"/>
  <c r="AO803" i="63"/>
  <c r="AO209"/>
  <c r="H365" i="7"/>
  <c r="M455" i="63"/>
  <c r="AH455" s="1"/>
  <c r="AA32" i="36"/>
  <c r="Q32" s="1"/>
  <c r="W24" i="24" s="1"/>
  <c r="AE24" s="1"/>
  <c r="Q15" i="36"/>
  <c r="Z52" i="23"/>
  <c r="AE23" i="14"/>
  <c r="K25" i="3"/>
  <c r="AP14" i="41"/>
  <c r="AX14" s="1"/>
  <c r="H276" i="7"/>
  <c r="AF533" i="63"/>
  <c r="AO533" s="1"/>
  <c r="H268" i="7"/>
  <c r="AF695" i="63"/>
  <c r="H333" i="7"/>
  <c r="M298" i="63"/>
  <c r="AH298" s="1"/>
  <c r="AU31" i="55"/>
  <c r="AF616" i="63"/>
  <c r="H300" i="7"/>
  <c r="Z94" i="55"/>
  <c r="H277" i="7"/>
  <c r="W563" i="63"/>
  <c r="AU84" i="55"/>
  <c r="AP7" i="41"/>
  <c r="AX7" s="1"/>
  <c r="Q23" i="36"/>
  <c r="AP17" i="41"/>
  <c r="AX17" s="1"/>
  <c r="Q25" i="36"/>
  <c r="V24"/>
  <c r="W736" i="63"/>
  <c r="H350" i="7"/>
  <c r="H390"/>
  <c r="W836" i="63"/>
  <c r="AO836" s="1"/>
  <c r="AO178"/>
  <c r="AU56" i="55"/>
  <c r="Q31" i="36"/>
  <c r="AF686" i="63"/>
  <c r="AO686" s="1"/>
  <c r="H330" i="7"/>
  <c r="H297"/>
  <c r="W603" i="63"/>
  <c r="H292" i="7"/>
  <c r="W598" i="63"/>
  <c r="AO598" s="1"/>
  <c r="AU88" i="55"/>
  <c r="AU32"/>
  <c r="M300" i="63"/>
  <c r="AH300" s="1"/>
  <c r="AF787"/>
  <c r="AO787" s="1"/>
  <c r="AH163" i="55"/>
  <c r="H310" i="7"/>
  <c r="AF636" i="63"/>
  <c r="AO636" s="1"/>
  <c r="AF195"/>
  <c r="AO195" s="1"/>
  <c r="AH150" i="56"/>
  <c r="AH35"/>
  <c r="AF28" i="63"/>
  <c r="AO28" s="1"/>
  <c r="AP12" i="41"/>
  <c r="AX12" s="1"/>
  <c r="AP9"/>
  <c r="AX9" s="1"/>
  <c r="H299" i="7"/>
  <c r="AR105" i="56"/>
  <c r="AR79"/>
  <c r="AN55" i="55"/>
  <c r="H290" i="7"/>
  <c r="H285"/>
  <c r="H225"/>
  <c r="H224"/>
  <c r="H217"/>
  <c r="AH165" i="56"/>
  <c r="AF654" i="63"/>
  <c r="AH108" i="55"/>
  <c r="M354" i="63"/>
  <c r="AH354" s="1"/>
  <c r="H188" i="7"/>
  <c r="AU28" i="55"/>
  <c r="M295" i="63"/>
  <c r="C421" i="7"/>
  <c r="H348"/>
  <c r="W734" i="63"/>
  <c r="AO734" s="1"/>
  <c r="H401" i="7"/>
  <c r="W857" i="63"/>
  <c r="AO857" s="1"/>
  <c r="W639"/>
  <c r="AU96" i="55"/>
  <c r="M499" i="63"/>
  <c r="H214" i="7"/>
  <c r="AH515" i="63"/>
  <c r="AG69" i="55"/>
  <c r="AU52"/>
  <c r="M451" i="63"/>
  <c r="AH451" s="1"/>
  <c r="H201" i="7"/>
  <c r="AF217" i="63"/>
  <c r="AO217" s="1"/>
  <c r="AH97" i="56"/>
  <c r="AP23" i="41"/>
  <c r="AX23" s="1"/>
  <c r="AP19"/>
  <c r="AX19" s="1"/>
  <c r="H264" i="7"/>
  <c r="H208"/>
  <c r="AN56" i="55"/>
  <c r="AN30"/>
  <c r="H306" i="7"/>
  <c r="H288"/>
  <c r="AF164" i="63"/>
  <c r="AO164" s="1"/>
  <c r="W537"/>
  <c r="AO537" s="1"/>
  <c r="H272" i="7"/>
  <c r="AU74" i="55"/>
  <c r="W528" i="63"/>
  <c r="AF600"/>
  <c r="Z90" i="55"/>
  <c r="M387" i="63"/>
  <c r="H196" i="7"/>
  <c r="AF854" i="63"/>
  <c r="H398" i="7"/>
  <c r="AF800" i="63"/>
  <c r="H374" i="7"/>
  <c r="H289"/>
  <c r="AF585" i="63"/>
  <c r="AO585" s="1"/>
  <c r="H278" i="7"/>
  <c r="W564" i="63"/>
  <c r="AO564" s="1"/>
  <c r="W549"/>
  <c r="AU77" i="55"/>
  <c r="AH32" i="56"/>
  <c r="AH29" s="1"/>
  <c r="AF26" i="63"/>
  <c r="AO26" s="1"/>
  <c r="AF529"/>
  <c r="AO529" s="1"/>
  <c r="AN52" i="55"/>
  <c r="AN35"/>
  <c r="H262" i="7"/>
  <c r="H257"/>
  <c r="H254"/>
  <c r="H245"/>
  <c r="H241"/>
  <c r="H239"/>
  <c r="H218"/>
  <c r="AH172" i="56"/>
  <c r="AU49" i="55"/>
  <c r="AH81" i="56"/>
  <c r="AH64"/>
  <c r="AH82"/>
  <c r="I273" i="7" l="1"/>
  <c r="AF13" i="36"/>
  <c r="AF6" s="1"/>
  <c r="AF5" s="1"/>
  <c r="Q24"/>
  <c r="M493" i="7"/>
  <c r="AA36" i="12"/>
  <c r="BA65" i="40"/>
  <c r="AR80"/>
  <c r="BA46"/>
  <c r="AO415" i="63"/>
  <c r="AO485"/>
  <c r="AO423"/>
  <c r="AO476"/>
  <c r="AO698"/>
  <c r="AO369"/>
  <c r="AG30" i="44"/>
  <c r="R29" s="1"/>
  <c r="R38" i="16" s="1"/>
  <c r="AO677" i="63"/>
  <c r="Q14" i="36"/>
  <c r="AA6"/>
  <c r="Q9"/>
  <c r="W21" i="24" s="1"/>
  <c r="AE21" s="1"/>
  <c r="L25" i="3"/>
  <c r="AB1051" i="63"/>
  <c r="AA90" i="12"/>
  <c r="E7" i="43"/>
  <c r="E9" s="1"/>
  <c r="AA21" i="15" s="1"/>
  <c r="AB1042" i="63"/>
  <c r="H20" i="27"/>
  <c r="H19" s="1"/>
  <c r="AB1010" i="63"/>
  <c r="V32" i="44"/>
  <c r="AG32" s="1"/>
  <c r="R31" s="1"/>
  <c r="R40" i="16" s="1"/>
  <c r="G128" i="7"/>
  <c r="S6" i="44" s="1"/>
  <c r="S15" i="16" s="1"/>
  <c r="AH152" i="56"/>
  <c r="G132" i="7" s="1"/>
  <c r="G134" s="1"/>
  <c r="AH154" i="56" s="1"/>
  <c r="AH45"/>
  <c r="AH42" s="1"/>
  <c r="AB1021" i="63" s="1"/>
  <c r="AA70" i="12"/>
  <c r="V22" i="44"/>
  <c r="R21" s="1"/>
  <c r="R30" i="16" s="1"/>
  <c r="V23" i="44"/>
  <c r="AF99" i="63"/>
  <c r="AO99" s="1"/>
  <c r="AA93" i="12"/>
  <c r="AN71" i="55"/>
  <c r="AN94"/>
  <c r="T489" i="63"/>
  <c r="AN70" i="55"/>
  <c r="AE122" i="12" s="1"/>
  <c r="AN84" i="55"/>
  <c r="AN66"/>
  <c r="AE118" i="12" s="1"/>
  <c r="AN90" i="55"/>
  <c r="AO769" i="63"/>
  <c r="AN69" i="55"/>
  <c r="AE121" i="12" s="1"/>
  <c r="AH115" i="56"/>
  <c r="AO605" i="63"/>
  <c r="AR136" i="55"/>
  <c r="T341" i="63"/>
  <c r="Z65" i="55"/>
  <c r="I374" i="7"/>
  <c r="AH291" i="63"/>
  <c r="F424" i="7"/>
  <c r="AF757" i="63"/>
  <c r="AU73" i="55"/>
  <c r="F466" i="7" s="1"/>
  <c r="AR85" i="40" s="1"/>
  <c r="AH89" i="56"/>
  <c r="AU59" i="55"/>
  <c r="AU33"/>
  <c r="AN85"/>
  <c r="Z33"/>
  <c r="AO324" i="63" s="1"/>
  <c r="AO736"/>
  <c r="AH179" i="56"/>
  <c r="G149" i="7" s="1"/>
  <c r="AO656" i="63"/>
  <c r="F423" i="7"/>
  <c r="AN38" i="55"/>
  <c r="AN95"/>
  <c r="AO600" i="63"/>
  <c r="I398" i="7"/>
  <c r="AR130" i="55"/>
  <c r="I337" i="7"/>
  <c r="T426" i="63"/>
  <c r="T488"/>
  <c r="AG76" i="55"/>
  <c r="AG72" s="1"/>
  <c r="AF167" i="63"/>
  <c r="AO167" s="1"/>
  <c r="I352" i="7"/>
  <c r="I178"/>
  <c r="I192"/>
  <c r="AN43" i="55"/>
  <c r="AF39" i="63"/>
  <c r="AO39" s="1"/>
  <c r="AO270"/>
  <c r="AF272"/>
  <c r="AO272" s="1"/>
  <c r="W805"/>
  <c r="M291"/>
  <c r="AN49" i="55"/>
  <c r="I412" i="7"/>
  <c r="I406"/>
  <c r="AF150" i="63"/>
  <c r="AN44" i="55"/>
  <c r="AN62"/>
  <c r="AO568" i="63"/>
  <c r="AH47" i="64"/>
  <c r="V18" i="41"/>
  <c r="BA80" i="40"/>
  <c r="BA64"/>
  <c r="AO150" i="63"/>
  <c r="AH136" i="55"/>
  <c r="AN36"/>
  <c r="AB998" i="63" s="1"/>
  <c r="AR75" i="56"/>
  <c r="AN32" i="55"/>
  <c r="AN48"/>
  <c r="AR107"/>
  <c r="AH167"/>
  <c r="AH139"/>
  <c r="AR178" i="56"/>
  <c r="AU76" i="55"/>
  <c r="S1063" i="63" s="1"/>
  <c r="S1064" s="1"/>
  <c r="AH107" i="55"/>
  <c r="AH125"/>
  <c r="AB1062" i="63"/>
  <c r="AF202"/>
  <c r="AO202" s="1"/>
  <c r="AH105" i="56"/>
  <c r="AH58"/>
  <c r="AB1030" i="63" s="1"/>
  <c r="AO229"/>
  <c r="AF238"/>
  <c r="AO238" s="1"/>
  <c r="AA27" i="12"/>
  <c r="AO25" i="63"/>
  <c r="AH79" i="56"/>
  <c r="AH33"/>
  <c r="AH28" s="1"/>
  <c r="AH65"/>
  <c r="AB1031" i="63" s="1"/>
  <c r="AF80"/>
  <c r="AO80" s="1"/>
  <c r="AA80" i="12"/>
  <c r="AF219" i="63"/>
  <c r="AO219" s="1"/>
  <c r="AF257"/>
  <c r="AO257" s="1"/>
  <c r="AH57" i="64"/>
  <c r="AF183" i="63"/>
  <c r="AO183" s="1"/>
  <c r="AB1011"/>
  <c r="G127" i="7"/>
  <c r="R5" i="44" s="1"/>
  <c r="R14" i="16" s="1"/>
  <c r="AR149" i="55"/>
  <c r="AN50"/>
  <c r="AR157"/>
  <c r="AU44"/>
  <c r="AG27"/>
  <c r="AU86"/>
  <c r="H422" i="7"/>
  <c r="AR125" i="55"/>
  <c r="AR79" i="40"/>
  <c r="AO659" i="63"/>
  <c r="Z76" i="55"/>
  <c r="AF844" i="63"/>
  <c r="I277" i="7"/>
  <c r="I209"/>
  <c r="AN31" i="55"/>
  <c r="AU65"/>
  <c r="I388" i="7"/>
  <c r="I217"/>
  <c r="W738" i="63"/>
  <c r="AO738" s="1"/>
  <c r="W699"/>
  <c r="AH387"/>
  <c r="AH388" s="1"/>
  <c r="AO388" s="1"/>
  <c r="M388"/>
  <c r="I263" i="7"/>
  <c r="I300"/>
  <c r="I333"/>
  <c r="AR155" i="56"/>
  <c r="I325" i="7"/>
  <c r="I186"/>
  <c r="AU27" i="55"/>
  <c r="I309" i="7"/>
  <c r="I260"/>
  <c r="AU50" i="55"/>
  <c r="I342" i="7"/>
  <c r="W844" i="63"/>
  <c r="AR139" i="55"/>
  <c r="F440" i="7"/>
  <c r="AR39" i="40" s="1"/>
  <c r="I361" i="7"/>
  <c r="W625" i="63"/>
  <c r="W689"/>
  <c r="I316" i="7"/>
  <c r="W775" i="63"/>
  <c r="AO775" s="1"/>
  <c r="W824"/>
  <c r="W678"/>
  <c r="AR116" i="55"/>
  <c r="I200" i="7"/>
  <c r="F453" s="1"/>
  <c r="AR61" i="40" s="1"/>
  <c r="W606" i="63"/>
  <c r="I283" i="7"/>
  <c r="AH458" i="63"/>
  <c r="AO458" s="1"/>
  <c r="W862"/>
  <c r="I322" i="7"/>
  <c r="W895" i="63"/>
  <c r="W660"/>
  <c r="W757"/>
  <c r="AH396"/>
  <c r="AH398" s="1"/>
  <c r="AO398" s="1"/>
  <c r="M398"/>
  <c r="I197" i="7"/>
  <c r="AN67" i="55"/>
  <c r="AE119" i="12" s="1"/>
  <c r="M458" i="63"/>
  <c r="I291" i="7"/>
  <c r="F446" s="1"/>
  <c r="AR53" i="40" s="1"/>
  <c r="I328" i="7"/>
  <c r="I369"/>
  <c r="F443" s="1"/>
  <c r="AR42" i="40" s="1"/>
  <c r="AR167" i="55"/>
  <c r="I379" i="7"/>
  <c r="M324" i="63"/>
  <c r="T340" s="1"/>
  <c r="T427"/>
  <c r="AF689"/>
  <c r="AF606"/>
  <c r="Z86" i="55"/>
  <c r="AN86" s="1"/>
  <c r="AN61"/>
  <c r="AO639" i="63"/>
  <c r="AR99" i="56"/>
  <c r="AN77" i="55"/>
  <c r="AF538" i="63"/>
  <c r="AO586"/>
  <c r="AF709"/>
  <c r="AO709" s="1"/>
  <c r="AG65" i="55"/>
  <c r="AF678" i="63"/>
  <c r="AO552"/>
  <c r="AF553"/>
  <c r="AF790"/>
  <c r="AO790" s="1"/>
  <c r="AH157" i="55"/>
  <c r="AG33"/>
  <c r="AO337" i="63" s="1"/>
  <c r="AF895"/>
  <c r="AO895" s="1"/>
  <c r="Z27" i="55"/>
  <c r="AH149"/>
  <c r="AH130"/>
  <c r="AF641" i="63"/>
  <c r="AF587"/>
  <c r="AO587" s="1"/>
  <c r="AF824"/>
  <c r="AF878"/>
  <c r="I171" i="7"/>
  <c r="H421"/>
  <c r="AO603" i="63"/>
  <c r="AO789"/>
  <c r="AR74" i="56"/>
  <c r="AR156"/>
  <c r="AE16" i="14"/>
  <c r="AG31" i="10"/>
  <c r="Z27" i="23"/>
  <c r="S26" i="22" s="1"/>
  <c r="AE15" i="14"/>
  <c r="AT31" i="10"/>
  <c r="AO872" i="63"/>
  <c r="W878"/>
  <c r="AH437"/>
  <c r="AH445" s="1"/>
  <c r="AO445" s="1"/>
  <c r="M445"/>
  <c r="M358"/>
  <c r="T372" s="1"/>
  <c r="AH352"/>
  <c r="AH358" s="1"/>
  <c r="M518"/>
  <c r="AH512"/>
  <c r="AH518" s="1"/>
  <c r="V26" i="41"/>
  <c r="V7" i="36"/>
  <c r="Q7" s="1"/>
  <c r="AT37" i="10"/>
  <c r="V13" i="36"/>
  <c r="Q13" s="1"/>
  <c r="W22" i="24" s="1"/>
  <c r="AE22" s="1"/>
  <c r="I214" i="7"/>
  <c r="AR28" i="56"/>
  <c r="AR56" s="1"/>
  <c r="AO728" i="63"/>
  <c r="S1031"/>
  <c r="S1032" s="1"/>
  <c r="AA17" i="14"/>
  <c r="AN59" i="55"/>
  <c r="AL15" i="41"/>
  <c r="AP15" s="1"/>
  <c r="AX15" s="1"/>
  <c r="I496" i="7"/>
  <c r="L496"/>
  <c r="AT15" i="41"/>
  <c r="AR179" i="56"/>
  <c r="S1021" i="63"/>
  <c r="W569"/>
  <c r="AO569" s="1"/>
  <c r="AO563"/>
  <c r="AF625"/>
  <c r="AO616"/>
  <c r="AF699"/>
  <c r="AO695"/>
  <c r="W641"/>
  <c r="AO635"/>
  <c r="W553"/>
  <c r="AO549"/>
  <c r="AF862"/>
  <c r="AO854"/>
  <c r="AO654"/>
  <c r="AF660"/>
  <c r="Z73" i="55"/>
  <c r="AN74"/>
  <c r="AA5" i="36"/>
  <c r="W538" i="63"/>
  <c r="AO528"/>
  <c r="AR135" i="56"/>
  <c r="AR136"/>
  <c r="AH178"/>
  <c r="AH499" i="63"/>
  <c r="AH502" s="1"/>
  <c r="M502"/>
  <c r="M302"/>
  <c r="AH295"/>
  <c r="AH302" s="1"/>
  <c r="AO800"/>
  <c r="AF805"/>
  <c r="C423" i="7"/>
  <c r="C424"/>
  <c r="AH153" i="56"/>
  <c r="G133" i="7" s="1"/>
  <c r="AR100" i="56"/>
  <c r="AH148" i="55" l="1"/>
  <c r="F441" i="7"/>
  <c r="AR40" i="40" s="1"/>
  <c r="AR148" i="55"/>
  <c r="S919" i="63" s="1"/>
  <c r="AH106" i="55"/>
  <c r="I345" i="7" s="1"/>
  <c r="AR106" i="55"/>
  <c r="I346" i="7" s="1"/>
  <c r="BA82" i="40"/>
  <c r="L29" i="50"/>
  <c r="L33" s="1"/>
  <c r="BA81" i="40"/>
  <c r="AA19" i="15"/>
  <c r="AA26" i="12"/>
  <c r="G102" i="43" s="1"/>
  <c r="I102" s="1"/>
  <c r="AO302" i="63"/>
  <c r="AO502"/>
  <c r="T373"/>
  <c r="AO358"/>
  <c r="AO291"/>
  <c r="V6" i="36"/>
  <c r="V5" s="1"/>
  <c r="Q5" s="1"/>
  <c r="AB1012" i="63"/>
  <c r="AA24" i="15"/>
  <c r="AA23"/>
  <c r="AA67" i="12"/>
  <c r="AA65" s="1"/>
  <c r="G103" i="43" s="1"/>
  <c r="I103" s="1"/>
  <c r="R120" i="44"/>
  <c r="P30" i="48" s="1"/>
  <c r="Q32" s="1"/>
  <c r="R117" i="44"/>
  <c r="R132" i="16" s="1"/>
  <c r="Z27" i="26" s="1"/>
  <c r="AN65" i="55"/>
  <c r="H125" i="7" s="1"/>
  <c r="I125" s="1"/>
  <c r="AH136" i="56"/>
  <c r="T306" i="63"/>
  <c r="S918"/>
  <c r="AO757"/>
  <c r="F445" i="7"/>
  <c r="AR44" i="40" s="1"/>
  <c r="AO699" i="63"/>
  <c r="AH100" i="56"/>
  <c r="AO689" i="63"/>
  <c r="AO678"/>
  <c r="AO606"/>
  <c r="AO844"/>
  <c r="AO625"/>
  <c r="T461"/>
  <c r="AO824"/>
  <c r="AH135" i="56"/>
  <c r="AB1032" i="63"/>
  <c r="T402"/>
  <c r="AO805"/>
  <c r="T462"/>
  <c r="F444" i="7"/>
  <c r="AR43" i="40" s="1"/>
  <c r="AH74" i="56"/>
  <c r="AN76" i="55"/>
  <c r="AB1063" i="63" s="1"/>
  <c r="AB1064" s="1"/>
  <c r="T305"/>
  <c r="AO538"/>
  <c r="AH75" i="56"/>
  <c r="AO553" i="63"/>
  <c r="AG26" i="55"/>
  <c r="AH99" i="56"/>
  <c r="F439" i="7"/>
  <c r="AR38" i="40" s="1"/>
  <c r="F452" i="7"/>
  <c r="AR60" i="40" s="1"/>
  <c r="AN27" i="55"/>
  <c r="AF669" i="63"/>
  <c r="S929"/>
  <c r="AU72" i="55"/>
  <c r="AU64" s="1"/>
  <c r="AR182" i="56"/>
  <c r="AR55"/>
  <c r="AR76" s="1"/>
  <c r="AH55"/>
  <c r="AB1020" i="63"/>
  <c r="AB1022" s="1"/>
  <c r="Z26" i="55"/>
  <c r="AH56" i="56"/>
  <c r="AR181"/>
  <c r="AO878" i="63"/>
  <c r="F442" i="7"/>
  <c r="AR41" i="40" s="1"/>
  <c r="AU26" i="55"/>
  <c r="S941" i="63" s="1"/>
  <c r="T401"/>
  <c r="F447" i="7"/>
  <c r="AR54" i="40" s="1"/>
  <c r="W669" i="63"/>
  <c r="AO660"/>
  <c r="AO862"/>
  <c r="F436" i="7"/>
  <c r="AR34" i="40" s="1"/>
  <c r="AR37" s="1"/>
  <c r="AB930" i="63"/>
  <c r="AN33" i="55"/>
  <c r="AO641" i="63"/>
  <c r="AG64" i="55"/>
  <c r="Q52" i="23"/>
  <c r="AL18" i="41"/>
  <c r="AP18" s="1"/>
  <c r="K496" i="7"/>
  <c r="M496" s="1"/>
  <c r="L504"/>
  <c r="AT26" i="41" s="1"/>
  <c r="AT18"/>
  <c r="W19" i="24"/>
  <c r="S1020" i="63"/>
  <c r="S1022" s="1"/>
  <c r="AH155" i="56"/>
  <c r="G148" i="7"/>
  <c r="G150" s="1"/>
  <c r="AH180" i="56" s="1"/>
  <c r="AH182" s="1"/>
  <c r="AN73" i="55"/>
  <c r="Z72"/>
  <c r="AH156" i="56"/>
  <c r="BA84" i="40" l="1"/>
  <c r="S987" i="63"/>
  <c r="AX18" i="41"/>
  <c r="BA83" i="40"/>
  <c r="BA88" s="1"/>
  <c r="Q29" i="50"/>
  <c r="Q33" s="1"/>
  <c r="AB965" i="63"/>
  <c r="D509" i="7"/>
  <c r="S920" i="63"/>
  <c r="AE19" i="24"/>
  <c r="W26"/>
  <c r="AE26" s="1"/>
  <c r="AO518" i="63"/>
  <c r="Q6" i="36"/>
  <c r="S72" i="22"/>
  <c r="R135" i="16"/>
  <c r="H124" i="7"/>
  <c r="I124" s="1"/>
  <c r="AH76" i="56"/>
  <c r="AH77"/>
  <c r="AB929" i="63"/>
  <c r="AB931" s="1"/>
  <c r="AR45" i="40"/>
  <c r="AN26" i="55"/>
  <c r="AG98"/>
  <c r="AG100" s="1"/>
  <c r="AO669" i="63"/>
  <c r="AR77" i="56"/>
  <c r="AR140" s="1"/>
  <c r="S977" i="63"/>
  <c r="AB997"/>
  <c r="AB999" s="1"/>
  <c r="S997"/>
  <c r="S999" s="1"/>
  <c r="AB919"/>
  <c r="S942"/>
  <c r="S943" s="1"/>
  <c r="S965"/>
  <c r="S907"/>
  <c r="AU98" i="55"/>
  <c r="S955" i="63" s="1"/>
  <c r="S908"/>
  <c r="S1052"/>
  <c r="S1053" s="1"/>
  <c r="AB942"/>
  <c r="AB977"/>
  <c r="AB987"/>
  <c r="AR177" i="55"/>
  <c r="S954" i="63" s="1"/>
  <c r="S930"/>
  <c r="S931" s="1"/>
  <c r="S988"/>
  <c r="AB908"/>
  <c r="AH177" i="55"/>
  <c r="AB918" i="63"/>
  <c r="F469" i="7"/>
  <c r="AN72" i="55"/>
  <c r="Z64"/>
  <c r="S71" i="22"/>
  <c r="S65"/>
  <c r="AH181" i="56"/>
  <c r="Z28" i="26"/>
  <c r="Z29" s="1"/>
  <c r="Z30" s="1"/>
  <c r="Z32" s="1"/>
  <c r="Z33" s="1"/>
  <c r="R124" i="44"/>
  <c r="S989" i="63" l="1"/>
  <c r="D471" i="7"/>
  <c r="D470" s="1"/>
  <c r="AB988" i="63"/>
  <c r="AB989" s="1"/>
  <c r="F448" i="7"/>
  <c r="AR55" i="40" s="1"/>
  <c r="AR52" s="1"/>
  <c r="V29" i="50"/>
  <c r="V33" s="1"/>
  <c r="AH141" i="56"/>
  <c r="AH140"/>
  <c r="AB941" i="63"/>
  <c r="F454" i="7"/>
  <c r="AR62" i="40" s="1"/>
  <c r="AR59" s="1"/>
  <c r="AR141" i="56"/>
  <c r="AR148" s="1"/>
  <c r="AU100" i="55"/>
  <c r="S1043" i="63"/>
  <c r="S1044" s="1"/>
  <c r="AB920"/>
  <c r="S966"/>
  <c r="S967" s="1"/>
  <c r="S976"/>
  <c r="S978" s="1"/>
  <c r="AR179" i="55"/>
  <c r="S909" i="63"/>
  <c r="S956"/>
  <c r="AB943"/>
  <c r="AH179" i="55"/>
  <c r="AB954" i="63"/>
  <c r="AB976"/>
  <c r="AB978" s="1"/>
  <c r="R139" i="16"/>
  <c r="R129" i="44"/>
  <c r="R127"/>
  <c r="AN64" i="55"/>
  <c r="Z98"/>
  <c r="AR65" i="40" l="1"/>
  <c r="AR64"/>
  <c r="AR147" i="56"/>
  <c r="AR158" s="1"/>
  <c r="AR180" i="55"/>
  <c r="R131" i="44"/>
  <c r="R146" i="16" s="1"/>
  <c r="R144"/>
  <c r="Z100" i="55"/>
  <c r="AN100" s="1"/>
  <c r="AH180" s="1"/>
  <c r="AN98"/>
  <c r="X27" i="54" s="1"/>
  <c r="R136" i="44"/>
  <c r="R142" i="16"/>
  <c r="AB907" i="63"/>
  <c r="AB909" s="1"/>
  <c r="AB1052"/>
  <c r="AB1053" s="1"/>
  <c r="AR159" i="56" l="1"/>
  <c r="AR185" s="1"/>
  <c r="R151" i="16"/>
  <c r="R137" i="44"/>
  <c r="AB966" i="63"/>
  <c r="AB967" s="1"/>
  <c r="AB1043"/>
  <c r="AB1044" s="1"/>
  <c r="AB955"/>
  <c r="AB956" s="1"/>
  <c r="AR184" i="56" l="1"/>
  <c r="AR194" s="1"/>
  <c r="AR191"/>
  <c r="R152" i="16"/>
  <c r="L18" i="47"/>
  <c r="R157" i="44"/>
  <c r="G129" i="7" l="1"/>
  <c r="AH143" i="56" s="1"/>
  <c r="R163" i="44"/>
  <c r="R182" i="16" s="1"/>
  <c r="Z22" i="26" s="1"/>
  <c r="R164" i="44"/>
  <c r="R176" i="16"/>
  <c r="Z20" i="26" s="1"/>
  <c r="AH148" i="56" l="1"/>
  <c r="AH147"/>
  <c r="I14" i="52"/>
  <c r="R183" i="16"/>
  <c r="Z23" i="26" s="1"/>
  <c r="AH159" i="56" l="1"/>
  <c r="AH158"/>
  <c r="AH185" l="1"/>
  <c r="S33" i="59" s="1"/>
  <c r="S39" s="1"/>
  <c r="AH191" i="56"/>
  <c r="AH184"/>
  <c r="I500" i="7" s="1"/>
  <c r="S33" i="58" l="1"/>
  <c r="S39" s="1"/>
  <c r="F431" i="7"/>
  <c r="AR28" i="40" s="1"/>
  <c r="AR46" s="1"/>
  <c r="AR81" s="1"/>
  <c r="AH194" i="56"/>
  <c r="AR82" i="40" l="1"/>
  <c r="AL22" i="41"/>
  <c r="AP22" s="1"/>
  <c r="AX22" s="1"/>
  <c r="I504" i="7"/>
  <c r="K500"/>
  <c r="M500" s="1"/>
  <c r="AR83" i="40" l="1"/>
  <c r="AR84"/>
  <c r="AL26" i="41"/>
  <c r="AP26" s="1"/>
  <c r="AX26" s="1"/>
  <c r="D510" i="7" s="1"/>
  <c r="K504"/>
  <c r="M504" s="1"/>
  <c r="AR88" i="40" l="1"/>
  <c r="F471" i="7" s="1"/>
  <c r="F470" s="1"/>
  <c r="C511"/>
  <c r="D511"/>
</calcChain>
</file>

<file path=xl/comments1.xml><?xml version="1.0" encoding="utf-8"?>
<comments xmlns="http://schemas.openxmlformats.org/spreadsheetml/2006/main">
  <authors>
    <author>DVD</author>
    <author>User</author>
  </authors>
  <commentList>
    <comment ref="G359" authorId="0">
      <text>
        <r>
          <rPr>
            <b/>
            <sz val="8"/>
            <color indexed="81"/>
            <rFont val="Tahoma"/>
            <family val="2"/>
            <charset val="238"/>
          </rPr>
          <t>Unos ispravke: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C425" authorId="1">
      <text>
        <r>
          <rPr>
            <b/>
            <sz val="8"/>
            <color indexed="81"/>
            <rFont val="Tahoma"/>
            <family val="2"/>
            <charset val="238"/>
          </rPr>
          <t xml:space="preserve">Napomena korisniku:
</t>
        </r>
        <r>
          <rPr>
            <b/>
            <i/>
            <sz val="8"/>
            <color indexed="53"/>
            <rFont val="Tahoma"/>
            <family val="2"/>
            <charset val="238"/>
          </rPr>
          <t xml:space="preserve">
U ovu ćeliju unosi se bilansna neravnoteža ukoliko neštima za sitno zbog zaokruženja pfeniga na obrascima.
</t>
        </r>
      </text>
    </comment>
    <comment ref="F425" authorId="1">
      <text>
        <r>
          <rPr>
            <b/>
            <sz val="8"/>
            <color indexed="81"/>
            <rFont val="Tahoma"/>
            <family val="2"/>
            <charset val="238"/>
          </rPr>
          <t xml:space="preserve">Napomena korisniku:
</t>
        </r>
        <r>
          <rPr>
            <b/>
            <i/>
            <sz val="8"/>
            <color indexed="53"/>
            <rFont val="Tahoma"/>
            <family val="2"/>
            <charset val="238"/>
          </rPr>
          <t>U ovu ćeliju unosi se bilansna neravnoteža ukoliko neštima za sitno zbog zaokruženja pfeniga na obrascima.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D470" authorId="0">
      <text>
        <r>
          <rPr>
            <b/>
            <sz val="8"/>
            <color indexed="81"/>
            <rFont val="Tahoma"/>
            <family val="2"/>
            <charset val="238"/>
          </rPr>
          <t>Kontrola greške</t>
        </r>
      </text>
    </comment>
    <comment ref="F470" authorId="0">
      <text>
        <r>
          <rPr>
            <b/>
            <sz val="8"/>
            <color indexed="81"/>
            <rFont val="Tahoma"/>
            <family val="2"/>
            <charset val="238"/>
          </rPr>
          <t>Kontrola greške</t>
        </r>
      </text>
    </comment>
    <comment ref="D471" authorId="0">
      <text>
        <r>
          <rPr>
            <b/>
            <sz val="8"/>
            <color indexed="81"/>
            <rFont val="Tahoma"/>
            <family val="2"/>
            <charset val="238"/>
          </rPr>
          <t>Iznos greške</t>
        </r>
      </text>
    </comment>
    <comment ref="F471" authorId="0">
      <text>
        <r>
          <rPr>
            <b/>
            <sz val="8"/>
            <color indexed="81"/>
            <rFont val="Tahoma"/>
            <family val="2"/>
            <charset val="238"/>
          </rPr>
          <t>Iznos greške</t>
        </r>
      </text>
    </comment>
  </commentList>
</comments>
</file>

<file path=xl/comments2.xml><?xml version="1.0" encoding="utf-8"?>
<comments xmlns="http://schemas.openxmlformats.org/spreadsheetml/2006/main">
  <authors>
    <author>SEAD</author>
  </authors>
  <commentList>
    <comment ref="X31" authorId="0">
      <text>
        <r>
          <rPr>
            <b/>
            <sz val="8"/>
            <color indexed="81"/>
            <rFont val="Tahoma"/>
            <family val="2"/>
            <charset val="238"/>
          </rPr>
          <t xml:space="preserve">Ekonomika:
</t>
        </r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b/>
            <sz val="8"/>
            <color indexed="81"/>
            <rFont val="Tahoma"/>
            <family val="2"/>
            <charset val="238"/>
          </rPr>
          <t>SREDNJA</t>
        </r>
        <r>
          <rPr>
            <sz val="8"/>
            <color indexed="81"/>
            <rFont val="Tahoma"/>
            <family val="2"/>
            <charset val="238"/>
          </rPr>
          <t xml:space="preserve"> pravna lica:
•   ukupan godišnji prihod od 2.000.000 do 8.000.000
•   prosječna vrijednost aktive od 1.000.000 do 4.000.000
•   prosječan broj zaposlenih od 50 do 250</t>
        </r>
      </text>
    </comment>
  </commentList>
</comments>
</file>

<file path=xl/sharedStrings.xml><?xml version="1.0" encoding="utf-8"?>
<sst xmlns="http://schemas.openxmlformats.org/spreadsheetml/2006/main" count="5474" uniqueCount="2954">
  <si>
    <t>Strana 6</t>
  </si>
  <si>
    <t>Strana 7</t>
  </si>
  <si>
    <t>Kraj unosa podataka za bilans uspjeha!!!!!!!!!</t>
  </si>
  <si>
    <r>
      <t xml:space="preserve">   </t>
    </r>
    <r>
      <rPr>
        <b/>
        <sz val="14"/>
        <color indexed="10"/>
        <rFont val="Arial"/>
        <family val="2"/>
        <charset val="238"/>
      </rPr>
      <t>UNOS PODATAKA ZA BILANS STANJA</t>
    </r>
  </si>
  <si>
    <t>BRUTO IZNOS</t>
  </si>
  <si>
    <t>ISPRAVKA VRIJ.</t>
  </si>
  <si>
    <t>UKUPNA PASIVA:</t>
  </si>
  <si>
    <t>UKUPNA AKTIVA:</t>
  </si>
  <si>
    <t>Bilans uspjeha</t>
  </si>
  <si>
    <t>ZA</t>
  </si>
  <si>
    <t>PODACI O PRIMAOCU DIVIDENDI / UDJELA</t>
  </si>
  <si>
    <t>Naziv primaoca</t>
  </si>
  <si>
    <t>Broj računa na koji su isplaćene dividende/udjeli</t>
  </si>
  <si>
    <t>Iznos uplaćenih dividendi/udjela</t>
  </si>
  <si>
    <t>(datum)</t>
  </si>
  <si>
    <t>(potpis)</t>
  </si>
  <si>
    <t>OBRAZAC IZ-DOB</t>
  </si>
  <si>
    <t>(-5 god.)</t>
  </si>
  <si>
    <t>(-4 god.)</t>
  </si>
  <si>
    <t>(-3 god.)</t>
  </si>
  <si>
    <t>(-2 god.)</t>
  </si>
  <si>
    <t>(-1 god.)</t>
  </si>
  <si>
    <t>(obr.god.)</t>
  </si>
  <si>
    <t>POREZNI GUBICI PO GODINAMA</t>
  </si>
  <si>
    <t>KUMULATIV</t>
  </si>
  <si>
    <t>Red. Broj</t>
  </si>
  <si>
    <t>(-5 god)</t>
  </si>
  <si>
    <t>Iskorišteno po godinama</t>
  </si>
  <si>
    <t>Neiskorišteno</t>
  </si>
  <si>
    <t>Porezni gubitak za</t>
  </si>
  <si>
    <t>(-4 god)</t>
  </si>
  <si>
    <t>(-3 god)</t>
  </si>
  <si>
    <t>(-2 god)</t>
  </si>
  <si>
    <t>(-1 god)</t>
  </si>
  <si>
    <t>Porezni gubitak za godinu za koju se</t>
  </si>
  <si>
    <t>dostavlja ovaj pregled</t>
  </si>
  <si>
    <t>Iznos poreznih gubitaka za prenos</t>
  </si>
  <si>
    <t>(red.br. 2.c + 3.c + 4.c + 5.c + 6)</t>
  </si>
  <si>
    <t>Obrazac GU-DOB</t>
  </si>
  <si>
    <t>P R E G L E D</t>
  </si>
  <si>
    <t>Kapitalizirana ulaganja u razvoj</t>
  </si>
  <si>
    <t>Koncesije, patenti,licence, zašt.znakovi i dr</t>
  </si>
  <si>
    <t>Ulaganja na tiđim sredstvima</t>
  </si>
  <si>
    <t>Ostala nematerijalna sredstva</t>
  </si>
  <si>
    <t>Nematerijalna sredstva u pripremi</t>
  </si>
  <si>
    <t>Avansi za nematerijalna sredstva</t>
  </si>
  <si>
    <t>zemljište</t>
  </si>
  <si>
    <t>Građevinski objekti</t>
  </si>
  <si>
    <t>Postrojenja i oprema (mašine)</t>
  </si>
  <si>
    <t>Alati, pogonski i kancelarijski namještaj</t>
  </si>
  <si>
    <t>Transportna sredstva</t>
  </si>
  <si>
    <t>Nekretnine, postrojenja i oprema u pripremi</t>
  </si>
  <si>
    <t>Stambene zgrade i stanovi</t>
  </si>
  <si>
    <t>Avansi za nekretnine, postrojenja i opremu</t>
  </si>
  <si>
    <t>Ulaganja u vlastito zemljište</t>
  </si>
  <si>
    <t>Ulaganja u iznajmljeno zemljište</t>
  </si>
  <si>
    <t>Ulaganja u vlastite građevine</t>
  </si>
  <si>
    <t>Ulaganja u unajmljene građevine</t>
  </si>
  <si>
    <t>Ulaganja u nekretnine u pripremi</t>
  </si>
  <si>
    <t>Avansi za investicijske nekretnine</t>
  </si>
  <si>
    <t>Šume</t>
  </si>
  <si>
    <t>Višegodišnji zasadi</t>
  </si>
  <si>
    <t>Sir.mater.inv.rez.djelovi</t>
  </si>
  <si>
    <t>Proizvodnja</t>
  </si>
  <si>
    <t>St.sred.namj.prodaji</t>
  </si>
  <si>
    <t>Avansi za zalihe</t>
  </si>
  <si>
    <t>Gotovina i ekvivalenti gotovine</t>
  </si>
  <si>
    <t>Potraživanja od prodaje</t>
  </si>
  <si>
    <t>Potraživanja iz specifičnih poslova</t>
  </si>
  <si>
    <t>Potraživanje za PDV - Ulazni porez na dodanu vrijednost</t>
  </si>
  <si>
    <t>Aktivna vremenska razgraničenja</t>
  </si>
  <si>
    <t>Aktiva</t>
  </si>
  <si>
    <t>Osnovni kapital</t>
  </si>
  <si>
    <t>Upisani a neuplaćeni kapital</t>
  </si>
  <si>
    <t>Rezerve</t>
  </si>
  <si>
    <t>Revalorizacione rezerve i nerealizovani dobici i gubici</t>
  </si>
  <si>
    <t>Dobit</t>
  </si>
  <si>
    <t>Gubitak</t>
  </si>
  <si>
    <t>Otkupljene vlastite dionice</t>
  </si>
  <si>
    <t>Kratkoročne finansijske obaveze</t>
  </si>
  <si>
    <t>Obaveze iz poslovanja</t>
  </si>
  <si>
    <t>Obaveze iz specifićnih poslova</t>
  </si>
  <si>
    <t>Obaveze po osnovu plaća, naknada i ostalih primanja zaposlenih</t>
  </si>
  <si>
    <t>Druge obaveze</t>
  </si>
  <si>
    <t>Obaveze za ostale poreze, doprinose i druge dadžbine</t>
  </si>
  <si>
    <t>Pasivna vremenska razgraničenja</t>
  </si>
  <si>
    <t>Pokazatelji likvidnosti</t>
  </si>
  <si>
    <t>Kratkotrajna imovina</t>
  </si>
  <si>
    <t>Ktarkoročne obaveze</t>
  </si>
  <si>
    <t>Koeficijent tekuće likvidnosti = kratkotrajna imovina / kratkoročne obaveze</t>
  </si>
  <si>
    <t>Koeficijent trenutne likvidnosti =  novac / kratkoročne obaveze</t>
  </si>
  <si>
    <t>novac</t>
  </si>
  <si>
    <t>Koeficijent trenutne ubrzane likvidnost =  novac + potraživanja / kratkoročne obaveze</t>
  </si>
  <si>
    <t>novac + potraživanja</t>
  </si>
  <si>
    <t>Koeficijent finansijske stabilnosti =  dugotrajna imovna / kapital + dugoročne obaveze</t>
  </si>
  <si>
    <t>Dugotrajna imovina</t>
  </si>
  <si>
    <t>Kapital + dugoročne obaveze</t>
  </si>
  <si>
    <t>Koeficijent:</t>
  </si>
  <si>
    <t>Bilans stanja konta zaliha</t>
  </si>
  <si>
    <t>Amortizacija - privremeno porezno nepriznati rashod</t>
  </si>
  <si>
    <t>Amortizacija - trajno neprizanti rashod</t>
  </si>
  <si>
    <t>Troškovi rezervisanja za obnavljanje prirodnih bogatstava</t>
  </si>
  <si>
    <t>Troškovi rezervisanja iz osnova datih garantnih rokova</t>
  </si>
  <si>
    <t>Troškovi rezervisanja za zadržane kaucije i depozite</t>
  </si>
  <si>
    <t>Troškovi rezervisanja za restrukturiranje</t>
  </si>
  <si>
    <t>Troškovi rezervisanja za naknade i druge beneficije zaposlenika</t>
  </si>
  <si>
    <t>Troškovi rezervisanja za sudske sporove i štetne ugovore</t>
  </si>
  <si>
    <t>Troškovi ostalih dugoročnih rezervisanja</t>
  </si>
  <si>
    <t>Troškovi neproizvodnih usluga</t>
  </si>
  <si>
    <t>Troškovi premija osiguranja</t>
  </si>
  <si>
    <t>Troškovi platnog prometa</t>
  </si>
  <si>
    <t>Troškovi poštanskih i telekomunikacijskih usluga</t>
  </si>
  <si>
    <t>Troškovi poreza, naknada, taksi i dr.dadžbina na teret pravnog lica</t>
  </si>
  <si>
    <t>Troškovi članskih doprinosa i sl.obaveza</t>
  </si>
  <si>
    <t>Finansijski rashodi iz odnosa s povezanim pravnim licima</t>
  </si>
  <si>
    <t>Rashjodi kamata</t>
  </si>
  <si>
    <t>Negativne kursne razlike</t>
  </si>
  <si>
    <t>Rashodi iz osnova valutne klauzule</t>
  </si>
  <si>
    <t>Ostali finansijski rashodi</t>
  </si>
  <si>
    <t>Gubici od prodaje i rashodovanja stalnih sredstava</t>
  </si>
  <si>
    <t>Gubici od prodaje i rashodovanja investicijskih nekretnina</t>
  </si>
  <si>
    <t>Gubici od prodaje i rashodovanja bioloških sredstava</t>
  </si>
  <si>
    <t>Gubici od prodaje sredstava namijenjenih prodaji</t>
  </si>
  <si>
    <t>Gubici od prodaje učešća u kapitalu i vrijednsonih papira</t>
  </si>
  <si>
    <t>Gubici od prodaje materijala</t>
  </si>
  <si>
    <t>Manjkovi</t>
  </si>
  <si>
    <t>Rash.iz osn.zašt.od rizika koji ne ispunj.usl.da budu iskaz.u okv.reval.rezervi</t>
  </si>
  <si>
    <t>Rashodi po osnovu isporavke vrijednosti i otpisa potraživanja</t>
  </si>
  <si>
    <t>Niskogradnja (željezničke pruge, putevi, mostovi, vijadukti, nadvožnjaci; tuneli; žičare; električni i telefonski vodivi; naftovodi, cjevovodi i kanalizacije; objekti za kopanje rude, elektrane, hidrocentrale; aerodromske piste; sportska igrališta; parkirališta i sl.) igrališta; parkirališta i sl.)</t>
  </si>
  <si>
    <t>3.1123</t>
  </si>
  <si>
    <t>Stopa</t>
  </si>
  <si>
    <t>Iznos doprinosa za plaćanje po obračunu</t>
  </si>
  <si>
    <t>OBRAČUNATA OBAVEZA</t>
  </si>
  <si>
    <t>PERIOD OBRAČUNA</t>
  </si>
  <si>
    <t>bruto plaća (osnovica za obračun doprinosa)</t>
  </si>
  <si>
    <t>Vanjsko trg.komora BiH</t>
  </si>
  <si>
    <t>OBRAČUNATO</t>
  </si>
  <si>
    <t>UNOS AKO JE PLAĆATA KOMORA 10 KM MJESEČNO</t>
  </si>
  <si>
    <t>UNOSI SE SAMO AKO JE PLAĆATO VIŠE OD 10 KM</t>
  </si>
  <si>
    <r>
      <t>Isplaćene neto plaće(</t>
    </r>
    <r>
      <rPr>
        <b/>
        <sz val="10"/>
        <color indexed="10"/>
        <rFont val="Arial"/>
        <family val="2"/>
      </rPr>
      <t>UNIJETI SAMO NETO)</t>
    </r>
  </si>
  <si>
    <t>220</t>
  </si>
  <si>
    <t>223</t>
  </si>
  <si>
    <t>230</t>
  </si>
  <si>
    <t>224</t>
  </si>
  <si>
    <t>228</t>
  </si>
  <si>
    <t>20</t>
  </si>
  <si>
    <t>40</t>
  </si>
  <si>
    <t>41</t>
  </si>
  <si>
    <t>BIHAĆ</t>
  </si>
  <si>
    <t>Rukovoditelj pravne/fizičke osobe</t>
  </si>
  <si>
    <t>Pečat nadležnog organa</t>
  </si>
  <si>
    <t>Osnovica-ukupan prihod ili prihod od obavljanja djelatnosti</t>
  </si>
  <si>
    <t>Stopa iz člana 12. Uredbe</t>
  </si>
  <si>
    <t>343</t>
  </si>
  <si>
    <t>Kontakt telefon:</t>
  </si>
  <si>
    <r>
      <t xml:space="preserve">Transakcijski računi </t>
    </r>
    <r>
      <rPr>
        <sz val="10"/>
        <rFont val="Times New Roman CE"/>
        <family val="1"/>
        <charset val="238"/>
      </rPr>
      <t>(naziv banke i broj računa):</t>
    </r>
  </si>
  <si>
    <t xml:space="preserve">o plaćama i broju zaposlenih </t>
  </si>
  <si>
    <t xml:space="preserve"> uz godišnji-polugodišnji obračun</t>
  </si>
  <si>
    <t>(Šifra općine)</t>
  </si>
  <si>
    <t>(Sjedište i adresa pravnog lica)</t>
  </si>
  <si>
    <t>(Banka)</t>
  </si>
  <si>
    <t>SAMOSTALNI RAČUNOVOĐA</t>
  </si>
  <si>
    <t>TELEFON</t>
  </si>
  <si>
    <t>DIREKTOR</t>
  </si>
  <si>
    <t>DIREKTOR:</t>
  </si>
  <si>
    <t>Redni</t>
  </si>
  <si>
    <t xml:space="preserve">Prilikom popunjavanja obrasca neophodno je u zaglavlje obrasca upisati identifikacione podatke (naziv firme, matični </t>
  </si>
  <si>
    <t>Na osnovu Zakona o statističkim istraživanjima u Federaciji BiH ("Službene novine Federacije BiH", br.6/95) i Programa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</si>
  <si>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</si>
  <si>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</si>
  <si>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</si>
  <si>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</si>
  <si>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</si>
  <si>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</si>
  <si>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</si>
  <si>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</si>
  <si>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</si>
  <si>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</si>
  <si>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</si>
  <si>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Identifikacioni podaci:</t>
  </si>
  <si>
    <t>(Naziv pravnog lica)</t>
  </si>
  <si>
    <t>(Djelatnosst)</t>
  </si>
  <si>
    <t>650</t>
  </si>
  <si>
    <t>651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</si>
  <si>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</si>
  <si>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</si>
  <si>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</si>
  <si>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</si>
  <si>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</si>
  <si>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</si>
  <si>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</si>
  <si>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</si>
  <si>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</si>
  <si>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254</t>
  </si>
  <si>
    <t>255</t>
  </si>
  <si>
    <t>256</t>
  </si>
  <si>
    <t>257</t>
  </si>
  <si>
    <t>Investicijske nekretnine</t>
  </si>
  <si>
    <t>Amort.u toku godine</t>
  </si>
  <si>
    <t>Biološka sredstva</t>
  </si>
  <si>
    <t>Dugoročni finansijski plasmani</t>
  </si>
  <si>
    <t>Druga dugoročna potraživanja</t>
  </si>
  <si>
    <t>Pov.u toku godine</t>
  </si>
  <si>
    <t>Smanj.u toku godine</t>
  </si>
  <si>
    <t>Prihodi od usklađivanja vrijednosti kapitala (negativni goodwill)</t>
  </si>
  <si>
    <t>Prihodi od usklađivanja vrijednosti ostalih sredstava</t>
  </si>
  <si>
    <t>58 bez 588</t>
  </si>
  <si>
    <r>
      <t>Rashodi iz osnova usklađivanja vrijednosti</t>
    </r>
    <r>
      <rPr>
        <sz val="10"/>
        <rFont val="Times New Roman"/>
        <family val="1"/>
        <charset val="238"/>
      </rPr>
      <t xml:space="preserve">  (277 do 284)</t>
    </r>
  </si>
  <si>
    <t>Umanjenje vrijednosti nematerijalnih sredstava</t>
  </si>
  <si>
    <t>Umanjenje vrijednosti materijalnih sredstava</t>
  </si>
  <si>
    <t>Umanjenej vrijednsoti investicijskih nekretnina za koje se obračunava amortizacija</t>
  </si>
  <si>
    <t>Umanjenje vrijednosti bioloških sredstava za koja se obračunava amortizacija</t>
  </si>
  <si>
    <t>Umanjenje vrijednosti dugoročnih finansijskih plasmana i finansijskih sredstava raspoloživih za prodaju</t>
  </si>
  <si>
    <t>Umanjenje vrijednosti zaliha</t>
  </si>
  <si>
    <t>Umanjenje vrijednosti kratkoročnih finansijskih plasmana</t>
  </si>
  <si>
    <t>vlasnika udjela ili zastupnika</t>
  </si>
  <si>
    <t>(upisanog) temeljnog</t>
  </si>
  <si>
    <t>temeljnog -</t>
  </si>
  <si>
    <t>s ograničenom odgovornošću</t>
  </si>
  <si>
    <t>više vlasnika zajedničkog udjela</t>
  </si>
  <si>
    <t>osnovnog kapitala</t>
  </si>
  <si>
    <t>%</t>
  </si>
  <si>
    <t>UKUPNO:</t>
  </si>
  <si>
    <t>Dostavljeno:</t>
  </si>
  <si>
    <t xml:space="preserve"> - a/a</t>
  </si>
  <si>
    <t>Direktor:</t>
  </si>
  <si>
    <t>OPĆINSKI SUD - BIHAĆ</t>
  </si>
  <si>
    <t xml:space="preserve"> - Sudski registar Općinskog suda u Bihaću</t>
  </si>
  <si>
    <t>439</t>
  </si>
  <si>
    <t>441</t>
  </si>
  <si>
    <t>442</t>
  </si>
  <si>
    <t>443</t>
  </si>
  <si>
    <t>449</t>
  </si>
  <si>
    <t>450</t>
  </si>
  <si>
    <t>451</t>
  </si>
  <si>
    <t>452</t>
  </si>
  <si>
    <t>osnovica</t>
  </si>
  <si>
    <t>obračunato</t>
  </si>
  <si>
    <t>uplaćeni</t>
  </si>
  <si>
    <t>razlika za upl/povrat</t>
  </si>
  <si>
    <t>stopa</t>
  </si>
  <si>
    <t>ukupno:</t>
  </si>
  <si>
    <t>se isključivo za obračun Bruto domaćeg proizvoda Federacije BiH.</t>
  </si>
  <si>
    <t>UPUTSTVO ZA POPUNJAVANJE</t>
  </si>
  <si>
    <t>KRAJ UNOSA!!!!!!</t>
  </si>
  <si>
    <t>Ovdje dole izvrši obračun priznatih i nepriznatih</t>
  </si>
  <si>
    <t>troškova koji su oganičeni</t>
  </si>
  <si>
    <t>UNESI IZNOSE</t>
  </si>
  <si>
    <t>U prilogu akta dostavljamo Vam računovodstvene iskaze o uspješnosti poslovanja</t>
  </si>
  <si>
    <t>Bilans stanja…………………………………..</t>
  </si>
  <si>
    <t>primjeraka</t>
  </si>
  <si>
    <t>Bilans uspjeha…………………………………</t>
  </si>
  <si>
    <t>Izvještaj o promjenama u kapitalu……………..</t>
  </si>
  <si>
    <t>Rashodi iz osnova promjene računovodstvenih politika i ispravki neznačajnih grešaka iz ranijih perioda</t>
  </si>
  <si>
    <t>DOBIT ILI GUBITAK NEPREKINUTOG POSLOVANJA</t>
  </si>
  <si>
    <r>
      <t xml:space="preserve">Gubitak neprekinutog poslovanja prije poreza                                        </t>
    </r>
    <r>
      <rPr>
        <sz val="10"/>
        <rFont val="Times New Roman"/>
        <family val="1"/>
        <charset val="238"/>
      </rPr>
      <t>(242-243+264-265+293-294+295-296)&lt;0</t>
    </r>
  </si>
  <si>
    <t>POREZ NA DOBIT NEPREKINUTOG POSLOVANJA</t>
  </si>
  <si>
    <t>Ostali građevinski radovi (3.1121+3.1122+3.1123)</t>
  </si>
  <si>
    <t>3.1121</t>
  </si>
  <si>
    <t>Prije štampe obrazaca provjerite sve obrasce letimično da li su svi urađeni prema Vašim</t>
  </si>
  <si>
    <t>zahtjevima ukoliko nisu, možete deblokirati šit obrasca koji nije po Vašoj želji te direktnim</t>
  </si>
  <si>
    <t>PAŽNJA!!!!!!</t>
  </si>
  <si>
    <t>2. Obaveze po osnovu naknada plaća koje se refundiraju</t>
  </si>
  <si>
    <t>456 do 458</t>
  </si>
  <si>
    <t>3. Obaveze za ostala primanja zaposlenih</t>
  </si>
  <si>
    <t>V. Druge obaveze</t>
  </si>
  <si>
    <t>VI. Obaveze za PDV</t>
  </si>
  <si>
    <t>48 bez 481</t>
  </si>
  <si>
    <t>VII. Obaveze za ostale poreze i druge dadžbine</t>
  </si>
  <si>
    <t>49 bez 495</t>
  </si>
  <si>
    <t>VIII. Obaveze za porez na dobit</t>
  </si>
  <si>
    <t>F) PASIVNA VREMENSKA RAZGRANIČENJA</t>
  </si>
  <si>
    <t>G) ODLOŽENE POREZNE OBAVEZE</t>
  </si>
  <si>
    <r>
      <t xml:space="preserve">POSLOVNA PASIVA </t>
    </r>
    <r>
      <rPr>
        <sz val="10"/>
        <rFont val="Times New Roman"/>
        <family val="1"/>
        <charset val="238"/>
      </rPr>
      <t>(101+128+131+139+140+164+165)</t>
    </r>
  </si>
  <si>
    <t>89</t>
  </si>
  <si>
    <t>Vanbilansna pasiva</t>
  </si>
  <si>
    <t>Ukupno pasiva (166+167)</t>
  </si>
  <si>
    <t>IZNOS                                                  prethodne godine</t>
  </si>
  <si>
    <t>Tekuća goddina</t>
  </si>
  <si>
    <t>63.</t>
  </si>
  <si>
    <t>64.</t>
  </si>
  <si>
    <t>Stanjeu KM</t>
  </si>
  <si>
    <t>3)</t>
  </si>
  <si>
    <t>4)</t>
  </si>
  <si>
    <t>6)</t>
  </si>
  <si>
    <t>STATISTIČKI ANEX  -  DOPUNA NEKIH POZICIJA OBRASCA</t>
  </si>
  <si>
    <t>722581</t>
  </si>
  <si>
    <t>722582</t>
  </si>
  <si>
    <t>Prikazati iznos koji je isplaćen zaposlenima nakon odbitka poreza na dohodak</t>
  </si>
  <si>
    <t>Prosječan broj zaposlenih na bazi sati rada 6</t>
  </si>
  <si>
    <r>
      <t>Prosječan broj zaposlenih na bazi stanja krajem mjeseca 7</t>
    </r>
    <r>
      <rPr>
        <vertAlign val="superscript"/>
        <sz val="8"/>
        <rFont val="Times New Roman CE"/>
        <charset val="238"/>
      </rPr>
      <t>)</t>
    </r>
  </si>
  <si>
    <t>Ukupna porezna obaveza (red.br.54. + 55. + 56. PB)</t>
  </si>
  <si>
    <t>Uplaćene akontacije i pretplate poreza (red.br. 57. PB)</t>
  </si>
  <si>
    <t>Iznos poreza za uplatu (red.br. 58. PB)</t>
  </si>
  <si>
    <t>I</t>
  </si>
  <si>
    <t>Adresa sjedišta / uprave:</t>
  </si>
  <si>
    <t>Ulica:</t>
  </si>
  <si>
    <t>Broj</t>
  </si>
  <si>
    <t>BILJEŠKE UZ FINANSIJSKE IZVJEŠTAJE</t>
  </si>
  <si>
    <t>IZJAVA O USKLAĐENOSTI SA MSFI</t>
  </si>
  <si>
    <t>Finansijski izvještaji za period</t>
  </si>
  <si>
    <t>godine sačinjeni su u skladu</t>
  </si>
  <si>
    <t>sa MSFI-jevima.</t>
  </si>
  <si>
    <t>Nematerijalna sredstva</t>
  </si>
  <si>
    <t>Zakon o statistici u Federaciji Bosne i Hercegovine</t>
  </si>
  <si>
    <t>Rezervisanja za zadržane kaucije i depozite</t>
  </si>
  <si>
    <t>Rezervisanje za troškove restrukturiranja</t>
  </si>
  <si>
    <t>Rezervisanje za naknade i benificije zaposlen</t>
  </si>
  <si>
    <t>Rezervisanje po započetim sudskim sporovima</t>
  </si>
  <si>
    <t>Rezervisanje po štetnim ugovorima</t>
  </si>
  <si>
    <t>Unaprijed naplaćeni i drugi odloženi prihodi</t>
  </si>
  <si>
    <t>Odložene porezne obaveze</t>
  </si>
  <si>
    <t>Ostala dugoročna rezervisanja i razgraničenja</t>
  </si>
  <si>
    <t>Obaveze koje se mogu konvertovati u kapital</t>
  </si>
  <si>
    <t>Dugoročne obaveze prema povezanim prav.licima</t>
  </si>
  <si>
    <t>Obaveze po emitovanim dug.vrij.papirima</t>
  </si>
  <si>
    <t>Dugoročni krediti uzeti u zemlji</t>
  </si>
  <si>
    <t>Dugoročni krediti uzeti u inostranstvu</t>
  </si>
  <si>
    <t>Dugoročne obaveze po finans.lizingu u zemlji</t>
  </si>
  <si>
    <t>Obrazac PB-DOB</t>
  </si>
  <si>
    <t>Oznaka  za             AOP</t>
  </si>
  <si>
    <t>Porez po odbitku koji je plaćen na vlastiti trošak</t>
  </si>
  <si>
    <t>isplatioca (član 32. stav 5. Pravilnika)</t>
  </si>
  <si>
    <t>Amortizacija koja je obračunata iznad porezno</t>
  </si>
  <si>
    <t>u skladu sa Zakonom o porezu na dobit privrednih društava i Pravilnikom o primjeni Zakona</t>
  </si>
  <si>
    <t>o porezu na dobit privrednih društava, kao uplatu akontacije poreza na dobit.</t>
  </si>
  <si>
    <t>Izjavu dao:</t>
  </si>
  <si>
    <t>KM,</t>
  </si>
  <si>
    <t>UKUPAN PRIHOD PO OBRAČUNU</t>
  </si>
  <si>
    <t>3</t>
  </si>
  <si>
    <t>4</t>
  </si>
  <si>
    <t>208</t>
  </si>
  <si>
    <t>209</t>
  </si>
  <si>
    <t>52</t>
  </si>
  <si>
    <t>530</t>
  </si>
  <si>
    <t>540</t>
  </si>
  <si>
    <t>Carine na sirovine i materijal, rezervne dijelove i sitan inventar</t>
  </si>
  <si>
    <t>Zemljište (bez troškova prijenosa vlasništva)</t>
  </si>
  <si>
    <t>Amortizacija koja nije bila porezno priznata u</t>
  </si>
  <si>
    <t>ranijim godinama (član 15. stav 5. Pravilnika)</t>
  </si>
  <si>
    <t>Gubitak poslovne godine (predznak  "minus")</t>
  </si>
  <si>
    <t>KAPITALNI DOBICI I GUBICI</t>
  </si>
  <si>
    <t>Zakona i čl. 7. i 18. Pravilnika)</t>
  </si>
  <si>
    <t>Kapitalni gubici iz bilansa stanja  (član 7. stav 4.</t>
  </si>
  <si>
    <t xml:space="preserve">Kapitalni dobici iz bilansa stanja (član 7. stav 4. </t>
  </si>
  <si>
    <t>USKLAĐIVANJE RASHODA</t>
  </si>
  <si>
    <t>Troškovi materijala, odnosno vrijednosti prodate</t>
  </si>
  <si>
    <t>GRAĐEVINSKI RADOVI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</si>
  <si>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</si>
  <si>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</si>
  <si>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</si>
  <si>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</si>
  <si>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</si>
  <si>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</si>
  <si>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</si>
  <si>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</si>
  <si>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</si>
  <si>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</si>
  <si>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</si>
  <si>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</si>
  <si>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</si>
  <si>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</si>
  <si>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Zalihe</t>
  </si>
  <si>
    <t>46.</t>
  </si>
  <si>
    <t>47.</t>
  </si>
  <si>
    <t>48.</t>
  </si>
  <si>
    <t>49.</t>
  </si>
  <si>
    <t>50.</t>
  </si>
  <si>
    <t>51.</t>
  </si>
  <si>
    <t>52.</t>
  </si>
  <si>
    <t>53.</t>
  </si>
  <si>
    <t>66</t>
  </si>
  <si>
    <t>54.</t>
  </si>
  <si>
    <t>55.</t>
  </si>
  <si>
    <t>68</t>
  </si>
  <si>
    <t>56.</t>
  </si>
  <si>
    <t>Naziv poreznog obveznika</t>
  </si>
  <si>
    <t>Identifikacioni broj</t>
  </si>
  <si>
    <t>Obrazac ONŠ</t>
  </si>
  <si>
    <t>R.   br.</t>
  </si>
  <si>
    <t>Vrsta naknade za eksploataciju                        šuma</t>
  </si>
  <si>
    <t>Mjesto</t>
  </si>
  <si>
    <t>Naziv pravnog lica</t>
  </si>
  <si>
    <t>Dobit poslovne godine</t>
  </si>
  <si>
    <t>Šifra i naziv osnovne djelatnosti - Code and title of principial activity:</t>
  </si>
  <si>
    <t>Adresa sjedišta (uprave) - Headquarters (Management) Address:</t>
  </si>
  <si>
    <t>Mjesto - Place</t>
  </si>
  <si>
    <t>Država - State:</t>
  </si>
  <si>
    <t>Unesi 100% trošak reprezentacije</t>
  </si>
  <si>
    <t>70% nepriznati trošak reprezentacije</t>
  </si>
  <si>
    <t>30% priznati trošak reprezentacije</t>
  </si>
  <si>
    <t>3%  UKUPNOG PRIHODA</t>
  </si>
  <si>
    <t>NEPRIZNATI TROŠAK  PO POR.BIL.</t>
  </si>
  <si>
    <t>0,1% PRIZNATI TROŠAK</t>
  </si>
  <si>
    <t>UNESI UKUPNE DONACIJE</t>
  </si>
  <si>
    <t>UNESI TROŠKOVE SPONZORSTVA</t>
  </si>
  <si>
    <t>2% PRIZNATI TREŠAK</t>
  </si>
  <si>
    <t>Iznos za povrat ili prenos u naredni period (red.br.59. PB)</t>
  </si>
  <si>
    <t>BROJ POSLOVNIH JEDINICA:</t>
  </si>
  <si>
    <t>Ispra.vrij.sredstava namjenjenih prodaji</t>
  </si>
  <si>
    <t>Dati avansi za zalihe i usluge pov.prav.lica</t>
  </si>
  <si>
    <t>4.a</t>
  </si>
  <si>
    <t>4.b</t>
  </si>
  <si>
    <t>4.c</t>
  </si>
  <si>
    <t>5.a</t>
  </si>
  <si>
    <t>5.b</t>
  </si>
  <si>
    <t>5.c</t>
  </si>
  <si>
    <t xml:space="preserve">Stalna sredstva pojedinačne vrijednosti manje od </t>
  </si>
  <si>
    <t>1.000 KM koja se jednokratno otpisuju u porezne</t>
  </si>
  <si>
    <t>svrhe (član 18. stav 3. Zakona i član 17. stav 1.</t>
  </si>
  <si>
    <t>Pravilnika)</t>
  </si>
  <si>
    <t>Amortizacije i drugi rashodi stalnih sredstava čija je</t>
  </si>
  <si>
    <t>vrijednost u cjelini već iskorištena u porezne svrhe</t>
  </si>
  <si>
    <t>xxxxxxxxxx</t>
  </si>
  <si>
    <t>a) obična</t>
  </si>
  <si>
    <t>b) razrijeđena</t>
  </si>
  <si>
    <t>Prosječan broj zaposlenih:</t>
  </si>
  <si>
    <t>- na bazi sati rada</t>
  </si>
  <si>
    <t>- na bazi stanja krajem mjeseca</t>
  </si>
  <si>
    <r>
      <t>Ostali sveobuhvatni gubitak prije poreza</t>
    </r>
    <r>
      <rPr>
        <sz val="10"/>
        <rFont val="Times New Roman"/>
        <family val="1"/>
        <charset val="238"/>
      </rPr>
      <t xml:space="preserve">  (321-314)</t>
    </r>
  </si>
  <si>
    <t>IZVJEŠTAJ O GOTOVINSKIM TOKOVIMA</t>
  </si>
  <si>
    <t>- Izvještaj o tokovima gotovine -</t>
  </si>
  <si>
    <t xml:space="preserve"> - INDIREKTNA METODA -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</si>
  <si>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</si>
  <si>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</si>
  <si>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</si>
  <si>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</si>
  <si>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</si>
  <si>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</si>
  <si>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</si>
  <si>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</si>
  <si>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</si>
  <si>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030</t>
  </si>
  <si>
    <t>040</t>
  </si>
  <si>
    <t>033</t>
  </si>
  <si>
    <t>126</t>
  </si>
  <si>
    <t>127</t>
  </si>
  <si>
    <t>06</t>
  </si>
  <si>
    <t>128</t>
  </si>
  <si>
    <t>11</t>
  </si>
  <si>
    <t>12</t>
  </si>
  <si>
    <t>na dan</t>
  </si>
  <si>
    <t>BILANS STANJA</t>
  </si>
  <si>
    <t>AKTIVA</t>
  </si>
  <si>
    <t>Goodwill</t>
  </si>
  <si>
    <t>022 do 024</t>
  </si>
  <si>
    <t>Tabela 3. POSEBNI PODACI</t>
  </si>
  <si>
    <t>- Izvještaj o ukupnom rezultatu za period -</t>
  </si>
  <si>
    <t>I. DOBIT ILI GUBITAK PERIODA</t>
  </si>
  <si>
    <t xml:space="preserve">POSLOVNI PRIHODI I RASHODI </t>
  </si>
  <si>
    <r>
      <t xml:space="preserve">Poslovni prihodi </t>
    </r>
    <r>
      <rPr>
        <sz val="10"/>
        <rFont val="Times New Roman"/>
        <family val="1"/>
        <charset val="238"/>
      </rPr>
      <t>(202+206+210+211)</t>
    </r>
  </si>
  <si>
    <t>1. Prihodi od prodaje robe (203 do 205)</t>
  </si>
  <si>
    <t>42</t>
  </si>
  <si>
    <t>43</t>
  </si>
  <si>
    <t>47</t>
  </si>
  <si>
    <t>plaćeni porez na dobit izvan BiH</t>
  </si>
  <si>
    <t>plaćeni porez po odbitku izvan BiH</t>
  </si>
  <si>
    <t>preneseni porezni kredit iz preth.perioda</t>
  </si>
  <si>
    <t>Porezni kredit za prenos u naredni period</t>
  </si>
  <si>
    <t>Stanje obaveza za porez na dobit</t>
  </si>
  <si>
    <t>Ostatak porezne obaveze za porezni period</t>
  </si>
  <si>
    <t>Stopa        %</t>
  </si>
  <si>
    <t>Osnovica                          (KM)</t>
  </si>
  <si>
    <t>1. kvartal</t>
  </si>
  <si>
    <t>2. kvartal</t>
  </si>
  <si>
    <t>3. kvartal</t>
  </si>
  <si>
    <t>4. kvartal</t>
  </si>
  <si>
    <t>Uplata naknada</t>
  </si>
  <si>
    <t>1.+ 2. kvartal</t>
  </si>
  <si>
    <t>UKUPNO      (8+9+10)</t>
  </si>
  <si>
    <t>ovog obrasca, prema oznakama konta datim uz svaku poziciju. Skrećemo pažnju da za pozicije u kojima se traži dio konta</t>
  </si>
  <si>
    <t>2. Efekti promjena u računovodstvenim politikama</t>
  </si>
  <si>
    <t>3. Efekti ispravki grešaka</t>
  </si>
  <si>
    <t>5. Efekti revalorizacije materijalnih i nematerijalnih sredstava</t>
  </si>
  <si>
    <t>6. Nerealizovani dobici/gubici po osnovu finansijskih sredstava raspoloživih za prodaju</t>
  </si>
  <si>
    <t>7. Kursne razlike nastale prevođenjem finansijskih izvještaja u drugu valutu prezentacije</t>
  </si>
  <si>
    <t>8. Neto dobit/gubitak perioda iskazan u bilansu uspjeha</t>
  </si>
  <si>
    <t>9. Neto dobici/gubici perioda priznati direktno u kapitalu</t>
  </si>
  <si>
    <t>Naknada za općekorisne funkcije šuma (0,07% od ukupno ostvarenog prihoda)</t>
  </si>
  <si>
    <t>Budžet kantona</t>
  </si>
  <si>
    <t>a</t>
  </si>
  <si>
    <t>Naknadu za korištenje državnih šuma obračunavaju i uplaćuju kantonalna šumsko-provredna društva (korisnici državnih šuma)</t>
  </si>
  <si>
    <t>b</t>
  </si>
  <si>
    <t xml:space="preserve">Naknadu za općekorisne funkcije šuma obračunavaju i uplaćuju sva pravna lica koja su registrovana za obavljanje djelatnosti na teritoriji Federacije kao i dijelovi pravnih lica </t>
  </si>
  <si>
    <t>Otpisi sumnjivih i spornih potraživanja koji se ne</t>
  </si>
  <si>
    <t>smatraju porezno priznatim rashodomm (član 14.</t>
  </si>
  <si>
    <t>Zakona i član 14. Pravilnika)</t>
  </si>
  <si>
    <t>Neoprinodovana neiskorištena rezervisanja (čl.12.</t>
  </si>
  <si>
    <t>stav 3. Zakona čl. 12. stav 4. Pravilnika)</t>
  </si>
  <si>
    <t>Neiskazani prihodi koji su trebali biti iskazani</t>
  </si>
  <si>
    <t>prema računov. propisima i standardima</t>
  </si>
  <si>
    <t>Prihodi/dobici iz osnova likvidacije zavisnog</t>
  </si>
  <si>
    <t>društva (član 27. Zakona i član 8. Pravilnika)</t>
  </si>
  <si>
    <t>V</t>
  </si>
  <si>
    <t>TRANSFERNE CIJENE</t>
  </si>
  <si>
    <t>Bilješka</t>
  </si>
  <si>
    <t>(Identifikacijski broj za direktne poreze)</t>
  </si>
  <si>
    <r>
      <t>Transakcijski računi</t>
    </r>
    <r>
      <rPr>
        <sz val="10"/>
        <rFont val="Times New Roman CE"/>
        <family val="1"/>
        <charset val="238"/>
      </rPr>
      <t xml:space="preserve"> (naziv banke i broj računa):</t>
    </r>
  </si>
  <si>
    <t>(Identifikacioni broj za direktne poreze)</t>
  </si>
  <si>
    <r>
      <t>Transakcijski računi</t>
    </r>
    <r>
      <rPr>
        <sz val="8"/>
        <rFont val="Times New Roman"/>
        <family val="1"/>
        <charset val="238"/>
      </rPr>
      <t xml:space="preserve"> (naziv banke i broj računa):</t>
    </r>
  </si>
  <si>
    <t>11) Od ukupnih investicija raspoređenih po karakteru izgradnje (stavke 4.11, 4.12 i 4.13)treba posebno u stavci 4.0 prikazati investicije za zaštitu životne sredine</t>
  </si>
  <si>
    <t>Potpis rukovodioca</t>
  </si>
  <si>
    <t>dana</t>
  </si>
  <si>
    <t>;</t>
  </si>
  <si>
    <t>Tabela 2. ZALIHE</t>
  </si>
  <si>
    <t>u KM</t>
  </si>
  <si>
    <t>Materijal, rezervni dijelovi i sitan inventar</t>
  </si>
  <si>
    <t>Proizvodnja u toku</t>
  </si>
  <si>
    <t>Trgovačka roba</t>
  </si>
  <si>
    <t>Putnički automobili do 10 osoba (kao i kombinirani nami - jenjeni prevozu putnika i tereta)</t>
  </si>
  <si>
    <t>3.1222</t>
  </si>
  <si>
    <t>Teretna vozila (takođe cestovni traktori i prikolice)</t>
  </si>
  <si>
    <t>3.1223</t>
  </si>
  <si>
    <t>Druga vozila i plovila (autobusi,čamci,tračna i zračna vozila)</t>
  </si>
  <si>
    <t>Od 3.12 (strojevi, oprema i transp.sredstva) prikažire vrijednost uvezene opreme</t>
  </si>
  <si>
    <t>202</t>
  </si>
  <si>
    <t>203</t>
  </si>
  <si>
    <t>204</t>
  </si>
  <si>
    <t>205</t>
  </si>
  <si>
    <t>640</t>
  </si>
  <si>
    <t>206</t>
  </si>
  <si>
    <t>690</t>
  </si>
  <si>
    <t>1</t>
  </si>
  <si>
    <t>2</t>
  </si>
  <si>
    <t>Porez na dohodak</t>
  </si>
  <si>
    <t>Doprinosi na plaće i naknade plaća</t>
  </si>
  <si>
    <t>65.</t>
  </si>
  <si>
    <t>66.</t>
  </si>
  <si>
    <r>
      <t xml:space="preserve">Finansijski najam - lizing </t>
    </r>
    <r>
      <rPr>
        <vertAlign val="superscript"/>
        <sz val="10"/>
        <rFont val="Times New Roman CE"/>
        <charset val="238"/>
      </rPr>
      <t>5)</t>
    </r>
  </si>
  <si>
    <t>Osnovno stado (razna rasplodna i radna stoka)</t>
  </si>
  <si>
    <t>3.142</t>
  </si>
  <si>
    <t>Pošumljavanje i dugogodišnji zasadi</t>
  </si>
  <si>
    <t>Nematerijalna (neopipljiva) stalna sredstva (zbir od 3.21 do 3.24)</t>
  </si>
  <si>
    <t>Rudarska i mineralna istraživanja</t>
  </si>
  <si>
    <t>Softveri (kupljeni i vlastito razvijeni)</t>
  </si>
  <si>
    <t>Književni i umjetnički originali (sa područja filma, muzike, TV programi, sportske i druge priredbe i sl.)</t>
  </si>
  <si>
    <t>Ostala nematerijalna (neopipljiva) stalna sredstva (studije, projekti, elaborati, komisije za tehnički pregled i sl.</t>
  </si>
  <si>
    <t>Troškovi prijenosa vlasništva zemljišta (tr.procjena zemljišta, advokata, porez na promet nekretnina)</t>
  </si>
  <si>
    <r>
      <t xml:space="preserve">Dragocjenosti </t>
    </r>
    <r>
      <rPr>
        <sz val="9"/>
        <rFont val="Times New Roman CE"/>
        <charset val="238"/>
      </rPr>
      <t>(vrijednosni predmeti kupljeni radi očuvanja vrijednosti kao što su dijamanti, drago kamenje, nemon.zlato,slike,skul. i sl.)</t>
    </r>
    <r>
      <rPr>
        <sz val="8"/>
        <rFont val="Times New Roman CE"/>
        <charset val="238"/>
      </rPr>
      <t xml:space="preserve"> 7)</t>
    </r>
  </si>
  <si>
    <r>
      <t xml:space="preserve">Licence, patenti i trgovačke marke </t>
    </r>
    <r>
      <rPr>
        <sz val="8"/>
        <rFont val="Times New Roman CE"/>
        <charset val="238"/>
      </rPr>
      <t>7)</t>
    </r>
  </si>
  <si>
    <t>3.5</t>
  </si>
  <si>
    <t>BILANS USPJEHA</t>
  </si>
  <si>
    <t>KONTROLA</t>
  </si>
  <si>
    <t>GOTOVINSKI TOK</t>
  </si>
  <si>
    <t>POSEBNI PODACI</t>
  </si>
  <si>
    <t>za period od</t>
  </si>
  <si>
    <t>do</t>
  </si>
  <si>
    <t>R.br.</t>
  </si>
  <si>
    <t xml:space="preserve">          P O Z I C I J A</t>
  </si>
  <si>
    <t xml:space="preserve"> Neto plaća</t>
  </si>
  <si>
    <t xml:space="preserve"> Neto naknade plaće</t>
  </si>
  <si>
    <t>III. Emisiona premija</t>
  </si>
  <si>
    <r>
      <t xml:space="preserve">IV. Rezerve   </t>
    </r>
    <r>
      <rPr>
        <sz val="10"/>
        <rFont val="Times New Roman"/>
        <family val="1"/>
        <charset val="238"/>
      </rPr>
      <t>(112+113)</t>
    </r>
  </si>
  <si>
    <t>1. Zakonske rezerve</t>
  </si>
  <si>
    <t>2. Statutarne i druge rezerve</t>
  </si>
  <si>
    <t>dio 33</t>
  </si>
  <si>
    <t>V. Revalorizacione rezerve</t>
  </si>
  <si>
    <t>VI. Nerealizovani dobici</t>
  </si>
  <si>
    <t>VII. Nerealizovani gubici</t>
  </si>
  <si>
    <r>
      <t xml:space="preserve">VIII. Neraspoređena dobit </t>
    </r>
    <r>
      <rPr>
        <sz val="10"/>
        <rFont val="Times New Roman"/>
        <family val="1"/>
        <charset val="238"/>
      </rPr>
      <t>(118 do 121)</t>
    </r>
  </si>
  <si>
    <t>1. Neraspoređena dobit ranijih godina</t>
  </si>
  <si>
    <t>2. Neraspoređena dobit izvještajne godine</t>
  </si>
  <si>
    <t>3. Neraspoređeni višak prihoda iz ranijih godina</t>
  </si>
  <si>
    <t>4. Neraspoređeni višak prihoda izvještajne godine</t>
  </si>
  <si>
    <t>1. Gubitak ranijih godina</t>
  </si>
  <si>
    <r>
      <t xml:space="preserve">IX. Gubitak do visine kapitala </t>
    </r>
    <r>
      <rPr>
        <sz val="10"/>
        <rFont val="Times New Roman"/>
        <family val="1"/>
        <charset val="238"/>
      </rPr>
      <t>(123 do 126)</t>
    </r>
  </si>
  <si>
    <t>2. Gubitak izvještajne godine</t>
  </si>
  <si>
    <t>3. Nepokriveni višak rashoda ranijih godina</t>
  </si>
  <si>
    <t>4. Nepokriveni višak rashoda izvještajne godine</t>
  </si>
  <si>
    <t>X. Otkupljene vlastite dionice i udjeli</t>
  </si>
  <si>
    <t>dio 40</t>
  </si>
  <si>
    <r>
      <t xml:space="preserve">B) DUGOROČNA REZERVISANJA </t>
    </r>
    <r>
      <rPr>
        <sz val="10"/>
        <rFont val="Times New Roman"/>
        <family val="1"/>
        <charset val="238"/>
      </rPr>
      <t>(129+130)</t>
    </r>
  </si>
  <si>
    <t>1. Dugoročna rezervisanja za troškove i rizike</t>
  </si>
  <si>
    <t>2. Dugoročna razgraničenja</t>
  </si>
  <si>
    <r>
      <t xml:space="preserve">C) DUGOROČNE OBAVEZE </t>
    </r>
    <r>
      <rPr>
        <sz val="10"/>
        <rFont val="Times New Roman"/>
        <family val="1"/>
        <charset val="238"/>
      </rPr>
      <t>(132 DO 138)</t>
    </r>
  </si>
  <si>
    <t>1. Obaveze koje se mogu konvertovati u kapital</t>
  </si>
  <si>
    <t>2. Obaveze prema povezanim pravnim licima</t>
  </si>
  <si>
    <t>3. Obaveze po dugoročnim vrijednosnim papirima</t>
  </si>
  <si>
    <t>413,414</t>
  </si>
  <si>
    <t>Dokazi o plaćenom porezu po odbitku u in van teritorije Bosne i Hercegovine</t>
  </si>
  <si>
    <t>Pregled nastaluih, iskorištenih i neiskorištenih poreznih gubitaka (Obrazac GU-DOB)</t>
  </si>
  <si>
    <t>Izjava isplatioca dividendi / udjela  (Obrazac IZ-DOB)</t>
  </si>
  <si>
    <t>Specifikacija naplaćenih, ranije porezno nepriznatih otpisanih potraživanja.</t>
  </si>
  <si>
    <t>Izjavu o prenosu pretplata na ime akontacija za naredni period</t>
  </si>
  <si>
    <t>Zahjtjev za povrat više plaćenog poreza</t>
  </si>
  <si>
    <t>Datum prijema prijave</t>
  </si>
  <si>
    <t>Odgovorno lice PU</t>
  </si>
  <si>
    <t>Datum podnošenja prijave:</t>
  </si>
  <si>
    <t>Odgovorno lice obveznika</t>
  </si>
  <si>
    <t>Porjeklo kapitala - upisati šifru porijekla; domaći-0;  strani-1;  mješoviti-2</t>
  </si>
  <si>
    <t>065</t>
  </si>
  <si>
    <t>066</t>
  </si>
  <si>
    <t>067</t>
  </si>
  <si>
    <t>068</t>
  </si>
  <si>
    <t>070</t>
  </si>
  <si>
    <t>071</t>
  </si>
  <si>
    <t>072</t>
  </si>
  <si>
    <t>Radijski, televiziski i komunikacijski uređaji i oprema (TV i radio prijemnici i odašiljači, telefonski aparati i centrale, faks mašine itd.)</t>
  </si>
  <si>
    <t>3.1218</t>
  </si>
  <si>
    <t>Medicinska opema, fini mehanički i optički instrumenti (osciloskopi, voltmetri, laboratorijske centrifuge, elektrografi, mikroskopi), precizne vage, fotografski aparati itd.</t>
  </si>
  <si>
    <t>3.1219</t>
  </si>
  <si>
    <t>Ukupno isplaćene plaće zaposlenika</t>
  </si>
  <si>
    <t>Ukupno isplaćeno po ugovorima o djelu</t>
  </si>
  <si>
    <t>Ukupno isplaćeno po ugovorima o privremenim i</t>
  </si>
  <si>
    <t>povrećemin poslovima</t>
  </si>
  <si>
    <t>Ukupno - Osnovica za obračun pos.poreza</t>
  </si>
  <si>
    <t>Stopa za obračun</t>
  </si>
  <si>
    <t>Obračunati iznos</t>
  </si>
  <si>
    <t>&lt;----Ovdje unijeti pretplatu iz ranijih godina i uplate u toku 2011.g.</t>
  </si>
  <si>
    <t>01-01/2012</t>
  </si>
  <si>
    <t>31.12.2011. godine</t>
  </si>
  <si>
    <t>•   ukupan prihod za 2011. godinu</t>
  </si>
  <si>
    <r>
      <t xml:space="preserve">Poslovnica </t>
    </r>
    <r>
      <rPr>
        <b/>
        <sz val="12"/>
        <color indexed="10"/>
        <rFont val="Arial"/>
        <family val="2"/>
        <charset val="238"/>
      </rPr>
      <t>Bihać</t>
    </r>
  </si>
  <si>
    <t xml:space="preserve">Predmet: </t>
  </si>
  <si>
    <t>ODLUKU</t>
  </si>
  <si>
    <t>za potrebe njihove predaje ovlaštenoj instituciji</t>
  </si>
  <si>
    <t xml:space="preserve">Bilans uspjeha, </t>
  </si>
  <si>
    <t>o prijedlogu raspodjele dobiti</t>
  </si>
  <si>
    <t>za potrebe predaje finansijskih izvještaja ovlaštenoj instituciji</t>
  </si>
  <si>
    <t>raspodjeli u sljedeće namjene:</t>
  </si>
  <si>
    <t xml:space="preserve">za pokriće gubitka iz ranijih godina </t>
  </si>
  <si>
    <t>u rezerve</t>
  </si>
  <si>
    <t>za isplatu vlasnicima</t>
  </si>
  <si>
    <t>neraspoređena dobit</t>
  </si>
  <si>
    <t>o prijedlogu pokrića gubitka</t>
  </si>
  <si>
    <t>pokrije iz sljedećih izvora:</t>
  </si>
  <si>
    <t>iz neraspoređene dobiti ranijih godina</t>
  </si>
  <si>
    <t>iz rezervi</t>
  </si>
  <si>
    <t>na teret osnovnog kapitala</t>
  </si>
  <si>
    <t>nepokriveni gubitak</t>
  </si>
  <si>
    <t>Godišnji izvještaj o poslovanju</t>
  </si>
  <si>
    <t xml:space="preserve">1) </t>
  </si>
  <si>
    <t>2)</t>
  </si>
  <si>
    <t>Procjena očekivanog budućeg razvoja</t>
  </si>
  <si>
    <t>U budućem periodu društvo će se razvijati u skladu sa finansijskim mogućnostima iz</t>
  </si>
  <si>
    <t>sredstava akumulacije i eventualno, a sve prema potrebi, i iz kreditnih zaduženja.</t>
  </si>
  <si>
    <t>Najvažnije aktivnosti u vezi sa istraživanjem i razvojem</t>
  </si>
  <si>
    <t>Društvo nema aktivnosti istraživanja i razvoja u smislu MRS-a 38.</t>
  </si>
  <si>
    <t>Informacije o otkupu vlastitih dionica i udjela</t>
  </si>
  <si>
    <t>Nije bilo sticanja vlastitih dionica, odnosno udjela.</t>
  </si>
  <si>
    <t xml:space="preserve">5) </t>
  </si>
  <si>
    <t>Informacije o poslovnim segmentima pravnog lica</t>
  </si>
  <si>
    <t>Društvo nema posebnih segmenata u smislu MRS 14.</t>
  </si>
  <si>
    <t>Korišteni finansijski instrumenti.</t>
  </si>
  <si>
    <t>Nisu korišteni finansijski instrumenti.</t>
  </si>
  <si>
    <t>Ciljevi i politike pravnog lica u vezi sa upravljanjem finansijskim rizicima, zajedno</t>
  </si>
  <si>
    <t>sa politikama zaštite od rizika.</t>
  </si>
  <si>
    <t>Društvo nije imalo finansijskih rizika.</t>
  </si>
  <si>
    <t>Izloženost pravnog lica cjenovnom, kreditnom, tržišnom, valutnom riziku likvidnosti</t>
  </si>
  <si>
    <t>i drugim rizicima prisutnim u poslovanju pravnog lica</t>
  </si>
  <si>
    <t>Društvo nema rizika po ovom osnovu.</t>
  </si>
  <si>
    <t>Druga kratkoročna potraživanja</t>
  </si>
  <si>
    <t>Kratkoročni finansijski plasmani</t>
  </si>
  <si>
    <t>Kapital</t>
  </si>
  <si>
    <t>Dugoročne obaveze</t>
  </si>
  <si>
    <t>Datum;</t>
  </si>
  <si>
    <t>Razlika između stvarne (niže) i pune porezno</t>
  </si>
  <si>
    <t>dozvoljene amortizacije (čl.15. st.4. Pravilnika)</t>
  </si>
  <si>
    <t xml:space="preserve">Ranije više porezno iskorištena amortizacija (član </t>
  </si>
  <si>
    <t>15. stav 4. Pravilnika)</t>
  </si>
  <si>
    <t>Vrijednost kapitaliziranih izdataka za razvoj koji se</t>
  </si>
  <si>
    <t>jednokratno otpisuju u porezne svrhe (član 13. stav</t>
  </si>
  <si>
    <t>1. Zakona i član 13. Pravilnika)</t>
  </si>
  <si>
    <t>Amortizacija, umanjena vrijednosti i otpis izdataka</t>
  </si>
  <si>
    <t>za razvoj koji su u cjelini već iskorišteni u porezne</t>
  </si>
  <si>
    <t>4. Dugoročni krediti</t>
  </si>
  <si>
    <t>415,416</t>
  </si>
  <si>
    <t>5. Dugoročne obaveze po finansijskom lizingu</t>
  </si>
  <si>
    <t>6. Dugor.obav.po fer vrijednosti kroz račun dobiti i gubitka</t>
  </si>
  <si>
    <t>7. Ostale dugoročne obaveze</t>
  </si>
  <si>
    <t>D) ODLOŽENE POREZNE OBAVEZE</t>
  </si>
  <si>
    <t>Ispostava Porezne uprave</t>
  </si>
  <si>
    <t>B.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</si>
  <si>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</si>
  <si>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</si>
  <si>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</si>
  <si>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</si>
  <si>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</si>
  <si>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</si>
  <si>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</si>
  <si>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</si>
  <si>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</si>
  <si>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</si>
  <si>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</si>
  <si>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</si>
  <si>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</si>
  <si>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M.P.</t>
  </si>
  <si>
    <t>Vrijednost dezinvestiranja-prodaje stalnih sredstava (uporedba podataka)</t>
  </si>
  <si>
    <t xml:space="preserve">INV 01 TABELA 3. Redni broj 3. </t>
  </si>
  <si>
    <t>UPOREDNA KONTROLA TAČNOSTI TABELA PO OBRASCIMA:</t>
  </si>
  <si>
    <t>UKUPNA VRIJEDNOSTI PO OBRASCIMA MORA BITI ISTA, AKO NIJE DOLE ĆE PISATI GREŠKA.</t>
  </si>
  <si>
    <t>OBRAZAC  ZS</t>
  </si>
  <si>
    <t>Naziv pravne/fizičke osobe, odnosno organa vlasti</t>
  </si>
  <si>
    <t>Identifikacioni broj obveznika naknade</t>
  </si>
  <si>
    <t xml:space="preserve"> Š i f r a</t>
  </si>
  <si>
    <t>OBRAZAC TZ</t>
  </si>
  <si>
    <t>plaćeni doprinosi iz plaća</t>
  </si>
  <si>
    <t>(Šifra djelatnosti po SKD-u)</t>
  </si>
  <si>
    <t>Obračunata svota                                                                                                           (osnovica x stopa red.br.1x2)</t>
  </si>
  <si>
    <t>Obveznik uplate</t>
  </si>
  <si>
    <t>Broj                                  žiro računa:</t>
  </si>
  <si>
    <t>14.</t>
  </si>
  <si>
    <t>15.</t>
  </si>
  <si>
    <t>4.18</t>
  </si>
  <si>
    <t>4.2</t>
  </si>
  <si>
    <t>4.3</t>
  </si>
  <si>
    <t xml:space="preserve"> -</t>
  </si>
  <si>
    <t>Telefon:</t>
  </si>
  <si>
    <t>Ime i prezime osobe koja je popunila obrazac</t>
  </si>
  <si>
    <t>Bosna i Hercegovina</t>
  </si>
  <si>
    <t>Obrazac INV - 01</t>
  </si>
  <si>
    <t>FEDERACIJA BOSNE I HERCEGOVINE</t>
  </si>
  <si>
    <t>Dana;________________</t>
  </si>
  <si>
    <t>AFIP d.d. POSLOVNICA BIHAĆ</t>
  </si>
  <si>
    <t>Hasana Mujezinović bb.</t>
  </si>
  <si>
    <t>77220 CAZIN</t>
  </si>
  <si>
    <t>Predmet:</t>
  </si>
  <si>
    <t>Dostava računovodstvenih iskaza o uspješnosti poslovanja</t>
  </si>
  <si>
    <t>Zakon o statističkim istraživanjima u Federaciji BiH</t>
  </si>
  <si>
    <t>FEDERALNI ZAVOD ZA STATISTIKU</t>
  </si>
  <si>
    <t>SARAJEVO</t>
  </si>
  <si>
    <t>Općina</t>
  </si>
  <si>
    <t>1.1</t>
  </si>
  <si>
    <t>1.21</t>
  </si>
  <si>
    <t>od toga: strana humanitarna pomoć i donacije</t>
  </si>
  <si>
    <t xml:space="preserve">    U isplate za investicije uključuju se kursne razlike koje su plaćene u izvještajnoj godini za investicije ostvarene u toj godini i ranije.</t>
  </si>
  <si>
    <t>2) U isplate za investicije uključiti i otplate komercijalnih kredita.</t>
  </si>
  <si>
    <t>3) bez kredita datih radnicima za izgradnju i kupovinu stanova u ličnoj svojini.</t>
  </si>
  <si>
    <t>07</t>
  </si>
  <si>
    <t>091,098</t>
  </si>
  <si>
    <t>poslovna jedinica iz BD (čl.34. Zakona)</t>
  </si>
  <si>
    <t>Umanjenje poreza (ukupno), od toga:</t>
  </si>
  <si>
    <t>plaćeni porez u RS (čl.35. i 36. Zakona)</t>
  </si>
  <si>
    <t>plaćeni porez u BD (čl.35. i 36. Zakona)</t>
  </si>
  <si>
    <t xml:space="preserve">c) </t>
  </si>
  <si>
    <t>novoosnovano društvo (čl.61. Zakona)</t>
  </si>
  <si>
    <t>slobodne zone i korisnici zona (čl.61. Zakona)</t>
  </si>
  <si>
    <t>učešće ino kapitala (čl.61. Zakona)</t>
  </si>
  <si>
    <t>Porezni kredit (ukupno), od toga:</t>
  </si>
  <si>
    <t>Druga potraživanja iz osnova PDV-a</t>
  </si>
  <si>
    <t>Potraž.za razliku ulaznog PDV-a i obav.za PDV</t>
  </si>
  <si>
    <t>Unaprijed plaćeni rashodi</t>
  </si>
  <si>
    <t>Potraživanja za nefakturisani prihod</t>
  </si>
  <si>
    <t>Razgraničeni troškovi po osnovu obaveza</t>
  </si>
  <si>
    <t>Nerealizvani gubici od držanja ul.u vrij.papi</t>
  </si>
  <si>
    <t>Ostala kratkoročna razgraničenja</t>
  </si>
  <si>
    <t>Gubitak iznad visine kapitala</t>
  </si>
  <si>
    <t>Dionički kapital</t>
  </si>
  <si>
    <t>Udjeli članova durštva ognaničene odgovornost</t>
  </si>
  <si>
    <t>Zadružni udjeli</t>
  </si>
  <si>
    <t>Ulozi</t>
  </si>
  <si>
    <t>Državni kapital</t>
  </si>
  <si>
    <t>Ostali osnovni kapital</t>
  </si>
  <si>
    <t>Upisane neuplaćene dionice</t>
  </si>
  <si>
    <t>Upisani neuplaćeni udjeli</t>
  </si>
  <si>
    <t>Ostali upisani neuplaćeni kapital</t>
  </si>
  <si>
    <t>Emisiona premija</t>
  </si>
  <si>
    <t>Zakonske rezerve</t>
  </si>
  <si>
    <t>Statutarne i druge rezerve</t>
  </si>
  <si>
    <t>Revalor.rezerve iz osnova rev.stalnih sredsta</t>
  </si>
  <si>
    <t>Razlike nastale prevođ.fin.izvj.u valutu prez</t>
  </si>
  <si>
    <t>Nereal.dobici iz osnova fin.sred.ras.za proda</t>
  </si>
  <si>
    <t>Nereal.gubici iz osnova fin.sred.ras.za proda</t>
  </si>
  <si>
    <t>Ostale revl.rezerve i nereal.dobici i gubici</t>
  </si>
  <si>
    <t>Neraspoređena dobit ranijih godina</t>
  </si>
  <si>
    <t>Neraspoređena dobit izvještajne godine</t>
  </si>
  <si>
    <t>Neraspoređeni višak prihoda ranijih godina</t>
  </si>
  <si>
    <t>Neraspoređeni višak prihoda izvještajne godin</t>
  </si>
  <si>
    <t>13. Efekti promjena u računovodstvenim politikama</t>
  </si>
  <si>
    <t>14. Efekti ispravki grešaka</t>
  </si>
  <si>
    <t>(915+-916+-917+-918+-919+-920-921+922)</t>
  </si>
  <si>
    <t>16. Efekti revalorizacije materijalnih i nematerijalnih sredstava</t>
  </si>
  <si>
    <t>17. Nerealizovani dobici/gubici po osnovu finansijskih sredstava raspoloživih za prodaju</t>
  </si>
  <si>
    <t>18. Kursne razlike nastale prevođenjem finansijskih izvještaja u drugu valutu prezentacije</t>
  </si>
  <si>
    <t>19. Neto dobit/gubitak perioda iskazan u bilansu uspjeha</t>
  </si>
  <si>
    <t>20. Neto dobici/gubici perioda priznati direktno u kapitalu</t>
  </si>
  <si>
    <t>OPOREZIVA DOBIT (r.b.1 ili 2+3-4+5 do 19-20-21</t>
  </si>
  <si>
    <t>.+22-23+24-25+26-27+28-29+30+31+32-DO3335</t>
  </si>
  <si>
    <t>.+36-37+38+39 do 41) veće od 0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</si>
  <si>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</si>
  <si>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</si>
  <si>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</si>
  <si>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</si>
  <si>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</si>
  <si>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</si>
  <si>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</si>
  <si>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</si>
  <si>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</si>
  <si>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</si>
  <si>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komora FFBiH</t>
  </si>
  <si>
    <t>komora USK</t>
  </si>
  <si>
    <t>0,2%</t>
  </si>
  <si>
    <t>0,3%</t>
  </si>
  <si>
    <t>IZVJEŠTAJ O PROMJENAMA NA  KAPITALU</t>
  </si>
  <si>
    <t>MANJINSKI          INTERES</t>
  </si>
  <si>
    <t>UKUPNI KAPITAL   (8+9)</t>
  </si>
  <si>
    <t>NAZIV KONTA</t>
  </si>
  <si>
    <t>Prihodi od prodaje robe povezanim pravnim licima</t>
  </si>
  <si>
    <t>Prezime i ime računovođe:</t>
  </si>
  <si>
    <t>Adresa računovođe:</t>
  </si>
  <si>
    <t>Broj dozvole računovođe:</t>
  </si>
  <si>
    <t>ID broj računovođe:</t>
  </si>
  <si>
    <t>Kontakt telefon računovođe:</t>
  </si>
  <si>
    <t>Podaci periodu obračuna</t>
  </si>
  <si>
    <t>Obračun od datuma:</t>
  </si>
  <si>
    <t>Obračun do datuma:</t>
  </si>
  <si>
    <t>Godina obračuna:</t>
  </si>
  <si>
    <t>Datum predaje obrazaca:</t>
  </si>
  <si>
    <t>Za pravna lica koja knjigovodstvo vode po kontnom planu za preduzeća/poduzeća</t>
  </si>
  <si>
    <t>Broj zaposlenih:</t>
  </si>
  <si>
    <t xml:space="preserve">       a) Kratkoročni krediti povezanim pravnim licima</t>
  </si>
  <si>
    <t xml:space="preserve">       b) Kratkoročni krediti dati u zemlji</t>
  </si>
  <si>
    <t xml:space="preserve">       c) Kratkoročni krediti dati u inostranstvo</t>
  </si>
  <si>
    <t>243,244</t>
  </si>
  <si>
    <t>653</t>
  </si>
  <si>
    <t>654</t>
  </si>
  <si>
    <t>610</t>
  </si>
  <si>
    <t>24</t>
  </si>
  <si>
    <t>Dugoročne obaveze po finans.lizingu u inostra</t>
  </si>
  <si>
    <t>Dug.obaveze po fer vrij.kroz rač.dobiti i gub</t>
  </si>
  <si>
    <t>Ostale dugoročne obaveze</t>
  </si>
  <si>
    <t>Obaveze prema povezanim pravnim licima</t>
  </si>
  <si>
    <t>Obav.po emitovanim kratk.vrij.papirima</t>
  </si>
  <si>
    <t>Kratkoročni krediti uzeti u zemlji</t>
  </si>
  <si>
    <t>Kratkoročni krediti uzeti u inostranstvu</t>
  </si>
  <si>
    <t>Kratk.dio dug.obav.po finansijskom lizingu</t>
  </si>
  <si>
    <t>Kratk.obav.po fer vrij. kroz rač.dobiti i gub</t>
  </si>
  <si>
    <t>Ostale  kratkoročne finansijske obaveze</t>
  </si>
  <si>
    <t>Primljeni avansi, depoziti i kaucije</t>
  </si>
  <si>
    <t>Dobavljači - povezana pravna lica</t>
  </si>
  <si>
    <t>Dobavljači u zemlji</t>
  </si>
  <si>
    <t>Dobavljači u inostranstvu</t>
  </si>
  <si>
    <t>Ostale obaveze iz poslovanja</t>
  </si>
  <si>
    <t>Obaveze prema uvozniku</t>
  </si>
  <si>
    <t>Obaveze po osnovu izvoza za tuđi račun</t>
  </si>
  <si>
    <t>Obaveze po osnovu komisione i konsig.prodaje</t>
  </si>
  <si>
    <t>Obaveze iz zajedničkih poslova</t>
  </si>
  <si>
    <t>Ostale obaveze iz specifičnih poslova</t>
  </si>
  <si>
    <t>Broj: 01-0-6/2012</t>
  </si>
  <si>
    <t>1.33</t>
  </si>
  <si>
    <t>1.4</t>
  </si>
  <si>
    <t>1.5</t>
  </si>
  <si>
    <t>1.6</t>
  </si>
  <si>
    <t>1.61</t>
  </si>
  <si>
    <t>Broj dozvole:</t>
  </si>
  <si>
    <t>D i r e k t o r:</t>
  </si>
  <si>
    <t>M. P.</t>
  </si>
  <si>
    <t>Strana 1</t>
  </si>
  <si>
    <t>Strana 3.</t>
  </si>
  <si>
    <t>OBRAZAC TURISTIČKE ZAJEDNICE TZ-2</t>
  </si>
  <si>
    <t>Stopa iz člana 13.Uredbe</t>
  </si>
  <si>
    <t>Uplaćene akontacije doprinosa</t>
  </si>
  <si>
    <r>
      <t xml:space="preserve">Dobit neprekinutog poslovanja prije poreza                                                  </t>
    </r>
    <r>
      <rPr>
        <sz val="10"/>
        <rFont val="Times New Roman"/>
        <family val="1"/>
        <charset val="238"/>
      </rPr>
      <t>(242-243+264-265+293-294+295-296)&gt;0</t>
    </r>
  </si>
  <si>
    <t>Datum primitka:</t>
  </si>
  <si>
    <t>dio 130</t>
  </si>
  <si>
    <t>dio 100</t>
  </si>
  <si>
    <t>Obračunati poseban porez - akcize</t>
  </si>
  <si>
    <t>Obračunata zatezna kamata na iznose po r.b.55.</t>
  </si>
  <si>
    <r>
      <t xml:space="preserve">iz sopstvenih sredstava </t>
    </r>
    <r>
      <rPr>
        <sz val="8"/>
        <rFont val="Times New Roman CE"/>
        <family val="1"/>
        <charset val="238"/>
      </rPr>
      <t>3)</t>
    </r>
  </si>
  <si>
    <t>Ukoliko imate potrebu popuniti ostale podatke idete na obrazav OVN i</t>
  </si>
  <si>
    <t>KAPITAL PO BILANSU STANJA</t>
  </si>
  <si>
    <t>KAPITAL PO PROMJ.KAPITALA</t>
  </si>
  <si>
    <t>RAZLIKA</t>
  </si>
  <si>
    <t>UKUPNO</t>
  </si>
  <si>
    <t>djelatnost</t>
  </si>
  <si>
    <t>općina</t>
  </si>
  <si>
    <t>4.11</t>
  </si>
  <si>
    <t>izgadnja novih kapaciteta</t>
  </si>
  <si>
    <t>4.12</t>
  </si>
  <si>
    <t>rekonstrukcija, modrenizacija, dogradnja i proširenje</t>
  </si>
  <si>
    <t>4.13</t>
  </si>
  <si>
    <t>Značajnija poboljšanja zemljišta (izgradnja nasipa,morskih brana,krčenje šuma i kamenitog tla;isušivanje močvara,navodnjavanje i sl.</t>
  </si>
  <si>
    <t>Strojevi, oprema i transportna sredstva - domaća i uvozna (zbir 3.121+3.122</t>
  </si>
  <si>
    <t>3.121</t>
  </si>
  <si>
    <t>Stojevi i oprema (zbir 3.1211 do 3.1219)</t>
  </si>
  <si>
    <t>3.1211</t>
  </si>
  <si>
    <t>Metalni proizvodi i naprave (metalne kponstrukcije, tornjevi, cisterne, kontejneri, kotlovi i oprema za centralno grijanje, rezervoari, željezni i čelični kotlovi itd.)</t>
  </si>
  <si>
    <t>3.1212</t>
  </si>
  <si>
    <t>53</t>
  </si>
  <si>
    <t>56</t>
  </si>
  <si>
    <r>
      <t xml:space="preserve">prodaja </t>
    </r>
    <r>
      <rPr>
        <sz val="8"/>
        <rFont val="Times New Roman CE"/>
        <family val="1"/>
        <charset val="238"/>
      </rPr>
      <t>10)</t>
    </r>
  </si>
  <si>
    <t>9)</t>
  </si>
  <si>
    <t>one to the foreign tax body.</t>
  </si>
  <si>
    <t>3. Item I, II, III and IV shall be filled out by the payer, and V and VI by the Tax Administration.</t>
  </si>
  <si>
    <t>Udružena sedstva domaćih investitora</t>
  </si>
  <si>
    <t>Udružena sredstva inozemnih investitora</t>
  </si>
  <si>
    <t>Finansijski krediti domaćih banaka</t>
  </si>
  <si>
    <t>Finansijski krediti stranih kreditora</t>
  </si>
  <si>
    <t>Finanisjki najam - lizing</t>
  </si>
  <si>
    <t>611</t>
  </si>
  <si>
    <t>612</t>
  </si>
  <si>
    <t>62</t>
  </si>
  <si>
    <t>660</t>
  </si>
  <si>
    <t>67</t>
  </si>
  <si>
    <t>200</t>
  </si>
  <si>
    <t>201</t>
  </si>
  <si>
    <t>PODACI O OBRAČUNATOM POREZU PREMA UGOVORU O IZBJEGAVANJU DVOSTRUKOG OPOREZIVANJA - DATA</t>
  </si>
  <si>
    <t>ON CALCULATED TAX PER AGREEMENT ON AVOIDING DOUBLE TAXATION</t>
  </si>
  <si>
    <t>fakture - Contract</t>
  </si>
  <si>
    <t>Income (KM)</t>
  </si>
  <si>
    <t>Stopa poreza iz</t>
  </si>
  <si>
    <t>Ugovora -</t>
  </si>
  <si>
    <t>Agreement Tax Rate</t>
  </si>
  <si>
    <t>PRILOŽENI DOKUMENTI (naziv i broj) - SUPPORTING DOCUMENTATION (title and number) - enclosed</t>
  </si>
  <si>
    <t xml:space="preserve"> VI</t>
  </si>
  <si>
    <t>NAPOMENA POREZNE UPRAVE (ako je ima) - TAX ADMINISTRATION REMARKS (if any)</t>
  </si>
  <si>
    <t>Datum - Date</t>
  </si>
  <si>
    <t>Obračun sačinio - Calculated by</t>
  </si>
  <si>
    <t>Odgovorno lice - Liable Person</t>
  </si>
  <si>
    <t>M.P. - STAMP</t>
  </si>
  <si>
    <t>DOBICI UTVRĐENI DIREKTNO U KAPITALU  (315 do 320)</t>
  </si>
  <si>
    <t>Gubici od promjene fer vrijednosti finansijskih sredstava raspoloživih za prodaju</t>
  </si>
  <si>
    <t>Gubici iz osnova prevođenja finansijskih izvještaja inostranog poslovanja</t>
  </si>
  <si>
    <t>Aktuarski gubici po planovima definisanih primanja</t>
  </si>
  <si>
    <t>Gubici iz osnova efektivnog dijela zaštite novčanog toka</t>
  </si>
  <si>
    <t>Ostali nerealizovani gubici i gubici utvrđeni direktno u kapitalu</t>
  </si>
  <si>
    <r>
      <t>Ostala sveobuhvatna dobit prije poreza</t>
    </r>
    <r>
      <rPr>
        <sz val="10"/>
        <rFont val="Times New Roman"/>
        <family val="1"/>
        <charset val="238"/>
      </rPr>
      <t xml:space="preserve">  (314-321)</t>
    </r>
  </si>
  <si>
    <t>Obračunati odloženi porez na ostalu sveobuhvatnu dobit</t>
  </si>
  <si>
    <r>
      <t>Neto ostala sveobuhvatna dobit</t>
    </r>
    <r>
      <rPr>
        <sz val="10"/>
        <rFont val="Times New Roman"/>
        <family val="1"/>
        <charset val="238"/>
      </rPr>
      <t xml:space="preserve">  (327-328-329)&gt;0</t>
    </r>
  </si>
  <si>
    <t>a)  vlasnicima matice</t>
  </si>
  <si>
    <t>Ukupna neto sveobuh.dobit/gubitak prema vlasništvu ( 332 ili 333)</t>
  </si>
  <si>
    <t>. Na bazi stanja krajem svakog mjeseca</t>
  </si>
  <si>
    <t>Strana 5</t>
  </si>
  <si>
    <t>Gubici(dobici) od otuđenja nematerijalnih sredstava</t>
  </si>
  <si>
    <t>078</t>
  </si>
  <si>
    <t>090</t>
  </si>
  <si>
    <t>091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</si>
  <si>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</si>
  <si>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</si>
  <si>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</si>
  <si>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</si>
  <si>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</si>
  <si>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</si>
  <si>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</si>
  <si>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</si>
  <si>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</si>
  <si>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</si>
  <si>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</si>
  <si>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</si>
  <si>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Smanjenje (povećanje) aktivnih vremenskih razgraničenja</t>
  </si>
  <si>
    <t>Povećanje (smanjenje) obaveza prema dobavljačima</t>
  </si>
  <si>
    <t>Povećanje (smanjenje) drugih obaveza</t>
  </si>
  <si>
    <t>Povećanje (smanjenje) pasivnih vremenskih razgraničenja</t>
  </si>
  <si>
    <t>U istom obračunskom periodu prethodne godine</t>
  </si>
  <si>
    <t>U obračunskom periodu tekuće godine</t>
  </si>
  <si>
    <t>PRET.GODINA</t>
  </si>
  <si>
    <t>TEKUCA GODINA</t>
  </si>
  <si>
    <t>I Z V J E Š T A J</t>
  </si>
  <si>
    <t>OBRAZAC ZS zaštita od prirodnih nesreća</t>
  </si>
  <si>
    <t>Donacije političkim strankama (član 17. stav 3.</t>
  </si>
  <si>
    <t>Zakona)</t>
  </si>
  <si>
    <t>POREZNI BILANS</t>
  </si>
  <si>
    <t>za porezni period od</t>
  </si>
  <si>
    <t>10,11,12,13,14 i 15</t>
  </si>
  <si>
    <t>KONTROLA TAČNOSTI TABELE 4.</t>
  </si>
  <si>
    <t xml:space="preserve">   za industrijske procese, uključujući TE</t>
  </si>
  <si>
    <t xml:space="preserve">   za druge namjene</t>
  </si>
  <si>
    <t>grupa</t>
  </si>
  <si>
    <t>iznos</t>
  </si>
  <si>
    <t>Obaveze za neto plaće i naknade plaća</t>
  </si>
  <si>
    <t>Obaveze za porez i posebne dadžb.na plaće i n</t>
  </si>
  <si>
    <t>Obaveze za doprinose u vezi plaća i nakn.plać</t>
  </si>
  <si>
    <t>Obaveze za neto naknade plaća koje se refundi</t>
  </si>
  <si>
    <t>Obav.za porez i pos.dadžb.na plać.koje refund</t>
  </si>
  <si>
    <t>Obaveze na doprinose u vez plaća koje se refu</t>
  </si>
  <si>
    <t>Obaveze za ostala neto prim.nakn.i mater.prav</t>
  </si>
  <si>
    <t>Obav.za porez i pos.dadžb.na ostala primanja</t>
  </si>
  <si>
    <t>Obav.za doprinose u vezi stalih primanja zap.</t>
  </si>
  <si>
    <t>Obaveze po osnovu kamata i trošk.finansiranja</t>
  </si>
  <si>
    <t>Obaveze za dividende</t>
  </si>
  <si>
    <t>Obaveze zaučešće u dobiti</t>
  </si>
  <si>
    <t>Obaveze za naknade članovima odbora i komisij</t>
  </si>
  <si>
    <t>Obav.za porez i pos.dadžb.na nakn.čl.odbora</t>
  </si>
  <si>
    <t>Osnovno stado</t>
  </si>
  <si>
    <t>Biološka sredstva u pripremi</t>
  </si>
  <si>
    <t>Avansu za biološka sredstva</t>
  </si>
  <si>
    <t>Ostala stalna materijalna sredstva u upotrebi</t>
  </si>
  <si>
    <t>Ostala stalna materijalna sredstva u pripremi</t>
  </si>
  <si>
    <t>Avansi za ostala stalna materijalna sredstva</t>
  </si>
  <si>
    <t>Učešće u kapitalu povezanih pravnih lica</t>
  </si>
  <si>
    <t>Učešće u kapitalu drugih pravnih lica</t>
  </si>
  <si>
    <t>Dugoročni krediti dati povezanim pravnim lici</t>
  </si>
  <si>
    <t>Dugoročni krediti dati u zemlji</t>
  </si>
  <si>
    <t>Dugoročni krediti dati u inostranstvu</t>
  </si>
  <si>
    <t>Finansijska sredstva raspoloživa za prodaju</t>
  </si>
  <si>
    <t>Finansijska sredstva koja se drže do roka dos</t>
  </si>
  <si>
    <t>Ostali dugoročni finansijski plasmani</t>
  </si>
  <si>
    <t>Ispravka vrijednosti dugor.finansijskih plasm</t>
  </si>
  <si>
    <t>Potraživanja od povezanih pravnih lica</t>
  </si>
  <si>
    <t>Potraživanja po osnovu prodaje na kredit</t>
  </si>
  <si>
    <t>Potraž.po osnovu ugov. o finans.najmu-lizingu</t>
  </si>
  <si>
    <t>Ostala dugoročna potraživanja</t>
  </si>
  <si>
    <t>Ispravka vrijednosti dugoročnih potraživanja</t>
  </si>
  <si>
    <t>Odložena porezna sredstva</t>
  </si>
  <si>
    <t>Unaprijed plaćeni troškovi-duže od 12.mjeseci</t>
  </si>
  <si>
    <t>Ostala dugoročna razgraničenja</t>
  </si>
  <si>
    <t>Obračun troškova nabavke</t>
  </si>
  <si>
    <t>Sirovine i materijal</t>
  </si>
  <si>
    <t>Rezervni dijelovi</t>
  </si>
  <si>
    <t>Autogume i ambalaža</t>
  </si>
  <si>
    <t>Alat i sitan inventar</t>
  </si>
  <si>
    <t>Odstupanje od cjena</t>
  </si>
  <si>
    <t>Ispravka vrijednosti sirovina,mater.djel.inv.</t>
  </si>
  <si>
    <t>Proizvodnja u toku - nedovršeni proizvodi</t>
  </si>
  <si>
    <t>Poluproizvodi i dijelovi vlastite proizvdnje</t>
  </si>
  <si>
    <t>Proizvodnja kod kooperanata</t>
  </si>
  <si>
    <t>Obustavljena proizvodnja</t>
  </si>
  <si>
    <t>Poluproizvodi u doradi i obradi</t>
  </si>
  <si>
    <t>Nedovršene usluge</t>
  </si>
  <si>
    <t>Ispravka vrijednosti nedovršene proizvodnje</t>
  </si>
  <si>
    <t>Proizvodi u skladištu</t>
  </si>
  <si>
    <t>Proizvodi u maloprodajnim objektima</t>
  </si>
  <si>
    <t>Ukalkulisana razlika u cijeni</t>
  </si>
  <si>
    <t>Ukalkulisani PDV</t>
  </si>
  <si>
    <t>(bez kupovine zemljišta, vrijednosti patenata, licenci, robnih marki i dragocjenosti)</t>
  </si>
  <si>
    <t>(1.=1.1+1.2+1.3+1.4+1.5+1.6)</t>
  </si>
  <si>
    <t>(1.21+1.22)</t>
  </si>
  <si>
    <t>IZNOS</t>
  </si>
  <si>
    <t>STATISTIČKI ANEKS GODIŠNJEG RAČUNOVODSTVENOG IZVJEŠTAJA</t>
  </si>
  <si>
    <t>ŠIFRA DJELATNOSTI DRUŠTVA</t>
  </si>
  <si>
    <t>Roba</t>
  </si>
  <si>
    <t>527</t>
  </si>
  <si>
    <t>529</t>
  </si>
  <si>
    <t>50</t>
  </si>
  <si>
    <t>unosom određenih podataka uraditi obrazac koji želite prema Vašim zahtjevima!!!!!!!!!!</t>
  </si>
  <si>
    <t>03</t>
  </si>
  <si>
    <t>Uplaćena akontacija</t>
  </si>
  <si>
    <t>04</t>
  </si>
  <si>
    <t>Razlika za uplatu                                                                                                                       (redni broj 3 minus redni broj 4)</t>
  </si>
  <si>
    <t>05</t>
  </si>
  <si>
    <t>Razlika za povrat                                                                                                            (redni vroj 4 minus redni broj 3)</t>
  </si>
  <si>
    <t>Mjesto                          Ulica                                   broj</t>
  </si>
  <si>
    <t>Djelatnost</t>
  </si>
  <si>
    <t>članarine za period</t>
  </si>
  <si>
    <t>O B R A Č U N</t>
  </si>
  <si>
    <t>od</t>
  </si>
  <si>
    <t>Grupa konta-konto</t>
  </si>
  <si>
    <t>O P I S</t>
  </si>
  <si>
    <t>AOP</t>
  </si>
  <si>
    <t>Prethodna godina</t>
  </si>
  <si>
    <t>Tekuća godina</t>
  </si>
  <si>
    <t>213</t>
  </si>
  <si>
    <t>R. br.</t>
  </si>
  <si>
    <t>Usklađivanje za:</t>
  </si>
  <si>
    <t>5</t>
  </si>
  <si>
    <t>6</t>
  </si>
  <si>
    <t>7</t>
  </si>
  <si>
    <t>I.</t>
  </si>
  <si>
    <t>Ident.br.:</t>
  </si>
  <si>
    <t>Kupci u inostranstvu</t>
  </si>
  <si>
    <t>Potraživanja od izvoznika</t>
  </si>
  <si>
    <t>Potraživanja od uvoznika za tuđi račun</t>
  </si>
  <si>
    <t>Potraž.po osnovu konsign. i komision.prodaje</t>
  </si>
  <si>
    <t>Potraživanja iz zajedničkih poslova</t>
  </si>
  <si>
    <t>Ostala potraživanja iz specifičnih poslova</t>
  </si>
  <si>
    <t>Isravka vrijednosti potr.iz specif.poslova</t>
  </si>
  <si>
    <t>Potr.za kamatu i dividendu od povez.prav.lica</t>
  </si>
  <si>
    <t>Potr.za kamatu i dividendu od drug.subjekata</t>
  </si>
  <si>
    <t>Potraživanja od zaposlenika</t>
  </si>
  <si>
    <t>Potraživanja od državnih organa i institucija</t>
  </si>
  <si>
    <t>Potraživanje za više paćeni porez na dobit</t>
  </si>
  <si>
    <t>Potr.za više plaćene ostale poreze i doprinos</t>
  </si>
  <si>
    <t>Ostala kratkoročna potraživanja</t>
  </si>
  <si>
    <t>Ispravka vrijednosti drugih kratk.potraživanj</t>
  </si>
  <si>
    <t>Kratkoročni krediti povezanim pravnim licima</t>
  </si>
  <si>
    <t>Kratkoročni krediti dati u zemlji</t>
  </si>
  <si>
    <t>Kratkoročni krediti dati u instranstvo</t>
  </si>
  <si>
    <t>opremu iz uvoza, ili ako je nabavljena da bi se koristila po prvi put. U slučaju dalje preprodaje ova oprema se smatra domaćom polovnom opremom.</t>
  </si>
  <si>
    <t>Iz vlastitih sredstava</t>
  </si>
  <si>
    <t>dio 64</t>
  </si>
  <si>
    <r>
      <t xml:space="preserve">Povećanje vrijednosti specifičnih stalnih sredstavav </t>
    </r>
    <r>
      <rPr>
        <sz val="8"/>
        <rFont val="Times New Roman"/>
        <family val="1"/>
        <charset val="238"/>
      </rPr>
      <t>(286 do 288)</t>
    </r>
  </si>
  <si>
    <t>Povećanje vrijednosti investicijskih nekretnina koje se ne amortizuju</t>
  </si>
  <si>
    <t>Povećanje vrijednsoti bioloških sredstava koja se ne amortizuju</t>
  </si>
  <si>
    <t>Povećanje vrijednosti ostalih stalnih sredstava koja se ne amortizuju</t>
  </si>
  <si>
    <r>
      <t>Smanjenje vrijednosti specifičkih stalnih sredstava</t>
    </r>
    <r>
      <rPr>
        <b/>
        <sz val="8"/>
        <rFont val="Times New Roman"/>
        <family val="1"/>
        <charset val="238"/>
      </rPr>
      <t xml:space="preserve"> </t>
    </r>
    <r>
      <rPr>
        <sz val="8"/>
        <rFont val="Times New Roman"/>
        <family val="1"/>
        <charset val="238"/>
      </rPr>
      <t>(290 do 292)</t>
    </r>
  </si>
  <si>
    <t>Smanjenje vrijednsoti investicijskih nekretnina koje se ne amortizuju</t>
  </si>
  <si>
    <t>Smanjenje vrijednosti bioloških sredstava koja se ne amortizuju</t>
  </si>
  <si>
    <t>Smanjenje vrijednosti ostalih stalnih sredstava koja se ne amortizuju</t>
  </si>
  <si>
    <r>
      <t xml:space="preserve">Dobit od usklađivanja vrijednsoti </t>
    </r>
    <r>
      <rPr>
        <sz val="10"/>
        <rFont val="Times New Roman"/>
        <family val="1"/>
        <charset val="238"/>
      </rPr>
      <t xml:space="preserve"> (266-276+285-289)&gt;0</t>
    </r>
  </si>
  <si>
    <r>
      <t xml:space="preserve">Gubitak od usklađivanja vrijednosti  </t>
    </r>
    <r>
      <rPr>
        <sz val="10"/>
        <rFont val="Times New Roman"/>
        <family val="1"/>
        <charset val="238"/>
      </rPr>
      <t>(266-276+285-289)&lt;0</t>
    </r>
  </si>
  <si>
    <t>690,691</t>
  </si>
  <si>
    <t>Prihodi iz osnova promjene računovodstvenih politika i ispravki neznačajnih grešaka iz ranijih perioda</t>
  </si>
  <si>
    <t>590,591</t>
  </si>
  <si>
    <t>TABELA 2. VREMENSKA RAZGRANIČENJA IZMEĐU ISPLATA ZA INVESTICIJE I OSTVARENIH INVESTICIJA SA STANJEM 31.12.2011.</t>
  </si>
  <si>
    <t>Isplaćeno za investicije u toku 2011godine</t>
  </si>
  <si>
    <r>
      <t xml:space="preserve">za izvršene radove i nabavke u toku 2011.godine </t>
    </r>
    <r>
      <rPr>
        <vertAlign val="superscript"/>
        <sz val="10"/>
        <rFont val="Times New Roman CE"/>
        <charset val="238"/>
      </rPr>
      <t>6)</t>
    </r>
  </si>
  <si>
    <t xml:space="preserve">za izmirenje obaveza iz 2010.g.i ranije prema izvođačima radova i isporučiocima </t>
  </si>
  <si>
    <t xml:space="preserve">2010.godini i ranije kod preduzeća u zemlji i inostranih preduzeća; za avanse date </t>
  </si>
  <si>
    <t>u 2011.godini po odbitku obračunatog dijela pod 2.11</t>
  </si>
  <si>
    <t>Izvršeni a neplaćeni radovi i nabavke u toku 2011.godine</t>
  </si>
  <si>
    <t>neizmirene obaveze iz ostvarenih investicija u toku 2011.godine prema izvođačima</t>
  </si>
  <si>
    <t>investicije u toku 2010.godine kod peduzeća u zemlji i inostranih preduzeća;</t>
  </si>
  <si>
    <t>plaćeni avansi u ranijim godinama, a obračunati u toku 2010.godine za izvršene</t>
  </si>
  <si>
    <t>lica koja knjigovodstvo vode po kontnom planu preduzeća podaci se prikupljaju putem "Statističkog aneksa godišnjeg</t>
  </si>
  <si>
    <t>računovodstvenog izvještaja" a koji se podnosi uz godišnji obračun. Podaci prikupljeni putem ovog izvještaja koristiće</t>
  </si>
  <si>
    <t>10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</si>
  <si>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</si>
  <si>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</si>
  <si>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</si>
  <si>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</si>
  <si>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</si>
  <si>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</si>
  <si>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</si>
  <si>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</si>
  <si>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</si>
  <si>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</si>
  <si>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</si>
  <si>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</si>
  <si>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</si>
  <si>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</si>
  <si>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</si>
  <si>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</si>
  <si>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</si>
  <si>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</si>
  <si>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</si>
  <si>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</si>
  <si>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</si>
  <si>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</si>
  <si>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</si>
  <si>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</si>
  <si>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UPLAĆENO</t>
  </si>
  <si>
    <t>010</t>
  </si>
  <si>
    <t>011</t>
  </si>
  <si>
    <t>012</t>
  </si>
  <si>
    <t>013</t>
  </si>
  <si>
    <t>014</t>
  </si>
  <si>
    <t>017</t>
  </si>
  <si>
    <t xml:space="preserve">ZA PERIOD OD </t>
  </si>
  <si>
    <t>60</t>
  </si>
  <si>
    <t>Prihodi od prodaje</t>
  </si>
  <si>
    <t xml:space="preserve">Obračun naknada za eksploataciju šuma i </t>
  </si>
  <si>
    <t>Primio:</t>
  </si>
  <si>
    <t>Predao:</t>
  </si>
  <si>
    <t>Ovl.radnik AFIP-a:</t>
  </si>
  <si>
    <t>štimati ovdje</t>
  </si>
  <si>
    <t>INSTRUCTION</t>
  </si>
  <si>
    <r>
      <t xml:space="preserve">Ostvarene investicije u </t>
    </r>
    <r>
      <rPr>
        <b/>
        <u/>
        <sz val="10"/>
        <rFont val="Times New Roman CE"/>
        <charset val="238"/>
      </rPr>
      <t>nova</t>
    </r>
    <r>
      <rPr>
        <sz val="10"/>
        <rFont val="Times New Roman CE"/>
        <charset val="238"/>
      </rPr>
      <t xml:space="preserve"> stalna sredstva u 2011. godini po tehničkoj strukturi (Tabela 3., Kolona 4.)</t>
    </r>
  </si>
  <si>
    <t>Vrijednost aktiviranih stalnih sredstava u toku 2011.godine</t>
  </si>
  <si>
    <t>Stalna sredstva u izgradnji (pripremi) krajem 2011.godine</t>
  </si>
  <si>
    <t xml:space="preserve"> 66.0366.030, 67.1367.130, 71, 74(osim 74.5 i 74.6), 66.0366.030, 67.1367.130, 71, 74(osim 74.5 i 74.6), 92(OSIM 92.6),93(OSIM 93.0493.040)</t>
  </si>
  <si>
    <t xml:space="preserve">OBRAZAC TZ-2 </t>
  </si>
  <si>
    <t>KONTA SA KOJIH UZIMA STANJE</t>
  </si>
  <si>
    <t>OBRAZAC ONŠ za iskorištavanje šuma</t>
  </si>
  <si>
    <t>39</t>
  </si>
  <si>
    <t>+</t>
  </si>
  <si>
    <t>-</t>
  </si>
  <si>
    <t xml:space="preserve">Za sva pravna lica koja knjigovodstvo vode </t>
  </si>
  <si>
    <t>po kontnom planu za preduzeća</t>
  </si>
  <si>
    <t>Šifra djelatnosti</t>
  </si>
  <si>
    <t>Datum prijema</t>
  </si>
  <si>
    <t xml:space="preserve">Registarski broj: </t>
  </si>
  <si>
    <t>Broj:</t>
  </si>
  <si>
    <t>Datum:</t>
  </si>
  <si>
    <t>Dostava podataka po članu 327. Zakona o privrednim društvima</t>
  </si>
  <si>
    <t>CAZIN</t>
  </si>
  <si>
    <t>Predmet:  Izjava</t>
  </si>
  <si>
    <t>Kojom poreski obveznik, izjavljuje da prihvata prenos pretplate poreza na dobit</t>
  </si>
  <si>
    <t>KRAJ UNOSA !!!!!!!!!!!!!!!!</t>
  </si>
  <si>
    <t>Stalan sredstva se vrednuju po kupovnoj cijeni uključujući i troškove montaže i druge troškove prijenosa vlasništva. Ukoliko ne znate tačnu vrijednost, procjenite je.</t>
  </si>
  <si>
    <t>8)</t>
  </si>
  <si>
    <t>218</t>
  </si>
  <si>
    <t>219</t>
  </si>
  <si>
    <t>221</t>
  </si>
  <si>
    <t>222</t>
  </si>
  <si>
    <t>225</t>
  </si>
  <si>
    <t>226</t>
  </si>
  <si>
    <t>227</t>
  </si>
  <si>
    <t>229</t>
  </si>
  <si>
    <t>231</t>
  </si>
  <si>
    <t>232</t>
  </si>
  <si>
    <t>233</t>
  </si>
  <si>
    <t>9</t>
  </si>
  <si>
    <t>45.</t>
  </si>
  <si>
    <t>iz sredstava budžeta, izvanbudžetskih fondova i drugih fondova</t>
  </si>
  <si>
    <t>iz drugih izvora (interna realizacija, stalna imovina dobivena  bez naknade</t>
  </si>
  <si>
    <t>putem kompenzacije, donacije, humanitarne pomoći)</t>
  </si>
  <si>
    <t>1.2</t>
  </si>
  <si>
    <t>1.22</t>
  </si>
  <si>
    <t>1.3</t>
  </si>
  <si>
    <t>1.31</t>
  </si>
  <si>
    <t>1.32</t>
  </si>
  <si>
    <t>Svota</t>
  </si>
  <si>
    <t>POREZI I DOPRINOSI NA UKUPAN PRIHOD I POSEBNI PODACI</t>
  </si>
  <si>
    <t>Identifikacijski broj</t>
  </si>
  <si>
    <t>55</t>
  </si>
  <si>
    <t>164</t>
  </si>
  <si>
    <t>165</t>
  </si>
  <si>
    <t>166</t>
  </si>
  <si>
    <t>167</t>
  </si>
  <si>
    <t>168</t>
  </si>
  <si>
    <t>III.</t>
  </si>
  <si>
    <t>16.</t>
  </si>
  <si>
    <t>Ostali izvori</t>
  </si>
  <si>
    <t>0,5%</t>
  </si>
  <si>
    <t>17.</t>
  </si>
  <si>
    <t>18.</t>
  </si>
  <si>
    <t>19.</t>
  </si>
  <si>
    <t>20.</t>
  </si>
  <si>
    <t>21.</t>
  </si>
  <si>
    <t>157</t>
  </si>
  <si>
    <t>158</t>
  </si>
  <si>
    <t>159</t>
  </si>
  <si>
    <t>160</t>
  </si>
  <si>
    <t>161</t>
  </si>
  <si>
    <t>162</t>
  </si>
  <si>
    <t>163</t>
  </si>
  <si>
    <t>001</t>
  </si>
  <si>
    <t>002</t>
  </si>
  <si>
    <t>003</t>
  </si>
  <si>
    <t>004</t>
  </si>
  <si>
    <t>Razlika između tržišne (niže) i kamate o kamate po</t>
  </si>
  <si>
    <t>kreditima od povezanih lica (član 17. stav 1. tačka</t>
  </si>
  <si>
    <t>1. i član 48. Zakona)</t>
  </si>
  <si>
    <t>Razlika između tržišnih (nižih) i vrijednosti stvarnih</t>
  </si>
  <si>
    <t>transakcija sa povezanim licima, za ostale rashode</t>
  </si>
  <si>
    <t>(čl.45. do 47. Zakona)</t>
  </si>
  <si>
    <t>Razlika između tržišnih (viših) i vrijednosti stvarnih</t>
  </si>
  <si>
    <t>transakcija sa povezanim licima, za iskazane</t>
  </si>
  <si>
    <t>prihode (čl.45. do 47. Zakona)</t>
  </si>
  <si>
    <t>OPOREZIVA DOBIT ZA PERIOD ILI</t>
  </si>
  <si>
    <t>Postrojenja i oprema namijenjeni prodaji</t>
  </si>
  <si>
    <t>Investcijske nekretnine namijenjene prodaji</t>
  </si>
  <si>
    <t>Biološka sredstva namijenjena prodaji</t>
  </si>
  <si>
    <t>Ostala stalna sredstva namijenjena prodaji</t>
  </si>
  <si>
    <t>Sredstva obustavljenog poslovanja namj.prodaj</t>
  </si>
  <si>
    <t>57.</t>
  </si>
  <si>
    <t>58.</t>
  </si>
  <si>
    <t>59.</t>
  </si>
  <si>
    <t>60.</t>
  </si>
  <si>
    <t>61.</t>
  </si>
  <si>
    <t>62.</t>
  </si>
  <si>
    <t>Broj žiro-računa</t>
  </si>
  <si>
    <t xml:space="preserve">Šifra djelatnosti </t>
  </si>
  <si>
    <t>OBRAČUN ČLANARINE KOMORSKOM SISTEMU</t>
  </si>
  <si>
    <t>Dati avansi za zalihe i usluge ost.prav.lica</t>
  </si>
  <si>
    <t>Ispravka vrijednosti datih avansa</t>
  </si>
  <si>
    <t>Transakcijski račun -domaća valuta</t>
  </si>
  <si>
    <t>Transakcijski račun -strana valuta</t>
  </si>
  <si>
    <t>Izdvojena novčana sredstva</t>
  </si>
  <si>
    <t>Akreditivi - domaća valuta</t>
  </si>
  <si>
    <t>Akreditivi - stana valuta</t>
  </si>
  <si>
    <t>Blagajne - domaća valuta</t>
  </si>
  <si>
    <t>Blagajna - strana valuta</t>
  </si>
  <si>
    <t>Gotovinski ekvivalenti</t>
  </si>
  <si>
    <t>Ostala novčana sredstva</t>
  </si>
  <si>
    <t>Oročena novčana sredstva</t>
  </si>
  <si>
    <t>Kupci - povezana pravna lica</t>
  </si>
  <si>
    <t>Kupci u zemlji</t>
  </si>
  <si>
    <t>Zarada po dionici:</t>
  </si>
  <si>
    <t>Ukupna neto sveobuhvatna dobit/gubitak prema vlasništvu (332 ili 333)</t>
  </si>
  <si>
    <r>
      <t>C) TEKUĆA SREDSTVA</t>
    </r>
    <r>
      <rPr>
        <sz val="10"/>
        <rFont val="Times New Roman"/>
        <family val="1"/>
        <charset val="238"/>
      </rPr>
      <t xml:space="preserve"> (036+043)</t>
    </r>
  </si>
  <si>
    <r>
      <t xml:space="preserve">VI. Dugoročni finansijski plasmani </t>
    </r>
    <r>
      <rPr>
        <sz val="10"/>
        <rFont val="Times New Roman"/>
        <family val="1"/>
        <charset val="238"/>
      </rPr>
      <t>(022 do 029)</t>
    </r>
  </si>
  <si>
    <r>
      <t xml:space="preserve">IV. Biološka sredstva </t>
    </r>
    <r>
      <rPr>
        <sz val="10"/>
        <rFont val="Times New Roman"/>
        <family val="1"/>
        <charset val="238"/>
      </rPr>
      <t>(016 do 019)</t>
    </r>
  </si>
  <si>
    <r>
      <t xml:space="preserve">II. Nekretnine, postrojenja i oprema </t>
    </r>
    <r>
      <rPr>
        <sz val="10"/>
        <rFont val="Times New Roman"/>
        <family val="1"/>
        <charset val="238"/>
      </rPr>
      <t>(009 do 013)</t>
    </r>
  </si>
  <si>
    <r>
      <t xml:space="preserve">I. Nematerijalna sredstva </t>
    </r>
    <r>
      <rPr>
        <sz val="10"/>
        <rFont val="Times New Roman"/>
        <family val="1"/>
        <charset val="238"/>
      </rPr>
      <t>(003 do 007)</t>
    </r>
  </si>
  <si>
    <r>
      <t xml:space="preserve">A) STALNA SREDSTVA I DUGOROČNI PLASMANI </t>
    </r>
    <r>
      <rPr>
        <sz val="9"/>
        <rFont val="Times New Roman"/>
        <family val="1"/>
        <charset val="238"/>
      </rPr>
      <t>(002+008+014+015+020+021+030+033)</t>
    </r>
  </si>
  <si>
    <t xml:space="preserve">  u  KM</t>
  </si>
  <si>
    <t>I  Z  N  O  S</t>
  </si>
  <si>
    <t>Identifikacioni broj:</t>
  </si>
  <si>
    <t>NAZIV PRAVNOG LICA:</t>
  </si>
  <si>
    <t>Red. br.</t>
  </si>
  <si>
    <t>UTVRĐIVANJE POREZNE OSNOVICE</t>
  </si>
  <si>
    <t>FINANSIJSKI REZULTAT ISKAZAN U</t>
  </si>
  <si>
    <t>BILANSU USPJEHA</t>
  </si>
  <si>
    <r>
      <t>AFIP</t>
    </r>
    <r>
      <rPr>
        <b/>
        <sz val="12"/>
        <color indexed="10"/>
        <rFont val="Arial"/>
        <family val="2"/>
        <charset val="238"/>
      </rPr>
      <t xml:space="preserve"> d.d Sarajevo</t>
    </r>
  </si>
  <si>
    <t xml:space="preserve"> </t>
  </si>
  <si>
    <r>
      <t xml:space="preserve">Predmet: </t>
    </r>
    <r>
      <rPr>
        <b/>
        <sz val="12"/>
        <rFont val="Arial"/>
        <family val="2"/>
        <charset val="238"/>
      </rPr>
      <t>Obavijest o razvrstavanju</t>
    </r>
  </si>
  <si>
    <t xml:space="preserve">   A.    GOTOVINSKI TOKOVI IZ POSLOVNIH AKTIVNOSTI</t>
  </si>
  <si>
    <t>Neto dobit/dobitak ZA PERIOD</t>
  </si>
  <si>
    <t>Amortizacija/vrijednost usklađenja nematerijalnih sredstava</t>
  </si>
  <si>
    <t>Amortizacija/vrijednost usklađenja  materijalnih sredstava</t>
  </si>
  <si>
    <t>Usklađenja iz osnova dugoročnih finansijskih sredstava</t>
  </si>
  <si>
    <t>Nerealizovani rashodi (prihodi) od kursnih razlika</t>
  </si>
  <si>
    <t>Ostala usklađenja za negotovinske stavke i gotovinski tokovi koji se odnose na ulagačke i finansijske aktivnosti</t>
  </si>
  <si>
    <t>Ukupno 2 do 8</t>
  </si>
  <si>
    <t>Popunjavaju i podnose pravna lica razvrstana u djelatnosti 50,51,52,55,60,61,62,63,64, 66.0366.030, 67.1367.130, 71, 74(osim 74.5 i 74.6),</t>
  </si>
  <si>
    <t>prethodnih 5 godina  (red.br.7. obrasca GU-DOB)</t>
  </si>
  <si>
    <t>OBRAČUNATI POREZ, OSLOBAĐANJA I</t>
  </si>
  <si>
    <t>UMANJENJA POREZNE OBAVEZE</t>
  </si>
  <si>
    <t>B</t>
  </si>
  <si>
    <t>Porezna osnovica (red.br.45.)</t>
  </si>
  <si>
    <t>Obračunati porez (red.br.45. x 10%)</t>
  </si>
  <si>
    <t>Porezna oslobađanja (ukupno), od toga:</t>
  </si>
  <si>
    <t>a)</t>
  </si>
  <si>
    <t>izvoz  (čl.31. Zakona i čl.25. Pravilnika)</t>
  </si>
  <si>
    <t>b)</t>
  </si>
  <si>
    <t>investicije (čl.32. Zakona i čl.26. Pravilnika)</t>
  </si>
  <si>
    <t>c)</t>
  </si>
  <si>
    <t>zapošljavanje lica sa invaliditetom i</t>
  </si>
  <si>
    <t>posebnim potrebama (član 33. Zakona)</t>
  </si>
  <si>
    <t>d)</t>
  </si>
  <si>
    <t>poslovna jedinica iz RS (čl.34. Zakona)</t>
  </si>
  <si>
    <t>e)</t>
  </si>
  <si>
    <t>za zaštitu od prirodnih i drugih nesreća/nezgoda</t>
  </si>
  <si>
    <t xml:space="preserve">IZVJEŠTAJ/IZVJEŠĆE ZA </t>
  </si>
  <si>
    <t>Osnovica/temeljnica - isplaćene neto plaće, odnosno neto isplate po ugovorima o djelu i ugovorima o vršenju privremenih i povremenih poslova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</si>
  <si>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</si>
  <si>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</si>
  <si>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</si>
  <si>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</si>
  <si>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</si>
  <si>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</si>
  <si>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</si>
  <si>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</si>
  <si>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</si>
  <si>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</si>
  <si>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</si>
  <si>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</si>
  <si>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Naknada  za korištenje državnih šuma (7% od prihoda od drveta računajući cijenu drveta na panju i prihoda ostvarenog od nedrvnih šumskih proizvoda)</t>
  </si>
  <si>
    <t>Budžet Federacije BiH</t>
  </si>
  <si>
    <t>Budžet Kantona</t>
  </si>
  <si>
    <t>Račun Općina</t>
  </si>
  <si>
    <t>čije je sjedište van Federacije, a obavljaju djelatnost na teritoriji Federacije, te lica koja obavljaju samostalnu privrednu, profesionalnu i drugu djelatnost.</t>
  </si>
  <si>
    <t>OBRAČUN NAKNADA ZA KORIŠTENJE, ZAŠTITU I UNAPREĐENJE ŠUMA</t>
  </si>
  <si>
    <t>Uplaćeno</t>
  </si>
  <si>
    <t>RAZLIKA ZA UPLATU</t>
  </si>
  <si>
    <t>2.KVARTAL</t>
  </si>
  <si>
    <t>3.KVARTAL</t>
  </si>
  <si>
    <t>4.KVARTAL</t>
  </si>
  <si>
    <t>1.KVARTAL</t>
  </si>
  <si>
    <t>UNOS UPLATA PO KVARTALIMA</t>
  </si>
  <si>
    <t>POV/SMANJ +/-</t>
  </si>
  <si>
    <t>VRSTA NEPRIZNATOG RASHODA</t>
  </si>
  <si>
    <t>I. PODACI O POREZNOM OBVEZNIKU</t>
  </si>
  <si>
    <t>Na osnovu obaveze propisane članom 327. Zakona o privrednim društvima i na osnovu</t>
  </si>
  <si>
    <t>evidencije iz knjige udjela, direktor društva dostavlja, sudskom registru, spisak članova društva,</t>
  </si>
  <si>
    <t xml:space="preserve">visnu njihovih ugovorenih i uplaćenih uloga, sa stanjem </t>
  </si>
  <si>
    <t>Prezime i ime ili Naziv / firma</t>
  </si>
  <si>
    <t>Visina ugovorenog</t>
  </si>
  <si>
    <t>Iznos uplaćenog</t>
  </si>
  <si>
    <t>Iznos udjela članova društva</t>
  </si>
  <si>
    <t>Prihodi od prodaje robe na domaćem tržištu</t>
  </si>
  <si>
    <t>Prihodi od prodaje robe na stranom tržištu</t>
  </si>
  <si>
    <t>Prihodi od prodaje učinaka povezanim pravnim  licima</t>
  </si>
  <si>
    <t>Prihodi od prodaje učinaka na domaćem tržištu</t>
  </si>
  <si>
    <t>Prihodi od prodaje učinaka na stranom tržištu</t>
  </si>
  <si>
    <t>Prihodi od aktiviranja ili potrošnje robe</t>
  </si>
  <si>
    <t>Prihodi od aktiviranja ili potrošnje učinaka</t>
  </si>
  <si>
    <t>Povećanje vrijednosti bioloških sredstava koja se ne amortizuju</t>
  </si>
  <si>
    <t>Povećanje vrijednosti ostalih specifičnih sredstava koja se ne amortizuju</t>
  </si>
  <si>
    <t>Smanjenje vrijednosti investicijskih nekretnina koje se ne amortizuju</t>
  </si>
  <si>
    <t>Smanjenje vrijednsoti ostalih specifičnih sredstava koja se ne amortizuju</t>
  </si>
  <si>
    <t>Prihodi od premija, subvencija, poticaja i sl.</t>
  </si>
  <si>
    <t>Prihodi od zakupa  (operativni najam)</t>
  </si>
  <si>
    <t>Prihodi od članarina</t>
  </si>
  <si>
    <t>Prihodi od tantijema i licencnih prava</t>
  </si>
  <si>
    <t>Prihodi iz namjenskih izvora finansiranja</t>
  </si>
  <si>
    <t>Ostali prihodi po drugim osnovama</t>
  </si>
  <si>
    <t>Finansijski prihodi od povezanih pravnih lica (iz grupe za konsolidaciju)</t>
  </si>
  <si>
    <t>Prihodi od kamata</t>
  </si>
  <si>
    <t>Pozitivne kursne razlike</t>
  </si>
  <si>
    <t>Prihodi od efekata valutne klauzule</t>
  </si>
  <si>
    <t>Prihodi od učešća u dobiti zajedničkih ulaganja</t>
  </si>
  <si>
    <t>Ostali finansijski prihodi</t>
  </si>
  <si>
    <t>Dobici od prodaje nematerijalnih i materijalanih stalnih sredstava</t>
  </si>
  <si>
    <t>UKUPNI PRIHODI PERIODA:</t>
  </si>
  <si>
    <r>
      <t xml:space="preserve">   </t>
    </r>
    <r>
      <rPr>
        <b/>
        <sz val="14"/>
        <color indexed="10"/>
        <rFont val="Arial"/>
        <family val="2"/>
        <charset val="238"/>
      </rPr>
      <t>UNOS PRIHODA I RASHODA  ZA BILANS USPJEHA</t>
    </r>
  </si>
  <si>
    <t xml:space="preserve">   UNOS PROMJENA U KAPITALU STRANA 2.</t>
  </si>
  <si>
    <t>(Kod općine)</t>
  </si>
  <si>
    <t>Šifra i naziv osnovne djelatnosti:</t>
  </si>
  <si>
    <t>PRIJAVA POREZA NA DOBIT</t>
  </si>
  <si>
    <t>FEDERALNO MINISTARSTVO FINANCIJA</t>
  </si>
  <si>
    <t>FEDERALNO MINISTARSTVO FINANSIJA</t>
  </si>
  <si>
    <t>Porezna uprava Federacije BiH</t>
  </si>
  <si>
    <t>OBRAZAC PR-PD</t>
  </si>
  <si>
    <t>III</t>
  </si>
  <si>
    <t>IZNOS MJESEČNE  AKONTACIJE ZA NAREDNI PERIOD</t>
  </si>
  <si>
    <t>Oporeziva dobit za prethodnu godinu  (red.br. 42. PB)</t>
  </si>
  <si>
    <t>Preneseni porezni gubici (red.br. 7. Obrasca GU-DOB)</t>
  </si>
  <si>
    <t>Osnovica (1. - 2.), ako je veće od 0</t>
  </si>
  <si>
    <t>Porezna oslobađanja po čl.31., 32. i 33. Zakona</t>
  </si>
  <si>
    <t>Obračunati porez (3. x 10%), ako je 3. veće od 0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</si>
  <si>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</si>
  <si>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</si>
  <si>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</si>
  <si>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</si>
  <si>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</si>
  <si>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</si>
  <si>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</si>
  <si>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</si>
  <si>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</si>
  <si>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</si>
  <si>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</si>
  <si>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</si>
  <si>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</si>
  <si>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</si>
  <si>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</si>
  <si>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</si>
  <si>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</si>
  <si>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</si>
  <si>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</si>
  <si>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</si>
  <si>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</si>
  <si>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</si>
  <si>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</si>
  <si>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344</t>
  </si>
  <si>
    <t>OPĆINA INVESTIRANJA</t>
  </si>
  <si>
    <t>iznos u KM</t>
  </si>
  <si>
    <t>R.b.</t>
  </si>
  <si>
    <t>II</t>
  </si>
  <si>
    <t>PODACI O POREZU NA DOBIT ZA</t>
  </si>
  <si>
    <t>360</t>
  </si>
  <si>
    <t>400</t>
  </si>
  <si>
    <t>401</t>
  </si>
  <si>
    <t>402</t>
  </si>
  <si>
    <t>403</t>
  </si>
  <si>
    <t>404</t>
  </si>
  <si>
    <t>iz udruženih sredstava</t>
  </si>
  <si>
    <t>domaćih suinvestitora</t>
  </si>
  <si>
    <t>.</t>
  </si>
  <si>
    <r>
      <t xml:space="preserve">POTVRDA PRIJEMA PRIJAVE I PODNESENIH PRILOGA   </t>
    </r>
    <r>
      <rPr>
        <sz val="12"/>
        <rFont val="Times New Roman CE"/>
        <charset val="238"/>
      </rPr>
      <t>(popunjava Porezna uprava)</t>
    </r>
  </si>
  <si>
    <t>Porezni bilans  (obrazac PB-DOB), sa pregledom razlika</t>
  </si>
  <si>
    <t>Kopija Statističkog aneksa godišnjeg računovodstvenog izvještaja</t>
  </si>
  <si>
    <t>Odluka o investiranju sa planom investicija, po godidnama</t>
  </si>
  <si>
    <t>Dokazi o realiziranim i plaćenim investicijama u protekloj godini</t>
  </si>
  <si>
    <t>Spisak zaposlenih sa invaliditetom ili posebnim potrebama (dokumentacija)</t>
  </si>
  <si>
    <t>Porezni bilans i bilans uspjeha za poslovne jedeinice u RS i BD BiH</t>
  </si>
  <si>
    <t>Dokazi po porezu na dobit koji je plaćen izvan BiH</t>
  </si>
  <si>
    <t>svrhe (čl. 13. Pravilnika)</t>
  </si>
  <si>
    <t>Ostatak obračunatog poreza (4. - 5.), ako je veće od 0</t>
  </si>
  <si>
    <t>Mjesečni iznos akontacije poreza na dobit (6. : 12 mjeseci)</t>
  </si>
  <si>
    <t>IV</t>
  </si>
  <si>
    <t>kontola statističkog anexa</t>
  </si>
  <si>
    <t>KONTROLA UKUPNI RASHODA PO STATISTIČKOM ANEXU I BILANSU USPJEHA</t>
  </si>
  <si>
    <t>KONTROLA UKUPNOG PROHODA PO STATISTIČKOM ANEXU I BILANSU USPJEHA</t>
  </si>
  <si>
    <t>Rashodi/gubici iz osnova likvidacije zavisnog</t>
  </si>
  <si>
    <t>društva (član 29. Zakona i član 8. Pravilnika)</t>
  </si>
  <si>
    <t>Nedokumentirani i dr. Rashodo koji nisu iskazani u</t>
  </si>
  <si>
    <t>skladu sa račun.propisima i standardima</t>
  </si>
  <si>
    <t>USKLAĐIVANJE PRIHODA</t>
  </si>
  <si>
    <t>Prihodi od dividendi i udjela u dobiti drugih</t>
  </si>
  <si>
    <t>obveznika (čl.21. Zakona i čl. 21. Pravilnika)</t>
  </si>
  <si>
    <t>Prihodi od naplate potraživanja čiji je otpis u</t>
  </si>
  <si>
    <t>ranijim periodima bio porezno nepriznat rashod</t>
  </si>
  <si>
    <t>(član 22. Zakona i član 22. Pravilnika)</t>
  </si>
  <si>
    <t>prihodi iz osnova rezervisanja koja su u ranijim</t>
  </si>
  <si>
    <t>periodima bila tretirana kao porezno nepriznat</t>
  </si>
  <si>
    <t>rashod (član 12. stav 5. Pravilnika)</t>
  </si>
  <si>
    <t>21. Objavljene dividende i drugi oblici raspodjele dobiti i pokriće gubitaka</t>
  </si>
  <si>
    <t>Oznaka AOP</t>
  </si>
  <si>
    <t>VRSTA PROMJENE NA KAPITALU</t>
  </si>
  <si>
    <t>Dionički kapital i udjeli u društvu sa ograničenom odgovornošću</t>
  </si>
  <si>
    <t>Revalorizacione rezerve (MRS  16,MRS 21 i MRS 38)</t>
  </si>
  <si>
    <r>
      <t xml:space="preserve">Revalorizacione rezerve </t>
    </r>
    <r>
      <rPr>
        <sz val="9"/>
        <rFont val="Times New Roman"/>
        <family val="1"/>
        <charset val="238"/>
      </rPr>
      <t>(MRS  16,MRS 21 i MRS 38)</t>
    </r>
  </si>
  <si>
    <t>Nerealizovani dobici/gubici po osnovu finansijskih sredstava raspoloživih za prodaju</t>
  </si>
  <si>
    <t>Ostale rezerve (emisiona premija,zakonske i statutarne rezerve, zaštita novčanih tokova)</t>
  </si>
  <si>
    <t>Akumulirana neraspoređena dobit/nepokriveni gubitak</t>
  </si>
  <si>
    <t>U K U P N O              (3+4+-5+-6+-7)</t>
  </si>
  <si>
    <t>MANJINSKI INTERES</t>
  </si>
  <si>
    <t>UKUPNI KAPITAL      (8+9)</t>
  </si>
  <si>
    <t>DIO KAPITALA KOJI PRIPADA VLASNICIMA MATIČNOG PRIVREDNOG DRUŠTVA</t>
  </si>
  <si>
    <t>Naziv pravne/fizičke osobe</t>
  </si>
  <si>
    <t>(Šifra djelatnosti po SDK-u)</t>
  </si>
  <si>
    <t>za period koji završava na dan</t>
  </si>
  <si>
    <t>.godine</t>
  </si>
  <si>
    <t>Računari i druga oprema za obradu podataka (personalni i drugi računari, štampači); druge kancelarijske mašine (računarske, pisaće, fotokopirni i slični uređaji); elektronske blagajne, skeneri, bankomati, automati za mjerenje novca</t>
  </si>
  <si>
    <t>3.1216</t>
  </si>
  <si>
    <t>Električni motori, generatori i transformatori, naprave za distribuciju el. energije, cestovna i druga vanjska rasvjeta, kotlovi za dobivanje pare, atomski reaktori i sl.</t>
  </si>
  <si>
    <t>3.1217</t>
  </si>
  <si>
    <t>Ostala visokogradnja (industrijske, poljop.i ostale privredne zgrade i hale; silosi; hladnjače; rezervoari; cisterne; magacini; garaže; školske zgrade; bolnice; kulturno-povjesne, administrativne zgrade i sl.</t>
  </si>
  <si>
    <t>3.1122</t>
  </si>
  <si>
    <t>11. Emisija dioničkog kapitala i drugi oblici povećanja ili smanjenja osnovnog kapitala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</si>
  <si>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</si>
  <si>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</si>
  <si>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</si>
  <si>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</si>
  <si>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</si>
  <si>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</si>
  <si>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</si>
  <si>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</si>
  <si>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</si>
  <si>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</si>
  <si>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</si>
  <si>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</si>
  <si>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</si>
  <si>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</si>
  <si>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7)</t>
  </si>
  <si>
    <t xml:space="preserve">  Za općinu Cazin je 0,05%</t>
  </si>
  <si>
    <t>DEZINVESTIRANJE</t>
  </si>
  <si>
    <t>PRODATA STAL.SRED.</t>
  </si>
  <si>
    <t>STAMBENE ZGRADE I  POSL.PROSTORI</t>
  </si>
  <si>
    <t>OSTALA VISOKOGRADNJA OSIM STAMB.ZGRADA.</t>
  </si>
  <si>
    <t>NISKOGRADNJA</t>
  </si>
  <si>
    <t>ZNAČAJNA POBOLJŠANJA ZEMLJIŠTA</t>
  </si>
  <si>
    <t>STROJEVI I OPREMA</t>
  </si>
  <si>
    <t>TRANSPORTNA SREDSTVA</t>
  </si>
  <si>
    <t>IV.</t>
  </si>
  <si>
    <t>UVEZENA OPREMA NABROJANA POD (II. i III.)</t>
  </si>
  <si>
    <t>OSTALA ULAGANJA</t>
  </si>
  <si>
    <t>(1.31+1.32+1.33)</t>
  </si>
  <si>
    <t>domaćih kreditora, osim banaka</t>
  </si>
  <si>
    <t>Iznos u KM</t>
  </si>
  <si>
    <t>broj</t>
  </si>
  <si>
    <t>Nemojte unositi podatke u ćelijama koje čine zbirove ili podzbirove jer tada ćete morati</t>
  </si>
  <si>
    <t>ručno sabirati obrazac, znači mjenjaj onaj podatak koji po vlastitom mišljenju nije uredno</t>
  </si>
  <si>
    <t>urađen automatski!!!!!</t>
  </si>
  <si>
    <t>(Djelatnost)</t>
  </si>
  <si>
    <t>(Sjedišta i adresa pravnog lica)</t>
  </si>
  <si>
    <t>xxxxxxxxx</t>
  </si>
  <si>
    <t>Ostala materijalna (opipljiva) stalna sredstva (zbir 3.141 + 3.142</t>
  </si>
  <si>
    <t>3.141</t>
  </si>
  <si>
    <t>Doprinosi iz plata</t>
  </si>
  <si>
    <t>Doprinosi na plate</t>
  </si>
  <si>
    <t>Porez na plate</t>
  </si>
  <si>
    <t>Broj zaposl.na bazi rati rada</t>
  </si>
  <si>
    <t>2. Udjeli članova društva sa ograničenom odgovornošću</t>
  </si>
  <si>
    <t>3. Zadružni udjeli</t>
  </si>
  <si>
    <t>4. Ulozi</t>
  </si>
  <si>
    <t>5. Državni kapital</t>
  </si>
  <si>
    <t>6. Ostali osnovni kapital</t>
  </si>
  <si>
    <t>II. Upisani neuplaćeni kapital</t>
  </si>
  <si>
    <t xml:space="preserve">       e) Finansijska sredstva namijenjena trgovanju</t>
  </si>
  <si>
    <t xml:space="preserve">       f) Druga finansijska sredstva po fer vrijednosti</t>
  </si>
  <si>
    <t xml:space="preserve">       g) Ostali kratkoročni plasmani</t>
  </si>
  <si>
    <t>4. Potraživanja za PDV</t>
  </si>
  <si>
    <t>28 bez 288</t>
  </si>
  <si>
    <t>5. Aktivna vremenska razgraničenja</t>
  </si>
  <si>
    <t>D) ODLOŽENA POREZNA SREDSTVA</t>
  </si>
  <si>
    <t>E) GUBITAK IZNAD VISINE KAPITALA</t>
  </si>
  <si>
    <t>88</t>
  </si>
  <si>
    <t>Vanbilansna aktiva</t>
  </si>
  <si>
    <t>Ukupno aktiva (065+066)</t>
  </si>
  <si>
    <t>PASIVA</t>
  </si>
  <si>
    <r>
      <t xml:space="preserve">A) KAPITAL </t>
    </r>
    <r>
      <rPr>
        <b/>
        <sz val="8"/>
        <rFont val="Times New Roman"/>
        <family val="1"/>
        <charset val="238"/>
      </rPr>
      <t>(102-109+110+111+114+115-116+117-122-127)</t>
    </r>
  </si>
  <si>
    <t>1. Dionički kapital</t>
  </si>
  <si>
    <t>Za pravna lica koja knjigovodstvo vod po kontnom planu za preduzeća</t>
  </si>
  <si>
    <t>61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</si>
  <si>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</si>
  <si>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</si>
  <si>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</si>
  <si>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</si>
  <si>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</si>
  <si>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</si>
  <si>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</si>
  <si>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</si>
  <si>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</si>
  <si>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</si>
  <si>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</si>
  <si>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</si>
  <si>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</si>
  <si>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</si>
  <si>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</si>
  <si>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</si>
  <si>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</si>
  <si>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</si>
  <si>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</si>
  <si>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</si>
  <si>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</si>
  <si>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429</t>
  </si>
  <si>
    <t>430</t>
  </si>
  <si>
    <t>431</t>
  </si>
  <si>
    <t>432</t>
  </si>
  <si>
    <t>433</t>
  </si>
  <si>
    <t xml:space="preserve"> Porez na učešće zaposlenih u dobiti</t>
  </si>
  <si>
    <t xml:space="preserve"> Doprinosi iz učešća zaposlenih u dobiti</t>
  </si>
  <si>
    <t>Broj poslovnih jedinica</t>
  </si>
  <si>
    <t>II.</t>
  </si>
  <si>
    <t xml:space="preserve"> Svega neto plaća, nakn.plaće i učešća u dobiti (3+9)</t>
  </si>
  <si>
    <t xml:space="preserve"> Prosječan broj zaposl.na temelju sati rada (cio broj)</t>
  </si>
  <si>
    <t>Strojevi za proizvodnju i iskorištavanje mehaničke energije (motori,turbine,pumpe kompresori), strojne naprave (podi- zajuće, transportne, rashladne, za provjetravanje),vage i sl.</t>
  </si>
  <si>
    <t>3.1213</t>
  </si>
  <si>
    <t>Umanjenje vrijednosti ostalih sredstava</t>
  </si>
  <si>
    <t>Za pravna lica koja knjigovodstvo vode po kontnom planu za preduzeća7poduzeća</t>
  </si>
  <si>
    <t>- Izvještaj o finansijskom položaju -</t>
  </si>
  <si>
    <r>
      <t>Transakcijski računi</t>
    </r>
    <r>
      <rPr>
        <sz val="10"/>
        <rFont val="Times New Roman"/>
        <family val="1"/>
        <charset val="238"/>
      </rPr>
      <t xml:space="preserve"> (naziv banke i broj računa):</t>
    </r>
  </si>
  <si>
    <t>IZNOS              prethodne godine (neto)</t>
  </si>
  <si>
    <t>NETO (5 - 6 )</t>
  </si>
  <si>
    <t>Bruto</t>
  </si>
  <si>
    <t>IZNOS  tekuće  godine</t>
  </si>
  <si>
    <t xml:space="preserve">P O Z I C I J A </t>
  </si>
  <si>
    <t>1. Kapitalizirana ulaganja u razvoj</t>
  </si>
  <si>
    <t>2. Koncesije, patenti, licence i druga prava</t>
  </si>
  <si>
    <t>3. Goodwill</t>
  </si>
  <si>
    <t>013,014</t>
  </si>
  <si>
    <t>4. Ostala nematerijalna sredstva</t>
  </si>
  <si>
    <t>015,017</t>
  </si>
  <si>
    <t>5. Avansi i nematerijalna sredstva u pripremi</t>
  </si>
  <si>
    <t>1. Zemljišta</t>
  </si>
  <si>
    <t>2. Građevinski objekti</t>
  </si>
  <si>
    <t>3. Postrojenja i oprema</t>
  </si>
  <si>
    <t>4. Stambene zgrade i stanovi</t>
  </si>
  <si>
    <t>025,027</t>
  </si>
  <si>
    <t>5. Avansi i nekretnine, postrojenja i oprema u pripremi</t>
  </si>
  <si>
    <t>III. Investicijske nekretnine</t>
  </si>
  <si>
    <t>1. Šume</t>
  </si>
  <si>
    <t>2. Višegodišnji zasadi</t>
  </si>
  <si>
    <t>3. Osnovno stado</t>
  </si>
  <si>
    <t>045,047</t>
  </si>
  <si>
    <t>4. Avansi i biološka sredstva u pripremi</t>
  </si>
  <si>
    <t>V. Ostala (specifična) stalna materijalna sredstva</t>
  </si>
  <si>
    <t>1. Učešće u kapitalu povezanih pravnih lica</t>
  </si>
  <si>
    <t>2. Učešće u kapitalu drugih pravnih lica</t>
  </si>
  <si>
    <t>3. Dugoročni krediti dati povezanim pravnim licima</t>
  </si>
  <si>
    <t>4. Dugoročni krediti dati u zemlji</t>
  </si>
  <si>
    <t>5. Dugoročni krediti dati u inostranstvo</t>
  </si>
  <si>
    <t>6. Finansijska sredstva raspoloživa za prodaju</t>
  </si>
  <si>
    <t>7. Finansijska sredstva koja se drže do roka dospijeća</t>
  </si>
  <si>
    <t>8. Ostali dugoročni finansijski plasmani</t>
  </si>
  <si>
    <t>1. Potraživanja od povezanih pravnih lica</t>
  </si>
  <si>
    <t>071 do 078</t>
  </si>
  <si>
    <t>2. Ostala dugoročna potraživanja</t>
  </si>
  <si>
    <t>VIII. Dugoročna razgraničenja</t>
  </si>
  <si>
    <t>B) ODLOŽENA POREZNA SREDSTVA</t>
  </si>
  <si>
    <t>10 DO 15</t>
  </si>
  <si>
    <t>1. Sirovine, materijal,rezervni dijelovi i sitan inventar</t>
  </si>
  <si>
    <t>2. Proizvodnja u toku,poluproizvodi i nedovršene usluge</t>
  </si>
  <si>
    <t>3. Gotovi proizvodi</t>
  </si>
  <si>
    <t>4. Roba</t>
  </si>
  <si>
    <t>5. Stalna sr.namijenj.prodaji i obustavljeno poslovanje</t>
  </si>
  <si>
    <t>6. Dati avansi</t>
  </si>
  <si>
    <t>1. Gotovina i gotovinski ekvivalenti (045+046)</t>
  </si>
  <si>
    <t>20 bez 207</t>
  </si>
  <si>
    <t xml:space="preserve">       a) Gotovina</t>
  </si>
  <si>
    <t xml:space="preserve">       b) Gotovinski ekvivalenti</t>
  </si>
  <si>
    <t>21,22,23</t>
  </si>
  <si>
    <t>2. Kratkoročna potraživanja 048 do 052)</t>
  </si>
  <si>
    <t xml:space="preserve">       a) Kupci - povezana pravna lica</t>
  </si>
  <si>
    <t xml:space="preserve">       b) Kupci u zemlji</t>
  </si>
  <si>
    <t xml:space="preserve">       c) Kupci u inostranstvu</t>
  </si>
  <si>
    <t>Obrazac sastavio/la</t>
  </si>
  <si>
    <t>Obračun članarine komorskom sistemu………..</t>
  </si>
  <si>
    <t>Obračun pos.poreza za zaš.od nesr. Obr.ZS...</t>
  </si>
  <si>
    <t>PODACI O NEREZIDENTU/PRIMAOCU - DATA ON NON-RESIDENT/RECIPIENT</t>
  </si>
  <si>
    <t>PODACI O OSTVARENOM PRIHODU I OBRAČUNATOM POREZU PO ODBITKU - DATA ON GENERATED INCOME AND</t>
  </si>
  <si>
    <t>CALCULATED WITHHOLDING TAX</t>
  </si>
  <si>
    <t>Vrsta prihoda (opis) - Revenue Type</t>
  </si>
  <si>
    <t>(description)</t>
  </si>
  <si>
    <t>Broj ugovora /</t>
  </si>
  <si>
    <t>No./Invoice No</t>
  </si>
  <si>
    <t>Bruto prihod u</t>
  </si>
  <si>
    <t>KM - Gross</t>
  </si>
  <si>
    <t>Stopa poreza -</t>
  </si>
  <si>
    <t>Tax Rate</t>
  </si>
  <si>
    <t>Iznos poreza -</t>
  </si>
  <si>
    <t>Tax Amount</t>
  </si>
  <si>
    <t>b.</t>
  </si>
  <si>
    <t>Kantonalni ured Bihać</t>
  </si>
  <si>
    <t>P  R  E  G  L  E  D</t>
  </si>
  <si>
    <t xml:space="preserve">1. Naziv poreskog obveznika    </t>
  </si>
  <si>
    <t xml:space="preserve">     Matični broj</t>
  </si>
  <si>
    <t>šifra</t>
  </si>
  <si>
    <t>2. Adresa sjedišta</t>
  </si>
  <si>
    <t>IZNOS u KM</t>
  </si>
  <si>
    <t>Porezni obveznik:</t>
  </si>
  <si>
    <t xml:space="preserve">Porezna ispostava </t>
  </si>
  <si>
    <t>SVEOBUHVATNA DOBIT ILI GUBITAK</t>
  </si>
  <si>
    <t>unosi se dobit ili gubitak iz bilansa uspjeha</t>
  </si>
  <si>
    <t>06,07 i konto 091</t>
  </si>
  <si>
    <t>562-662</t>
  </si>
  <si>
    <r>
      <t xml:space="preserve">E) KRATKOROČNE OBAVEZE </t>
    </r>
    <r>
      <rPr>
        <sz val="10"/>
        <rFont val="Times New Roman"/>
        <family val="1"/>
        <charset val="238"/>
      </rPr>
      <t>(141+149+155+156+160+161+162+163)</t>
    </r>
  </si>
  <si>
    <r>
      <t xml:space="preserve">I. Kratkoročne finansijske obaveze </t>
    </r>
    <r>
      <rPr>
        <sz val="10"/>
        <rFont val="Times New Roman"/>
        <family val="1"/>
        <charset val="238"/>
      </rPr>
      <t>(142 do 148)</t>
    </r>
  </si>
  <si>
    <t>1. Obaveze prema povezanim pravnim licima</t>
  </si>
  <si>
    <t>2. Obaveze po kratkoročnim vijednosnim papirima</t>
  </si>
  <si>
    <t>3. Kratkoročni krediti uzeti u zemlji</t>
  </si>
  <si>
    <t>4. Kratkoročni krediti uzeti u inostranstvu</t>
  </si>
  <si>
    <t>424,425</t>
  </si>
  <si>
    <t>5. Kratkoročni dio dugoročnih obaveza</t>
  </si>
  <si>
    <t>6. Ktark.obav.po fer vrijedn.kroz račun dobiti i gubitka</t>
  </si>
  <si>
    <t>7. Ostale kratkoročne finansijske obaveze</t>
  </si>
  <si>
    <r>
      <t>II. Obaveze iz poslovanja</t>
    </r>
    <r>
      <rPr>
        <sz val="10"/>
        <rFont val="Times New Roman"/>
        <family val="1"/>
        <charset val="238"/>
      </rPr>
      <t xml:space="preserve"> (150 do 154)</t>
    </r>
  </si>
  <si>
    <t>1. Primljeni avansi, depoziti i kaucije</t>
  </si>
  <si>
    <t>2. Dobavljači - povezana pravna lica</t>
  </si>
  <si>
    <t>3. Dobavljači u zemlji</t>
  </si>
  <si>
    <t>4. Dobavljači u inostranstvu</t>
  </si>
  <si>
    <t>5. Ostale obaveze iz poslovanja</t>
  </si>
  <si>
    <t>44</t>
  </si>
  <si>
    <t>III. Obaveze iz specifičnih poslova</t>
  </si>
  <si>
    <t>45</t>
  </si>
  <si>
    <t>450 do 452</t>
  </si>
  <si>
    <t>1. Obaveze po osnovu plaća i naknada</t>
  </si>
  <si>
    <t>453 do 455</t>
  </si>
  <si>
    <t>Ukupno 10 do 16</t>
  </si>
  <si>
    <t>A. Neto gotovinski tok od poslovnih aktivnosti (1+9+17)</t>
  </si>
  <si>
    <t>B.  GOTOVINSKI TOKOVI IZ ULAGAČKIH AKTIVNOSTI</t>
  </si>
  <si>
    <t>Prilivi iz osnova kratkoročnih finansijskih plasmana</t>
  </si>
  <si>
    <t>Prilivi iz osnova prodaje dionica i udjela</t>
  </si>
  <si>
    <t>Prilivi iz osnova prodaje stalnih sredstava</t>
  </si>
  <si>
    <t>Prilivi iz osnova kamata</t>
  </si>
  <si>
    <t>Prilivi od dividendi i učešća u dobiti</t>
  </si>
  <si>
    <t>Prilivi iz osnova ostalih dugoročnih finansijskih plasmana</t>
  </si>
  <si>
    <t>Odlivi iz osnova kratkoročnih finansijskih plasmana</t>
  </si>
  <si>
    <t>Porezni rashodi perioda</t>
  </si>
  <si>
    <t>dio 721</t>
  </si>
  <si>
    <t>dio 722</t>
  </si>
  <si>
    <t>Odloženi porezni rashodi perioda</t>
  </si>
  <si>
    <t>Odloženi porezni prihodi perioda</t>
  </si>
  <si>
    <t>NETO DOBIT ILI GUBITAK NEPREKINUTOG POSLOVANJA</t>
  </si>
  <si>
    <r>
      <t xml:space="preserve">Neto dobit neprekinutog poslovanja  </t>
    </r>
    <r>
      <rPr>
        <sz val="10"/>
        <rFont val="Times New Roman"/>
        <family val="1"/>
        <charset val="238"/>
      </rPr>
      <t>(297-298-299-300+301)&gt;0</t>
    </r>
  </si>
  <si>
    <r>
      <t xml:space="preserve">Neto gubitak neprekinutog poslovanja  </t>
    </r>
    <r>
      <rPr>
        <sz val="9"/>
        <rFont val="Times New Roman"/>
        <family val="1"/>
        <charset val="238"/>
      </rPr>
      <t>(297-298-299-300+301)&gt;0</t>
    </r>
  </si>
  <si>
    <t>DOBIT ILI GUBITAK OD PREKINUTOG POSLOVANJA</t>
  </si>
  <si>
    <t>Prihodi i dobici iz osnova prodaje i usklađivanja vrijednsoti sredstava namijenjenih prodaji i obustavljenog poslovanja</t>
  </si>
  <si>
    <t>Rashodi i gubici iz osnova prodaje i usklađivanja vrijednsoti sredstava namijenjenih prodaji i obustavljenog poslovanja</t>
  </si>
  <si>
    <r>
      <t xml:space="preserve">Dobit od prekinutog poslovanja </t>
    </r>
    <r>
      <rPr>
        <sz val="10"/>
        <rFont val="Times New Roman"/>
        <family val="1"/>
        <charset val="238"/>
      </rPr>
      <t>(304-305)</t>
    </r>
  </si>
  <si>
    <r>
      <t xml:space="preserve">Gubitak od prekinutog poslovanja  </t>
    </r>
    <r>
      <rPr>
        <sz val="10"/>
        <rFont val="Times New Roman"/>
        <family val="1"/>
        <charset val="238"/>
      </rPr>
      <t>(305-304)</t>
    </r>
  </si>
  <si>
    <t>dio 72</t>
  </si>
  <si>
    <t>Porez na dobit od prekinutog poslovanja</t>
  </si>
  <si>
    <r>
      <t xml:space="preserve">Neto dobit od prekinutog poslovanja </t>
    </r>
    <r>
      <rPr>
        <sz val="10"/>
        <rFont val="Times New Roman"/>
        <family val="1"/>
        <charset val="238"/>
      </rPr>
      <t>(306-307-308)&gt;0</t>
    </r>
  </si>
  <si>
    <r>
      <t xml:space="preserve">Neto gubitak od prekinutog poslovanja  </t>
    </r>
    <r>
      <rPr>
        <sz val="10"/>
        <rFont val="Times New Roman"/>
        <family val="1"/>
        <charset val="238"/>
      </rPr>
      <t>(306-307-308)&lt;0</t>
    </r>
  </si>
  <si>
    <t>NETO DOBIT ILI GUBITAK PERIODA</t>
  </si>
  <si>
    <r>
      <t xml:space="preserve">Neto dobit period </t>
    </r>
    <r>
      <rPr>
        <sz val="10"/>
        <rFont val="Times New Roman"/>
        <family val="1"/>
        <charset val="238"/>
      </rPr>
      <t xml:space="preserve"> (302-303+309-310)&gt;0</t>
    </r>
  </si>
  <si>
    <r>
      <t>Neto gubitak perioda</t>
    </r>
    <r>
      <rPr>
        <sz val="10"/>
        <rFont val="Times New Roman"/>
        <family val="1"/>
        <charset val="238"/>
      </rPr>
      <t xml:space="preserve">  (302-303+309-310)&lt;0</t>
    </r>
  </si>
  <si>
    <t>Međudividende i druge raspodjele dobiti u toku perioda</t>
  </si>
  <si>
    <t>II. OSTALA SVEOBUHVATNA DOBIT ILI GUBITAK</t>
  </si>
  <si>
    <t>Dobici od realizacije revalorizacionih rezervi stalnih sredstava</t>
  </si>
  <si>
    <t>Dobici od promjene fer vrijednosti finansijskih sredstava raspoloživih za prodaju</t>
  </si>
  <si>
    <t>Dobici iz osnova prevođenja finansijskih izvještaja inostranog poslovanja</t>
  </si>
  <si>
    <t>Aktuarski dobici po planovima definisanih primanja</t>
  </si>
  <si>
    <t>Dobici iz osnova efektivnog djela zaštite novčanog toka</t>
  </si>
  <si>
    <t>Ostali nerealizovani dobici i dobici utvrđeni direktno u kapitalu</t>
  </si>
  <si>
    <t>GUBICI UTVRĐENI DIREKTNO U KAPITALU  (322 do 326)</t>
  </si>
  <si>
    <t>IZNOS                                                  tekuće godine</t>
  </si>
  <si>
    <r>
      <t xml:space="preserve">IV. Obaveze po osnovu plaća, naknada i ostalih primanja zaposlenih </t>
    </r>
    <r>
      <rPr>
        <sz val="10"/>
        <rFont val="Times New Roman"/>
        <family val="1"/>
        <charset val="238"/>
      </rPr>
      <t xml:space="preserve">                             (157 do 159)</t>
    </r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</si>
  <si>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</si>
  <si>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</si>
  <si>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</si>
  <si>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</si>
  <si>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</si>
  <si>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</si>
  <si>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</si>
  <si>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</si>
  <si>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</si>
  <si>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</si>
  <si>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</si>
  <si>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</si>
  <si>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</si>
  <si>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</si>
  <si>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533</t>
  </si>
  <si>
    <t>534</t>
  </si>
  <si>
    <t>535</t>
  </si>
  <si>
    <t>536</t>
  </si>
  <si>
    <t>537</t>
  </si>
  <si>
    <t>539</t>
  </si>
  <si>
    <t>541</t>
  </si>
  <si>
    <t>542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</si>
  <si>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</si>
  <si>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</si>
  <si>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</si>
  <si>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</si>
  <si>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</si>
  <si>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</si>
  <si>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</si>
  <si>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</si>
  <si>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</si>
  <si>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</si>
  <si>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</si>
  <si>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</si>
  <si>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559</t>
  </si>
  <si>
    <t>560</t>
  </si>
  <si>
    <t>561</t>
  </si>
  <si>
    <t>562</t>
  </si>
  <si>
    <t>563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</si>
  <si>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</si>
  <si>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</si>
  <si>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</si>
  <si>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</si>
  <si>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</si>
  <si>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</si>
  <si>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</si>
  <si>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</si>
  <si>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</si>
  <si>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</si>
  <si>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</si>
  <si>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</si>
  <si>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</si>
  <si>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</si>
  <si>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</si>
  <si>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</si>
  <si>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</si>
  <si>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</si>
  <si>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</si>
  <si>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</si>
  <si>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</si>
  <si>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</si>
  <si>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595</t>
  </si>
  <si>
    <t>596</t>
  </si>
  <si>
    <t>1. Obrazac P-OD podnosi se u svrhu prijave/potvrde o plaćenom porezu po odbitku i/ili primjeni ugovora o izbjegavanju dvostrukog oporezivanja</t>
  </si>
  <si>
    <t>pravnih lica čije je sjedište van teritorije Bosne i Hercegovine</t>
  </si>
  <si>
    <t>o obračunatoj i uplaćenoj posebnoj naknadi</t>
  </si>
  <si>
    <t>FEDERALNI ZAVOD ZA STATSTIKU</t>
  </si>
  <si>
    <t>Gubici (dobici) od otuđenja materijalnih sredstava</t>
  </si>
  <si>
    <t>FEDERALNO MNISTARSTVO FINANSIJA</t>
  </si>
  <si>
    <t>FEDERAL MINISTRY FINANCE</t>
  </si>
  <si>
    <t>Tax Administration of BiH</t>
  </si>
  <si>
    <t>Ispostava Porezne uprave - Branch Office of TA</t>
  </si>
  <si>
    <t>Obrazac -  Form P-OD</t>
  </si>
  <si>
    <t>PRIJAVA/POTVRDA O OBRAČUNATOM POREZU PO ODBITKU I/ILI PRIMJENI UGOVORA</t>
  </si>
  <si>
    <t>O IZBJEGAVANJU DVOSTRUKOG OPOREZIVANJA</t>
  </si>
  <si>
    <t>DECLARATION/CERTIFICATE ON CALKULATED AND PAID WITHHOLDING TAX AND/OR APPLICATION</t>
  </si>
  <si>
    <t>OF AGREEMENT ON AVOIDING DOUBLE TAXATION</t>
  </si>
  <si>
    <t>za period - for the period</t>
  </si>
  <si>
    <t>do to:</t>
  </si>
  <si>
    <t>od - from:</t>
  </si>
  <si>
    <t xml:space="preserve">I </t>
  </si>
  <si>
    <t>KRAJ  UNOSA !!!!!!!!</t>
  </si>
  <si>
    <t>- stambene zgrade i prostori = 3.111</t>
  </si>
  <si>
    <t>- ostali građevinski radovi = 3.112</t>
  </si>
  <si>
    <t>- strojevi,oprema i transportna sredstva = 3.12</t>
  </si>
  <si>
    <t>- ostala materijala (opipljiva) stalna sredstva = 3.14</t>
  </si>
  <si>
    <t>- nematerijalna (neopipljiva) stalna sredstva = 3.2</t>
  </si>
  <si>
    <t>- troškovi prijenosa vlasništva zemljišta = 3.3</t>
  </si>
  <si>
    <t>4.14</t>
  </si>
  <si>
    <t>4.19</t>
  </si>
  <si>
    <t>entitet</t>
  </si>
  <si>
    <t>jedinica investiranja</t>
  </si>
  <si>
    <t>ukupan broj</t>
  </si>
  <si>
    <t>Obračun doprinosa turističkim zajednicama TZ……</t>
  </si>
  <si>
    <t>Statistički aneks godišnjeg računovodstvenog</t>
  </si>
  <si>
    <t>5)</t>
  </si>
  <si>
    <t>620</t>
  </si>
  <si>
    <t>621</t>
  </si>
  <si>
    <t>Proizvodi u komisionu i konsignaciji</t>
  </si>
  <si>
    <t>Proizvodi izvan upotrebe</t>
  </si>
  <si>
    <t>Proizvodi u doradi i obradi</t>
  </si>
  <si>
    <t>Ispravka vrijednosti proizvoda</t>
  </si>
  <si>
    <t>Obračun troškova nabavke robe</t>
  </si>
  <si>
    <t>Nekretnine nabavljene radi dalje prodaje</t>
  </si>
  <si>
    <t>Roba u prodaji na veliko</t>
  </si>
  <si>
    <t>Roba u maloprodajnim objektima</t>
  </si>
  <si>
    <t>Roba u tranzitu, komisionu i konsignaciji</t>
  </si>
  <si>
    <t>Roba na putu</t>
  </si>
  <si>
    <t>Roba u obradi i doradi</t>
  </si>
  <si>
    <t>Ispravka vrijednosti robe</t>
  </si>
  <si>
    <t>Nematerijalna sredstva namijenjena prodaji</t>
  </si>
  <si>
    <t>Zemljište namijenejeno prodaji</t>
  </si>
  <si>
    <t>Građevinski obekti namijenjeni prodaji</t>
  </si>
  <si>
    <t>Stopa iz tačke/točke  2. Uputstva/Naputka</t>
  </si>
  <si>
    <t>Obračunati iznos                                                                                                           (osnovica /zemeljnica x stopa - red.br.1 x red.br. 2)</t>
  </si>
  <si>
    <t>Odgovorna osoba/lice</t>
  </si>
  <si>
    <t>Utrošene sirovine i materijal</t>
  </si>
  <si>
    <t>Utrošena energija i gorivo</t>
  </si>
  <si>
    <t>Utrošeni rezervni dijelovi</t>
  </si>
  <si>
    <t>Otpis inventara, ambalaže i autoguma</t>
  </si>
  <si>
    <t>Odstupanje od cijena</t>
  </si>
  <si>
    <t>Troškovi plaća</t>
  </si>
  <si>
    <t>Troškovi naknada plaća</t>
  </si>
  <si>
    <t>Troškovi službenih putovanja zaposlenih</t>
  </si>
  <si>
    <t>Troškovi ostalih primanja, naknada i materijalnib prava zaposlenika</t>
  </si>
  <si>
    <t>Troškovio naknada članovima odbora, komisija i sl.</t>
  </si>
  <si>
    <t>Troškovi naknada ostalim fizičkim licima</t>
  </si>
  <si>
    <t>Troškovi usluga izrade i dorade učinaka</t>
  </si>
  <si>
    <t>Troškovi transportnih usluga</t>
  </si>
  <si>
    <t>Troškovi usluga održavanja</t>
  </si>
  <si>
    <t>Troškovi zakupa</t>
  </si>
  <si>
    <t>Troškovi sajmova</t>
  </si>
  <si>
    <t>Troškovi reklame i sponzorstva</t>
  </si>
  <si>
    <t>Troškovi istraživanja</t>
  </si>
  <si>
    <t>Trošklovi razvoja koji se ne kapitaliziraju</t>
  </si>
  <si>
    <t>Troškovi ostalih usluga</t>
  </si>
  <si>
    <t>Amortizacija do visine porezno priznatih rashoda</t>
  </si>
  <si>
    <t>Obav.za dorinose u vez nakn.čl.odbora i komis</t>
  </si>
  <si>
    <t>Obav.prema fizičkim licima po ugovorima</t>
  </si>
  <si>
    <t>Obav.za porez o pos.dadžb.na nakn.fiz.licima</t>
  </si>
  <si>
    <t>Obav.za doprinose u vezi nakn.fizičkim licima</t>
  </si>
  <si>
    <t>Ostale obaveze</t>
  </si>
  <si>
    <t>PDV po snovu isporuka drugim obveznicima PDV</t>
  </si>
  <si>
    <t>PDV po primljenim avansima</t>
  </si>
  <si>
    <t>PDV po osnovu vlasite potrošnje u neposl.svrh</t>
  </si>
  <si>
    <t>PDV po osnovu isporuka neob.PDV(krajnja potr)</t>
  </si>
  <si>
    <t>PDV obračunat na usluge stranim licima</t>
  </si>
  <si>
    <t>Obaveze za uplatu PDV-a po posebnoj šemi</t>
  </si>
  <si>
    <t>Druge obaveze iz osnova PDV-a</t>
  </si>
  <si>
    <t>Obaveze za razliku između obav.PDV i ulaz.PDV</t>
  </si>
  <si>
    <t>Obaveze za akcize</t>
  </si>
  <si>
    <t>Obaveze za porez na dobit</t>
  </si>
  <si>
    <t>Obaveze za poreze,carine i dr.dadžb.iz nabavk</t>
  </si>
  <si>
    <t>Obaveze za ostale dopr.članarine i sl.</t>
  </si>
  <si>
    <t>Obaveze za PDV koji se plaća pri uvozu</t>
  </si>
  <si>
    <t>Ostale obaveze za poreze,doprinose i dr.dadž.</t>
  </si>
  <si>
    <t>Unaprijed obračunati rashodi perioda</t>
  </si>
  <si>
    <t>Obračunati prihodi narednog perioda</t>
  </si>
  <si>
    <t>Razgraničeni zavisni troškovi nabave</t>
  </si>
  <si>
    <t>Odloženi prihodi za primljene donacije i sl.</t>
  </si>
  <si>
    <t>Razgraničeni prihodi po osnovu plasmana</t>
  </si>
  <si>
    <t>Ostala pasivna vremenska razgraničenja</t>
  </si>
  <si>
    <t>bez 091</t>
  </si>
  <si>
    <t>zalihe</t>
  </si>
  <si>
    <t>(čl. 17. stav 1. Pravilnika)</t>
  </si>
  <si>
    <t>Vrijednost hardvera i softvera koji se jednokratno</t>
  </si>
  <si>
    <t>otpisuju u porezne svrhe (član 18. stav 4. Zakona i</t>
  </si>
  <si>
    <t>član 17. stav 2. Pravilnika)</t>
  </si>
  <si>
    <t>Amortizacija i dr. rashodi hardvera i softvera čija je</t>
  </si>
  <si>
    <t>Ubrzana amortizacija ukoliko se ista koristi samo</t>
  </si>
  <si>
    <t>u porezne svrhe (član 19. Zakona i član 19.</t>
  </si>
  <si>
    <t>Ranije iskorištena ubrzana amortizacija u porezne</t>
  </si>
  <si>
    <t>svrhe (član 19. stav 3. Pravilnika)</t>
  </si>
  <si>
    <t>Troškovi ličnih primanja zaposlenih i dr. fizičkih lica</t>
  </si>
  <si>
    <t>Porez na dobit koji je iskazan kao rashod (član 17.</t>
  </si>
  <si>
    <t>029</t>
  </si>
  <si>
    <t>031</t>
  </si>
  <si>
    <t>Isprav.u toku godine</t>
  </si>
  <si>
    <t>Ispr.u toku godine</t>
  </si>
  <si>
    <t>Rashodovanja i gubici na zalihama materijala i robe i ostali rashodi</t>
  </si>
  <si>
    <t>Umanjenje vrijednsoti nematerijalnih sredstava</t>
  </si>
  <si>
    <t>Umanjenje vrijednosti investicijskih nekretnina za koje se obračun.amort.</t>
  </si>
  <si>
    <t>Umanj.vrij.biloških sred.za koje se obračunava amortizacija</t>
  </si>
  <si>
    <t>Umanj.vrij.dug.finans.plasmana i finan.sred.raspol.za prodaju</t>
  </si>
  <si>
    <t>Umanj.vrijedn.kratk.finans.plasmana</t>
  </si>
  <si>
    <t>Umanj.vrijedn.sredst.namijenj.prodaji i obustavlj.poslovanja</t>
  </si>
  <si>
    <t>Umanjenje vrijedn.ostalih sredstava</t>
  </si>
  <si>
    <t>Rashodi iz osnova promj.računov.politika</t>
  </si>
  <si>
    <t>Rashodi iz osnova ispravke grešaka iz ranijeg perioda</t>
  </si>
  <si>
    <t>Povećanje vrijednsoti zaliha učinaka</t>
  </si>
  <si>
    <t>UKUPNI RASHODI PERIODA:</t>
  </si>
  <si>
    <t>DOBIT IZ POSLOVANJA</t>
  </si>
  <si>
    <t>GUBITAK IZ POSLOVANJA</t>
  </si>
  <si>
    <t xml:space="preserve">       d) Potraživanja iz specifičnih poslova</t>
  </si>
  <si>
    <t xml:space="preserve">       e) Druga kratkoročna potraživanja</t>
  </si>
  <si>
    <t>3. Kratkoročni finansijski plasmani (054 do 060)</t>
  </si>
  <si>
    <r>
      <t xml:space="preserve">Dobit po osnovu ostalih prihoda i rashoda </t>
    </r>
    <r>
      <rPr>
        <sz val="10"/>
        <rFont val="Times New Roman"/>
        <family val="1"/>
        <charset val="238"/>
      </rPr>
      <t xml:space="preserve"> (244-254)</t>
    </r>
  </si>
  <si>
    <r>
      <t xml:space="preserve">Gubitak po osnovu ostalih prihoda i rashoda </t>
    </r>
    <r>
      <rPr>
        <sz val="10"/>
        <rFont val="Times New Roman"/>
        <family val="1"/>
        <charset val="238"/>
      </rPr>
      <t xml:space="preserve"> (254-244)</t>
    </r>
  </si>
  <si>
    <r>
      <t>PRIHODI I RASHODI OD USKLAĐIVANJA VRIJEDNOSTI SREDSTAVA</t>
    </r>
    <r>
      <rPr>
        <sz val="10"/>
        <rFont val="Times New Roman"/>
        <family val="1"/>
        <charset val="238"/>
      </rPr>
      <t xml:space="preserve"> </t>
    </r>
    <r>
      <rPr>
        <sz val="8"/>
        <rFont val="Times New Roman"/>
        <family val="1"/>
        <charset val="238"/>
      </rPr>
      <t>(osim stalnih sredstava namijenjenih prodaji i sredstava obustavljenog poslovanja)</t>
    </r>
  </si>
  <si>
    <t>68 bez 688</t>
  </si>
  <si>
    <r>
      <t xml:space="preserve">Prihodi iz osnova usklađivanja vrijednosti  </t>
    </r>
    <r>
      <rPr>
        <sz val="10"/>
        <rFont val="Times New Roman"/>
        <family val="1"/>
        <charset val="238"/>
      </rPr>
      <t>(267 do 275)</t>
    </r>
  </si>
  <si>
    <t>1. Prihodi od usklađivanja vrijednosti nematerijalnih sredstava</t>
  </si>
  <si>
    <t>2. Prihodi od usklađivanja vrijednosti materijalnih sredstava</t>
  </si>
  <si>
    <t>4. Prihodi od usklađivanja vrijednosti biološih sredstava za koja se obračunava amortizacija</t>
  </si>
  <si>
    <t>Prihodi od usklađivanja vrijednosti investicijskih nekretnina za koje se obračunava amortizacija</t>
  </si>
  <si>
    <t>Prihodi od usklađivanja vrijednosti dugoročnih finansijskih plasmana i finansijskih sredstava raspoloživih za prodaju investicijskih nekretnina za koje se obračunava amortizacija</t>
  </si>
  <si>
    <t>Prihodi od usklađivanja vrijednosti zaliha</t>
  </si>
  <si>
    <t>Prihodi od usklađivanja vrijednosti kratkoročnih finansijskih plasmana</t>
  </si>
  <si>
    <t>Kratkoročni dio dugoročnih kredita</t>
  </si>
  <si>
    <t>Kratkoročni dio dugor.vrijednosnih papira</t>
  </si>
  <si>
    <t>Finaksijska sredstva namijenjena trgovanju</t>
  </si>
  <si>
    <t>Druga finans.sredstva označena po fer vrijed.</t>
  </si>
  <si>
    <t>Ostali kartkoročni plasmani</t>
  </si>
  <si>
    <t>Ispravka vrijednosti kratkoročnih fin.plasman</t>
  </si>
  <si>
    <t>PDV u primljenim fakturama</t>
  </si>
  <si>
    <t>PDV plaćen pri uvozu dobara</t>
  </si>
  <si>
    <t>PDV sadržan u datim avansima</t>
  </si>
  <si>
    <t>PDV obračunat na usluge stranih lica</t>
  </si>
  <si>
    <t>Paušalni iznos PDV-a isplaćen poljoprivrednic</t>
  </si>
  <si>
    <t>Ulazni porez uplaćen po posebnoj šemi</t>
  </si>
  <si>
    <t>Ulazni porez na koji nije stečeno pr.odbitka</t>
  </si>
  <si>
    <t>*</t>
  </si>
  <si>
    <t>zbog zaokruživanja iznosa</t>
  </si>
  <si>
    <t>ovjede uštimati do  2 KM ako neštima</t>
  </si>
  <si>
    <t>GODIŠNJI IZVJEŠTAJ O INVESTICIJAMA ZA 2011. GODINU</t>
  </si>
  <si>
    <r>
      <t>TABELA 1. IZVRŠENE ISPLATE ZA INVESTICIJE U STALNA SREDSTVA PO IZVORIMA FINANSIRANJA U 2011.GODINI</t>
    </r>
    <r>
      <rPr>
        <sz val="9"/>
        <rFont val="Times New Roman CE"/>
        <family val="1"/>
        <charset val="238"/>
      </rPr>
      <t xml:space="preserve"> </t>
    </r>
    <r>
      <rPr>
        <vertAlign val="superscript"/>
        <sz val="9"/>
        <rFont val="Times New Roman CE"/>
        <charset val="238"/>
      </rPr>
      <t>1)2)</t>
    </r>
  </si>
  <si>
    <t>Finansijski rashodi</t>
  </si>
  <si>
    <t>Ostali rashodi i gubici</t>
  </si>
  <si>
    <t>Efekti promjene računovodstvenih politika i ispravki grešaka iz ranijih godina, promjene vrijednosti zaliha</t>
  </si>
  <si>
    <t>i učinaka</t>
  </si>
  <si>
    <t>Bilans stanja</t>
  </si>
  <si>
    <t>Na poč.godine</t>
  </si>
  <si>
    <t>Nab.u toku godine</t>
  </si>
  <si>
    <t>Rash.u toku godine</t>
  </si>
  <si>
    <t>St.na kraju godine</t>
  </si>
  <si>
    <t>Naziv</t>
  </si>
  <si>
    <t>konto</t>
  </si>
  <si>
    <t>Sadašnja vrijednost na početku godine</t>
  </si>
  <si>
    <t>Sadašnja vrijednost na kraju godine</t>
  </si>
  <si>
    <t>Materijalna sredstva</t>
  </si>
  <si>
    <t>Vrijednosti u KM</t>
  </si>
  <si>
    <t>Izvještaj o gotovinskim tokovima………………</t>
  </si>
  <si>
    <t>Članarina Privrednoj (Gospodarskoj) komori Federacije BiH</t>
  </si>
  <si>
    <t>Članarina Privrednoj (Gospodarskoj) komori kantona</t>
  </si>
  <si>
    <t>B) NAJNIŽI IZNOS ZA UPLATU</t>
  </si>
  <si>
    <t>(ako osnovicu pomnožimo sa stopom daje iznos manji od</t>
  </si>
  <si>
    <t>naznačenog u Odluci o članarini komorama uplaćuje se):</t>
  </si>
  <si>
    <t>C) OPŠTA UDRUŽENJA - KOLEKTIVNI ČLANOVI</t>
  </si>
  <si>
    <t>Strana 1.</t>
  </si>
  <si>
    <t>KTO</t>
  </si>
  <si>
    <t>UNOS ZA POREZNI BILANS</t>
  </si>
  <si>
    <t>IZNOS U KM</t>
  </si>
  <si>
    <t>XXXX</t>
  </si>
  <si>
    <t>1. Form P-OD is filed as declaration/certificate on paid withholding tax and/or application of the agreement on avoiding double taxation of legal</t>
  </si>
  <si>
    <t>entities whose headquarters offices are outside BiH.</t>
  </si>
  <si>
    <t>2. Form is to be filled out in 4 copies where one remains with payer, one is provided to the recipient of the income, one to the Tax Administration and</t>
  </si>
  <si>
    <t>radove i isporučenu opremu u 2011.godini.</t>
  </si>
  <si>
    <t>Vrednost ostvarenih investicija u toku 2011.godine (2.11+2.2)=Tab.3.,Red.br.3.,Kol.3.</t>
  </si>
  <si>
    <t>TABELA 3. TEHNIČKA STRUKTURA OSTVARENIH INVESTICIJA U STALNA SREDSTVA U 2011.GODINI</t>
  </si>
  <si>
    <t>Vrijednost ostvarenih investicija u stalna sredstva u 2011odini=Tabela 2.,Red.broj 2.3=(zbir 3.1+3.2+3.3)</t>
  </si>
  <si>
    <t>TABELA 4. INVESTICIJE U NOVA STALNA SREDSTVA PO NAMJENI ULAGAJNA I TERITORIJI U 2011.GODINI</t>
  </si>
  <si>
    <r>
      <t xml:space="preserve">Ostvarene investicije u </t>
    </r>
    <r>
      <rPr>
        <u/>
        <sz val="9"/>
        <rFont val="Times New Roman CE"/>
        <family val="1"/>
        <charset val="238"/>
      </rPr>
      <t>NOVA</t>
    </r>
    <r>
      <rPr>
        <sz val="9"/>
        <rFont val="Times New Roman CE"/>
        <family val="1"/>
        <charset val="238"/>
      </rPr>
      <t xml:space="preserve"> stalna sredstva u 2011.g po karakteru izgradnje                          (Tabela 3., Kolona 4.)</t>
    </r>
  </si>
  <si>
    <t>Ostvarene investicije u nova stalna sredstva u 2011.g                                                           (4.11 do 4.13)=(4.14 do 4.19)=(Tabela 3.,Red.br.3.,Kolona 4.)</t>
  </si>
  <si>
    <t>Date donacije za humanitarne, kulturne,</t>
  </si>
  <si>
    <t>obrazovne, naučne i sportske svrhe iznad 3%</t>
  </si>
  <si>
    <t>ukupnog prihoda, kao i ukupni izdaci za</t>
  </si>
  <si>
    <t>profesionalni sport  (član 11. stav 2. Zakona)</t>
  </si>
  <si>
    <t>Neobavezne članarine komorama iznad 0,1%</t>
  </si>
  <si>
    <t>ukupnog prihoda (član 11. stav 3. Zakona)</t>
  </si>
  <si>
    <t>Sponzorstva iznad 2% ukupnog prihoda (član 11.</t>
  </si>
  <si>
    <t>stav 4. Zakona i član 11. st. 4. Pravilnika)</t>
  </si>
  <si>
    <t>Rezervisanja za rizike i obaveze koja se ne</t>
  </si>
  <si>
    <t>Gubitak ranijih godina</t>
  </si>
  <si>
    <t>Gubitak izvještajne godine</t>
  </si>
  <si>
    <t>Nepokriveni višak rashoda ranijih godina</t>
  </si>
  <si>
    <t>Nepokriveni višak rashoda izvještajne godine</t>
  </si>
  <si>
    <t>Otkupljene vlastite dionice i udjeli</t>
  </si>
  <si>
    <t>Rezervisanja za troškove u garantnom roku</t>
  </si>
  <si>
    <t>Rezervisanja za troškove obnavlj.prir.bogatst</t>
  </si>
  <si>
    <t>Poslovni prihodi</t>
  </si>
  <si>
    <t xml:space="preserve">Poslovni prihodi predstavljaju prihode od prodaje roba i učinaka nez poreza na dodanu vrijednost, </t>
  </si>
  <si>
    <t>rabata i popusta, te se priznaju u momentu prenosa koristi i vlasništva na kupca, odnosno dovršenosti usluga</t>
  </si>
  <si>
    <t>i učinaka.</t>
  </si>
  <si>
    <t>Vrijednosti iskazane u KM</t>
  </si>
  <si>
    <t>KONTO</t>
  </si>
  <si>
    <t>SUMA:</t>
  </si>
  <si>
    <t>Poslovni rashodi</t>
  </si>
  <si>
    <t>Strukrura poslovnih rashoda društva je slijedeća:</t>
  </si>
  <si>
    <t>Rashodi po osnovu  prodaje roba i učinaka</t>
  </si>
  <si>
    <t>Troškovi plaća i ostalih ličnih primanja</t>
  </si>
  <si>
    <t>Troškovi proizvodnih usluga</t>
  </si>
  <si>
    <t>Troškovi amortizacije</t>
  </si>
  <si>
    <t>Troškovi rezervisanja</t>
  </si>
  <si>
    <t>Nematerijalni troškovi</t>
  </si>
  <si>
    <t>dopustive visine i ostala amortizacija koja se ne</t>
  </si>
  <si>
    <t>priznaje po poreznom bilansu (član 18. Zakona i čl.</t>
  </si>
  <si>
    <t>15. do 20. Pravilnika)</t>
  </si>
  <si>
    <t>655</t>
  </si>
  <si>
    <t>661</t>
  </si>
  <si>
    <t>662</t>
  </si>
  <si>
    <t>663</t>
  </si>
  <si>
    <t>Neto plata</t>
  </si>
  <si>
    <t>Neto naknade</t>
  </si>
  <si>
    <t>Ispravka vrijednosti</t>
  </si>
  <si>
    <t>robe iznad iznosa obračunatog po metodi</t>
  </si>
  <si>
    <t>prosječne cijene (član 9. Zakona)</t>
  </si>
  <si>
    <t>isplaćenih iznad iznosa koji je oslobođen</t>
  </si>
  <si>
    <t>oporezivanja u skladu sa posebnim propisima, kao</t>
  </si>
  <si>
    <t>i troškovi ličnih primanja iz osnova dobiti (član 10.</t>
  </si>
  <si>
    <t>Zakona i član 10. Pravilnika)</t>
  </si>
  <si>
    <t xml:space="preserve">70% troškova reprezentacije koja se odnosi na </t>
  </si>
  <si>
    <t>djelatnost, kao i ukupni troškovi reprezentacije koji</t>
  </si>
  <si>
    <t>nisu direktno vezani za poslovanje (član 11. stav 1.</t>
  </si>
  <si>
    <t>Zakona i član 11. Pravilnika)</t>
  </si>
  <si>
    <t>INVESTICIJE PO NAMJENI ULAGANJA I OPĆINAMA</t>
  </si>
  <si>
    <t>plate</t>
  </si>
  <si>
    <t>ugovori</t>
  </si>
  <si>
    <t>nad.odb.</t>
  </si>
  <si>
    <t>DOLE UNIJETI OBRAČUNATI IZNOS DOPRISNOSA</t>
  </si>
  <si>
    <t>POREZNI GUBITAK ZA PERIOD</t>
  </si>
  <si>
    <t>VI</t>
  </si>
  <si>
    <t>Izvještaj o novčanim tokovima,</t>
  </si>
  <si>
    <t xml:space="preserve">Izvještaj o promjenama u kapitalu i </t>
  </si>
  <si>
    <t>Bilješke uz finansijske izvještaje.</t>
  </si>
  <si>
    <t>kako slijedi:</t>
  </si>
  <si>
    <r>
      <t xml:space="preserve">Vanbilansna aktiva </t>
    </r>
    <r>
      <rPr>
        <b/>
        <sz val="10"/>
        <color indexed="10"/>
        <rFont val="Arial"/>
        <family val="2"/>
        <charset val="238"/>
      </rPr>
      <t>UNIJETI AKO JE IMA</t>
    </r>
  </si>
  <si>
    <r>
      <t xml:space="preserve">Vanbilanska pasiva </t>
    </r>
    <r>
      <rPr>
        <b/>
        <sz val="10"/>
        <color indexed="10"/>
        <rFont val="Arial"/>
        <family val="2"/>
        <charset val="238"/>
      </rPr>
      <t>U NIJETI AKO JE IMA</t>
    </r>
  </si>
  <si>
    <t>NASTALIH, ISKORIŠTENIH I NEISKORIŠTENIH POREZNIH GUBITAKA</t>
  </si>
  <si>
    <t>po stanju na dan</t>
  </si>
  <si>
    <t>Napomena:</t>
  </si>
  <si>
    <t>U pregled se NE uključuju porezni gubici</t>
  </si>
  <si>
    <t>poslovnih jedinica u inostranstvu, RS BD</t>
  </si>
  <si>
    <t>BiH, kao ni porezni gubici iz poslovanja sa</t>
  </si>
  <si>
    <t>povezanim licima</t>
  </si>
  <si>
    <t>1.a</t>
  </si>
  <si>
    <t>1.b</t>
  </si>
  <si>
    <t>1.c</t>
  </si>
  <si>
    <t>2.a</t>
  </si>
  <si>
    <t>2.b</t>
  </si>
  <si>
    <t>2.c</t>
  </si>
  <si>
    <t>3.a</t>
  </si>
  <si>
    <t>3.b</t>
  </si>
  <si>
    <t>3.c</t>
  </si>
  <si>
    <t>DO</t>
  </si>
  <si>
    <t xml:space="preserve">Stopa </t>
  </si>
  <si>
    <t>Obračunata</t>
  </si>
  <si>
    <t>Uplaćena</t>
  </si>
  <si>
    <t>Razlika</t>
  </si>
  <si>
    <t>članarine</t>
  </si>
  <si>
    <t>članarina</t>
  </si>
  <si>
    <t>Za uplatu</t>
  </si>
  <si>
    <t>Za povrat</t>
  </si>
  <si>
    <t>A) OSNOVICA ZA OBRAČUN ČLANARINE</t>
  </si>
  <si>
    <t>Isplaćene bruto plaće</t>
  </si>
  <si>
    <t>KM</t>
  </si>
  <si>
    <t>Članarina Privrednoj (Gospodarskoj) komori BiH</t>
  </si>
  <si>
    <t>673 i 688</t>
  </si>
  <si>
    <t>573 i 588</t>
  </si>
  <si>
    <t>Ostala sveobuhvatna dobit</t>
  </si>
  <si>
    <t>Osrali sveobuhvatni gubitak</t>
  </si>
  <si>
    <t>069</t>
  </si>
  <si>
    <t>079</t>
  </si>
  <si>
    <t xml:space="preserve">Ispravka vrijednosti potraž. </t>
  </si>
  <si>
    <t>OVDJE USAGLASITI AKO NEŠTIMA bil.stanja zbog zaokrurežnja</t>
  </si>
  <si>
    <t>Unise razl.do 2,00 KM radi pov/samnj.dobavljača i usagl.BS:</t>
  </si>
  <si>
    <t>xxxxxxxxxxxxxxxxxxxxxxx</t>
  </si>
  <si>
    <t>xxxxxxxxxxxxxxxxxxxxx</t>
  </si>
  <si>
    <t>xxxxxxxxxxxxxxxxxxx</t>
  </si>
  <si>
    <t>xxxxxxxxxxxxxxxx</t>
  </si>
  <si>
    <t>xxxxxxxxxxxxxxx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</si>
  <si>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</si>
  <si>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</si>
  <si>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</si>
  <si>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</si>
  <si>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</si>
  <si>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</si>
  <si>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</si>
  <si>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</si>
  <si>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</si>
  <si>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</si>
  <si>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020</t>
  </si>
  <si>
    <t>021</t>
  </si>
  <si>
    <t>022</t>
  </si>
  <si>
    <t>023</t>
  </si>
  <si>
    <t>024</t>
  </si>
  <si>
    <t>027</t>
  </si>
  <si>
    <t>111</t>
  </si>
  <si>
    <t>112</t>
  </si>
  <si>
    <t>113</t>
  </si>
  <si>
    <t>114</t>
  </si>
  <si>
    <t>115</t>
  </si>
  <si>
    <t>116</t>
  </si>
  <si>
    <t>•   prosječna vrijednost poslovne imovine (aktive)</t>
  </si>
  <si>
    <t>•   prosječan broj zaposlenih</t>
  </si>
  <si>
    <t>zaposlenih</t>
  </si>
  <si>
    <t>Na bazi navedenog, ovo pravno lice se svrstava u grupu</t>
  </si>
  <si>
    <t>pravnih lica.</t>
  </si>
  <si>
    <t xml:space="preserve">Poslovnica </t>
  </si>
  <si>
    <t>4) Bez otplate anuiteta po finansijskim krditima.</t>
  </si>
  <si>
    <t>2.1</t>
  </si>
  <si>
    <t>2.11</t>
  </si>
  <si>
    <t>2.12</t>
  </si>
  <si>
    <t>opreme i drugima; za otplatu iskorištenih komercijalnih kredita za investicije u</t>
  </si>
  <si>
    <t>2.2</t>
  </si>
  <si>
    <t>radova, isporučiocima opreme; iskorišteni komercijalni krediti za ostvarene</t>
  </si>
  <si>
    <t>2.3</t>
  </si>
  <si>
    <t>Porezni gubici za prenos (red.br.46. umanjen za</t>
  </si>
  <si>
    <t>neiskorišteni porezni gubitak za najstariju od</t>
  </si>
  <si>
    <t>Dobit od prekinutog poslovanja</t>
  </si>
  <si>
    <t>Gubitak od prekinutog poslovanja</t>
  </si>
  <si>
    <t>R.B.</t>
  </si>
  <si>
    <t>032</t>
  </si>
  <si>
    <t>034</t>
  </si>
  <si>
    <t>Carine na trgovačku robu</t>
  </si>
  <si>
    <t>KONTROLA TAČNOSTI TABELE 3.</t>
  </si>
  <si>
    <t>V.</t>
  </si>
  <si>
    <r>
      <t>6)</t>
    </r>
    <r>
      <rPr>
        <sz val="10"/>
        <rFont val="Times New Roman CE"/>
        <family val="1"/>
        <charset val="238"/>
      </rPr>
      <t xml:space="preserve">  Uključiti cjelokupnu nabavnu vrijednost stalnog sredstva nabavljenog putem finansijskog lizinga.</t>
    </r>
  </si>
  <si>
    <t>1) Obuhvatiti samo izvršene isplate u toku godine (bez prenijetog salda, storna i preknjižavanja i neuključujući ostvarene a neplaćene investicije).</t>
  </si>
  <si>
    <t>5) Ako ste kupili stalno sredstvo u izvještajnoj godini putem finansijskog lizinga, u tabeli 1, prikažite cjelokupnu nabavnu vrijednost pod 1.4.</t>
  </si>
  <si>
    <t>(2.11+2.12) = Tabela 1., Redni broj 1.</t>
  </si>
  <si>
    <t>R.</t>
  </si>
  <si>
    <t xml:space="preserve">UKUPNO </t>
  </si>
  <si>
    <t>Nova stalna</t>
  </si>
  <si>
    <t>Polovna stalna</t>
  </si>
  <si>
    <t>br.</t>
  </si>
  <si>
    <t>(4+5)</t>
  </si>
  <si>
    <r>
      <t xml:space="preserve">sredstva </t>
    </r>
    <r>
      <rPr>
        <sz val="8"/>
        <rFont val="Times New Roman CE"/>
        <charset val="238"/>
      </rPr>
      <t>8)</t>
    </r>
  </si>
  <si>
    <r>
      <t xml:space="preserve">sredstva </t>
    </r>
    <r>
      <rPr>
        <sz val="8"/>
        <rFont val="Times New Roman CE"/>
        <charset val="238"/>
      </rPr>
      <t>9)</t>
    </r>
  </si>
  <si>
    <t>Materijalna (opipljiva) stalna sredstva (zbir 3.11+3.12+3.14)</t>
  </si>
  <si>
    <t>Građevinski objekti i prostori (zbir 3.111 + 3.112)</t>
  </si>
  <si>
    <t>3.111</t>
  </si>
  <si>
    <t>Stambene zgrade i prostori</t>
  </si>
  <si>
    <t>3.112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</si>
  <si>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</si>
  <si>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</si>
  <si>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</si>
  <si>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</si>
  <si>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</si>
  <si>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</si>
  <si>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</si>
  <si>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</si>
  <si>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</si>
  <si>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</si>
  <si>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</si>
  <si>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</si>
  <si>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</si>
  <si>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</si>
  <si>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</si>
  <si>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</si>
  <si>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</si>
  <si>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xxxxxxxxxxx</t>
  </si>
  <si>
    <t>Nabavna vrijednost</t>
  </si>
  <si>
    <t>UNOS PODATAKA ZA  INV 01 za 2011.g.</t>
  </si>
  <si>
    <t>Isplaćeno za invest.ostvarene u 2011.godini</t>
  </si>
  <si>
    <t>Isplaćeno za obaveze iz 2010.g. i avanse u 2011.g.</t>
  </si>
  <si>
    <t>Izvršeni a neplaćeni radovi i nabavke u 20110.g.</t>
  </si>
  <si>
    <t>Stanje konta investicija 015 i 025 na kraju godine</t>
  </si>
  <si>
    <t>10. Objavljene dividende i drugi oblici raspodjele dobiti i pokriće gubitaka</t>
  </si>
  <si>
    <t>(904+-905+-906+-907+-908+-909-910+911)</t>
  </si>
  <si>
    <t>smatraju porezno dopustivim rashodom (član 12.</t>
  </si>
  <si>
    <t>Zakona i član 12. Pravilnika)</t>
  </si>
  <si>
    <t>Rezerve/rezervisanja kod banaka i društava za</t>
  </si>
  <si>
    <t>osiguranje i reosiguranje iznad 20% dobiti iz</t>
  </si>
  <si>
    <t>bilansa uspjeha (član 16. Zakona)</t>
  </si>
  <si>
    <t>Novčane kazne i penali (čl.17. st.2. Zakona)</t>
  </si>
  <si>
    <t>Kamate za neblagovremeno plaćene poreze,</t>
  </si>
  <si>
    <t>doprinose i druge javne prihode (član 17. stav</t>
  </si>
  <si>
    <t>1. tačka 2. Zakona)</t>
  </si>
  <si>
    <t>stav 3. Zakona)</t>
  </si>
  <si>
    <t>Namještaj i unutrašnja oprema (metalni i drugi namještaj i sl.); nabavka knjiga za biblioteke</t>
  </si>
  <si>
    <t>3.122</t>
  </si>
  <si>
    <t>Transportna sredstva (zbir 3.1221+3.1222+3.1223)</t>
  </si>
  <si>
    <t>3.1221</t>
  </si>
  <si>
    <t>Datum,</t>
  </si>
  <si>
    <t>. godine</t>
  </si>
  <si>
    <t>Broj: 01-06/12</t>
  </si>
  <si>
    <t>Značajni postbilansni događaji nastali u periodu od 31.12.2011. godine</t>
  </si>
  <si>
    <t>do datuma predaje finansijskih izvještaja za 2011. godinu</t>
  </si>
  <si>
    <t>Broj: 01-05/12</t>
  </si>
  <si>
    <t>Broj: 01-04/12</t>
  </si>
  <si>
    <t>Broj: 01-03/12</t>
  </si>
  <si>
    <t>Uraditi poreznu prijavu i porezni bilans kako bi bila tačna obaveza poreza na dobit na AOP 299 BILANSA USPJEHA.</t>
  </si>
  <si>
    <r>
      <t>Neto ostali sveobuhvatni gubitak</t>
    </r>
    <r>
      <rPr>
        <sz val="10"/>
        <rFont val="Times New Roman"/>
        <family val="1"/>
        <charset val="238"/>
      </rPr>
      <t xml:space="preserve">  (327-328-329)&lt;0</t>
    </r>
  </si>
  <si>
    <r>
      <t xml:space="preserve">Ukupna neto sveobuhvatna dobit perioda </t>
    </r>
    <r>
      <rPr>
        <sz val="10"/>
        <rFont val="Times New Roman"/>
        <family val="1"/>
        <charset val="238"/>
      </rPr>
      <t xml:space="preserve"> (311-312+330-331)&gt;0</t>
    </r>
  </si>
  <si>
    <r>
      <t>Ukupni neto sveobuhvatni gubitak perioda</t>
    </r>
    <r>
      <rPr>
        <sz val="10"/>
        <rFont val="Times New Roman"/>
        <family val="1"/>
        <charset val="238"/>
      </rPr>
      <t xml:space="preserve"> </t>
    </r>
    <r>
      <rPr>
        <sz val="9"/>
        <rFont val="Times New Roman"/>
        <family val="1"/>
        <charset val="238"/>
      </rPr>
      <t>(311-312+330-331)&lt;0</t>
    </r>
  </si>
  <si>
    <t>Neto dobit/gubitak perioda prema vlasništvu (311 ili 312)</t>
  </si>
  <si>
    <t>a) vlasnicima matice</t>
  </si>
  <si>
    <t>b) vlasnicima manjinskih interesa</t>
  </si>
  <si>
    <t>531</t>
  </si>
  <si>
    <t>532</t>
  </si>
  <si>
    <t xml:space="preserve">Osnovica za obračun članarine je naplaćena članarina od </t>
  </si>
  <si>
    <t xml:space="preserve">članova udružanja </t>
  </si>
  <si>
    <t>D i r e k t o r</t>
  </si>
  <si>
    <t>DOPRINOS KOMORAMA</t>
  </si>
  <si>
    <t>PROVJERA (A-B1-B2 mora biti jednako 0)</t>
  </si>
  <si>
    <t>Na ovom šitu unijeti podatke za obrazac &gt;INV 01 redom kako su postavljeni!!!!!!!!!!!!</t>
  </si>
  <si>
    <t>Statistički anex Tabela 4.  Kolona 5. i 6.</t>
  </si>
  <si>
    <t>Vrijednost ulaganja u stalna sredstva u toku godine (uporedba podataka)</t>
  </si>
  <si>
    <t>Dezinvesticija-</t>
  </si>
  <si>
    <t>3.1</t>
  </si>
  <si>
    <t>3.11</t>
  </si>
  <si>
    <t>440</t>
  </si>
  <si>
    <t>470</t>
  </si>
  <si>
    <t>547</t>
  </si>
  <si>
    <t>600</t>
  </si>
  <si>
    <t>601</t>
  </si>
  <si>
    <t>602</t>
  </si>
  <si>
    <t>652</t>
  </si>
  <si>
    <t>659</t>
  </si>
  <si>
    <t>KONTROLA STANJA KAPITALA PO BILANSU STANJA I OBRASCU O PROMJENAMA KAPITALA!</t>
  </si>
  <si>
    <t>Mjesto:</t>
  </si>
  <si>
    <t>Šifra                  djelatnosti:</t>
  </si>
  <si>
    <t>Dana</t>
  </si>
  <si>
    <r>
      <t xml:space="preserve">I. Osnovni kapital </t>
    </r>
    <r>
      <rPr>
        <sz val="10"/>
        <rFont val="Times New Roman"/>
        <family val="1"/>
        <charset val="238"/>
      </rPr>
      <t>(103 do 108)</t>
    </r>
  </si>
  <si>
    <r>
      <t xml:space="preserve">POSLOVNA AKTIVA </t>
    </r>
    <r>
      <rPr>
        <sz val="10"/>
        <rFont val="Times New Roman"/>
        <family val="1"/>
        <charset val="238"/>
      </rPr>
      <t>(001+034+035+063+064)</t>
    </r>
  </si>
  <si>
    <r>
      <t xml:space="preserve">II. Gotovina, kratkoročna potraživanja i kratkoročno plasmani </t>
    </r>
    <r>
      <rPr>
        <sz val="10"/>
        <rFont val="Times New Roman"/>
        <family val="1"/>
        <charset val="238"/>
      </rPr>
      <t>(044+047+053+061+062)</t>
    </r>
  </si>
  <si>
    <r>
      <t>I. Zalihe i sredstva namijenjena prodaji</t>
    </r>
    <r>
      <rPr>
        <sz val="10"/>
        <rFont val="Times New Roman"/>
        <family val="1"/>
        <charset val="238"/>
      </rPr>
      <t>(037 do 042)</t>
    </r>
  </si>
  <si>
    <r>
      <t xml:space="preserve">VII. Druga dugoročna potraživanja </t>
    </r>
    <r>
      <rPr>
        <sz val="10"/>
        <rFont val="Times New Roman"/>
        <family val="1"/>
        <charset val="238"/>
      </rPr>
      <t>(031+032)</t>
    </r>
  </si>
  <si>
    <t>statističkih istraživanja od interessa za Federaciju BiH, Federalni zavod za statistiku provodi statistička istraživanja putem</t>
  </si>
  <si>
    <t xml:space="preserve"> Doprinosi na učešće zaposlenih u dobiti</t>
  </si>
  <si>
    <t xml:space="preserve"> Svega (9 do 12)</t>
  </si>
  <si>
    <t>Tabela 1. PRIHODI, TROŠKOVI I RASHODI - nastavak</t>
  </si>
  <si>
    <t>23.</t>
  </si>
  <si>
    <t>UKUPNI TROŠKOVI I RASHODI OBRAČUNSKOG PERIODA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</si>
  <si>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</si>
  <si>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</si>
  <si>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</si>
  <si>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</si>
  <si>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</si>
  <si>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</si>
  <si>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</si>
  <si>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</si>
  <si>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</si>
  <si>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</si>
  <si>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</si>
  <si>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</si>
  <si>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</si>
  <si>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</si>
  <si>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</si>
  <si>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</si>
  <si>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</si>
  <si>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Troškovi reprezentacije</t>
  </si>
  <si>
    <t>41.</t>
  </si>
  <si>
    <t>42.</t>
  </si>
  <si>
    <t>43.</t>
  </si>
  <si>
    <t>44.</t>
  </si>
  <si>
    <t>održavanje nivoa postojećih kapaciteta</t>
  </si>
  <si>
    <t>4.0</t>
  </si>
  <si>
    <t>4.1</t>
  </si>
  <si>
    <t>4.15</t>
  </si>
  <si>
    <t>4.16</t>
  </si>
  <si>
    <t>4.17</t>
  </si>
  <si>
    <t>Identifikacioni broj poreznog obveznika</t>
  </si>
  <si>
    <t>Red. broj</t>
  </si>
  <si>
    <t>Obrazac - INTIn</t>
  </si>
  <si>
    <t>(Identifikacioni broj za indirektne poreze)</t>
  </si>
  <si>
    <t>godine</t>
  </si>
  <si>
    <t>GODINU</t>
  </si>
  <si>
    <t>Obrazac StatAneks</t>
  </si>
  <si>
    <t>Red.</t>
  </si>
  <si>
    <t>Opis</t>
  </si>
  <si>
    <t>Konto</t>
  </si>
  <si>
    <t>3.12</t>
  </si>
  <si>
    <t>3.13</t>
  </si>
  <si>
    <t>3.14</t>
  </si>
  <si>
    <t>3.2</t>
  </si>
  <si>
    <t>3.21</t>
  </si>
  <si>
    <t>3.22</t>
  </si>
  <si>
    <t>3.23</t>
  </si>
  <si>
    <t>3.24</t>
  </si>
  <si>
    <t>3.3</t>
  </si>
  <si>
    <t>3.4</t>
  </si>
  <si>
    <t>M..P.</t>
  </si>
  <si>
    <t>Smanjenje (povećanje) zaliha</t>
  </si>
  <si>
    <t>Smanjenje (povećanje) potraživanja od prodaje</t>
  </si>
  <si>
    <t>Smanjenje (povećanje) drugih potraživanja</t>
  </si>
  <si>
    <t>3.6</t>
  </si>
  <si>
    <t>22 do 27</t>
  </si>
  <si>
    <t>09,28</t>
  </si>
  <si>
    <t>ostale obaveze</t>
  </si>
  <si>
    <t>40,49</t>
  </si>
  <si>
    <t>24 potražno</t>
  </si>
  <si>
    <t>24  dugovno</t>
  </si>
  <si>
    <t>06  potražno</t>
  </si>
  <si>
    <t>06 dugovno</t>
  </si>
  <si>
    <t>22. Emisija dioničkog kapitala i drugi oblici povećanja ili smanjenja osnovnog kapitala</t>
  </si>
  <si>
    <t>podatak se preuzima iz analitičke evidencije, u skladu sa opisom datim za tu poziciju.</t>
  </si>
  <si>
    <t>Pojedine pozicije su pojašnjene fusnotama koje je potrebno pročitati prije unosa podataka.</t>
  </si>
  <si>
    <t>Sve podatke u ovom obrascu iskazati u konvertibilnim markama (KM), bez decimala.</t>
  </si>
  <si>
    <t>PRETH.GODINA</t>
  </si>
  <si>
    <t>PRETHODNA GODINA</t>
  </si>
  <si>
    <t>TEKUĆA GODINA</t>
  </si>
  <si>
    <t>CILJ ISTRAŽIVANJA</t>
  </si>
  <si>
    <t>Posebni podaci o plaćama i broju zaposlenih…..</t>
  </si>
  <si>
    <t>46</t>
  </si>
  <si>
    <t>Iz sredstava budžeta i vanbudžetskih fondova</t>
  </si>
  <si>
    <t xml:space="preserve"> od toga : strana humanitarna pomoć i donacije</t>
  </si>
  <si>
    <t>Finansijski krediti drugih domaćih kreditora OSIM BANAKA</t>
  </si>
  <si>
    <t>UKUPNO IZVRŠENO:</t>
  </si>
  <si>
    <t>(1+2+3)</t>
  </si>
  <si>
    <t>9.1</t>
  </si>
  <si>
    <t>A.</t>
  </si>
  <si>
    <t>C.</t>
  </si>
  <si>
    <t>NOVO NABAVLJ.</t>
  </si>
  <si>
    <t>STALNA SREDSTVA</t>
  </si>
  <si>
    <t>POLOVNA NABAVLJ.</t>
  </si>
  <si>
    <t xml:space="preserve">Uključiti: nova stalna sredstva, rekonstrukciju i zamjenu postojećih stalnih sredstava, stalna sredstva nabavljena putem finansijskog lizinga - najma, kao i polovnu </t>
  </si>
  <si>
    <t>098</t>
  </si>
  <si>
    <t>100</t>
  </si>
  <si>
    <t>207</t>
  </si>
  <si>
    <t>214</t>
  </si>
  <si>
    <t>215</t>
  </si>
  <si>
    <t>216</t>
  </si>
  <si>
    <t>217</t>
  </si>
  <si>
    <t xml:space="preserve">kapitalni transfer u naturi. Prodata stalna sredstva iskazati po vrijednosti iz kupoprodajnog ugovora, </t>
  </si>
  <si>
    <t>nakon odbitka troškova prijenosa vlasništva.</t>
  </si>
  <si>
    <t>2. Obrazac se popunjava u četiri primjerka od kojih jedan ostaje kod isplatioca, jedan primaocu prihoda, jedan Poreznoj upravi i jedan inostranom</t>
  </si>
  <si>
    <t>poreznom organu.</t>
  </si>
  <si>
    <t>3. Tačku I,II,III i IV popunjava isplatilac, a V i VI popunjava Porezna uprava.</t>
  </si>
  <si>
    <t>Visina opće i posebnih naknada</t>
  </si>
  <si>
    <t>Obračunati iznos /KM/ (4x5)</t>
  </si>
  <si>
    <t>Uplaćeni iznos /KM/</t>
  </si>
  <si>
    <t>Razlika za uplatu/povrat /KM/ (6-7)</t>
  </si>
  <si>
    <t>Opća vodna naknada</t>
  </si>
  <si>
    <t xml:space="preserve">    neto plaće zaposslenih</t>
  </si>
  <si>
    <t xml:space="preserve">   po ugovoru o djelu</t>
  </si>
  <si>
    <t xml:space="preserve">   za javnu vodoopskrbu</t>
  </si>
  <si>
    <t xml:space="preserve">   za flaširanje vode i mineralne vode</t>
  </si>
  <si>
    <t>Prihodi od usklađivanja vrijednsoti zaliha</t>
  </si>
  <si>
    <t>Prihodi od usklađ.vrijednosti kratk.finans.plasmana</t>
  </si>
  <si>
    <t>Prihodi od usklađivanja vrijednsoti kapitala (negativni goodwill)</t>
  </si>
  <si>
    <t>Prihodi od dusklađ.vrij.sred.namj.prodaji i obustavlj.poslovanja</t>
  </si>
  <si>
    <t>Prihodi iz osnova promj.račun.pšolitika</t>
  </si>
  <si>
    <t>Prihodi iz osnova ispravki grešaka iz ranijih godina</t>
  </si>
  <si>
    <t>Prenos prihoda</t>
  </si>
  <si>
    <t>PRIHODI KLASE 6.</t>
  </si>
  <si>
    <t>RASHODI KLASE 5.</t>
  </si>
  <si>
    <t>Nabavka robe</t>
  </si>
  <si>
    <t>Nabavna vrijednost prodate robe</t>
  </si>
  <si>
    <t>Nabavna vrijednost prodatih nekretnina pribavlj.radi prodaje</t>
  </si>
  <si>
    <t>Nabavka sirovina, materijala, rezervnih dijelova i inventara</t>
  </si>
  <si>
    <t>641</t>
  </si>
  <si>
    <t>642</t>
  </si>
  <si>
    <t>643</t>
  </si>
  <si>
    <t>644</t>
  </si>
  <si>
    <t>645</t>
  </si>
  <si>
    <t>UNESI TROŠKOVE ČLANARINA</t>
  </si>
  <si>
    <t>543</t>
  </si>
  <si>
    <t>664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</si>
  <si>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</si>
  <si>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</si>
  <si>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</si>
  <si>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</si>
  <si>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</si>
  <si>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</si>
  <si>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</si>
  <si>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</si>
  <si>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</si>
  <si>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</si>
  <si>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</si>
  <si>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</si>
  <si>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</si>
  <si>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</si>
  <si>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</si>
  <si>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</si>
  <si>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</si>
  <si>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</si>
  <si>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</si>
  <si>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</si>
  <si>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</si>
  <si>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</si>
  <si>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699</t>
  </si>
  <si>
    <t>723</t>
  </si>
  <si>
    <t>01</t>
  </si>
  <si>
    <t>02</t>
  </si>
  <si>
    <t>PODACI O POREZNOM OBVEZNIKU</t>
  </si>
  <si>
    <t>Strana 3</t>
  </si>
  <si>
    <t>ISPOSTAVA CAZIN</t>
  </si>
  <si>
    <t>OBRAZAC P-GKF BIH</t>
  </si>
  <si>
    <t>M j e s t o</t>
  </si>
  <si>
    <t>468</t>
  </si>
  <si>
    <t>469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</si>
  <si>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</si>
  <si>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</si>
  <si>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</si>
  <si>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</si>
  <si>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</si>
  <si>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</si>
  <si>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</si>
  <si>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</si>
  <si>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</si>
  <si>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</si>
  <si>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</si>
  <si>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</si>
  <si>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489</t>
  </si>
  <si>
    <t>490</t>
  </si>
  <si>
    <t>491</t>
  </si>
  <si>
    <t>492</t>
  </si>
  <si>
    <t>493</t>
  </si>
  <si>
    <t>494</t>
  </si>
  <si>
    <t>495</t>
  </si>
  <si>
    <t>499</t>
  </si>
  <si>
    <t>500</t>
  </si>
  <si>
    <t>501</t>
  </si>
  <si>
    <t>502</t>
  </si>
  <si>
    <t>510</t>
  </si>
  <si>
    <t>511</t>
  </si>
  <si>
    <t>512</t>
  </si>
  <si>
    <t>513</t>
  </si>
  <si>
    <t>514</t>
  </si>
  <si>
    <t>519</t>
  </si>
  <si>
    <t>520</t>
  </si>
  <si>
    <t>521</t>
  </si>
  <si>
    <t>523</t>
  </si>
  <si>
    <t>524</t>
  </si>
  <si>
    <t>Obrazac BSpr</t>
  </si>
  <si>
    <t>Obrazac  BUpr</t>
  </si>
  <si>
    <t>(red.br.49-50-51-52), veće od 0</t>
  </si>
  <si>
    <t>Ranije korištena porezna oslobađanja koja nisu</t>
  </si>
  <si>
    <t>opravdana u skladu sa Zakonom i Pravilnikom</t>
  </si>
  <si>
    <t>Obračunata zatezna kamata na iznose po 55.</t>
  </si>
  <si>
    <t>Uplaćene akontacije i pretplate prenesene iz ranijih godina</t>
  </si>
  <si>
    <t>Iznos za uplatu (red.br.54+55+56-57), veće od 0</t>
  </si>
  <si>
    <t xml:space="preserve">Iznos za povrat ili prenos u naredni period </t>
  </si>
  <si>
    <t>(red.br.57-54-55-56), veće od 0</t>
  </si>
  <si>
    <t>U</t>
  </si>
  <si>
    <t>Dana;</t>
  </si>
  <si>
    <t>Certificirani računovođa</t>
  </si>
  <si>
    <t>Zastupnik poreznog obveznika</t>
  </si>
  <si>
    <t>Kantonalni porezni ured</t>
  </si>
  <si>
    <t>Nadležna ispostava Porezne uprave</t>
  </si>
  <si>
    <t>I  Z  J  A  V  A</t>
  </si>
  <si>
    <t>ISPLATIOCA DIVIDENDI / UDJELA U DOBITI</t>
  </si>
  <si>
    <t>PODACI O ISPLATIOCU DIVIDENDI / UDJELA</t>
  </si>
  <si>
    <t>Naziv isplatioca</t>
  </si>
  <si>
    <t>Podaci o pravnom licu/firmi</t>
  </si>
  <si>
    <t>Naziv pravnog lica:</t>
  </si>
  <si>
    <t>Adresa pravnog lica:</t>
  </si>
  <si>
    <t>Sjedište pravnog lica:</t>
  </si>
  <si>
    <t>PTT broj sjedišta:</t>
  </si>
  <si>
    <t>Šifra općine sjedišta:</t>
  </si>
  <si>
    <t>ID broj pravnog lica:</t>
  </si>
  <si>
    <t>PDV broj pravnog lica:</t>
  </si>
  <si>
    <t>Porezni djelovodni broj:</t>
  </si>
  <si>
    <t>Šifra djelatnosti:</t>
  </si>
  <si>
    <t>Naziv djelatnosti:</t>
  </si>
  <si>
    <t>Prezime i ime direktora:</t>
  </si>
  <si>
    <t>JMBG direktora:</t>
  </si>
  <si>
    <t>Zastupnik poreznog obveznika:</t>
  </si>
  <si>
    <t>Adresa zastupnika:</t>
  </si>
  <si>
    <t>Broj uloška u registraciji:</t>
  </si>
  <si>
    <t>Kantonalni sud:</t>
  </si>
  <si>
    <t>Telefon pravnog lica:</t>
  </si>
  <si>
    <t>Fax pravnog lica:</t>
  </si>
  <si>
    <t>Banka 1 pravnog lica:</t>
  </si>
  <si>
    <t>Žiro račun u banci 1:</t>
  </si>
  <si>
    <t>Banka 2 pravnog lica:</t>
  </si>
  <si>
    <t>Žiro račun u banci 2:</t>
  </si>
  <si>
    <t>Banka 3 pravnog lica:</t>
  </si>
  <si>
    <t>Žiro račun u banci 3:</t>
  </si>
  <si>
    <t>Podaci o ovlaštenom računovođi pravnog lica</t>
  </si>
  <si>
    <t>Drugi strojevi i naprave za posebne namjene (metaluruški, rudarski i građevinski strojevi, prehrambeni, tekstilni i sl.); strojevi za obradu (strugovi, bušilice, glodalice; strojevi za obradu metala, kamena i drveta i sl.)</t>
  </si>
  <si>
    <t>3.1214</t>
  </si>
  <si>
    <t>Poljoprivredni i šumarski strojevi (traktori i drugi poljoprivredni i šumarski strojevi)</t>
  </si>
  <si>
    <t>3.1215</t>
  </si>
  <si>
    <t>Polovna stalna sredstva obuhvataju polovna stalna sredstva nabavljena u zemlji</t>
  </si>
  <si>
    <t>bez obzira na njihovo porijeklo. Vidjeti fusnotu broj 8.</t>
  </si>
  <si>
    <t>10)</t>
  </si>
  <si>
    <t>Uključiti stalna sredstva koja su prodana, stalna sredstva koja su data u trampi i stalna sredstva data kao</t>
  </si>
  <si>
    <t>OBRAČUN</t>
  </si>
  <si>
    <t>Oznaka za AOP</t>
  </si>
  <si>
    <t>Jedinica mjere</t>
  </si>
  <si>
    <t>Odlivi iz osnova kupovine dionica i udjela</t>
  </si>
  <si>
    <t>Odlivi iz osnova kupovine stalnih sredstava</t>
  </si>
  <si>
    <t>Odlivi iz osnova ostalih dugoročnih finansijskih plasmana</t>
  </si>
  <si>
    <t>C. GOTOVINSKI TOKOVI IZ FINANSIJSKIH AKTIVNOSTI</t>
  </si>
  <si>
    <t>Prilivi iz osnova povećanja osnovnoh kapitala</t>
  </si>
  <si>
    <t>Prilivi iz osnova dugoročnih kredita</t>
  </si>
  <si>
    <t>Prilivi iz osnova kratkoročnih kredita</t>
  </si>
  <si>
    <t>Prilivi iz osnova ostalih dugoročnih i kratkoročnih obaveza</t>
  </si>
  <si>
    <r>
      <t xml:space="preserve">Odlivi gotovine iz finansijskih aktivnosti </t>
    </r>
    <r>
      <rPr>
        <sz val="10"/>
        <rFont val="Times New Roman CE"/>
        <charset val="238"/>
      </rPr>
      <t>(39 do 44)</t>
    </r>
  </si>
  <si>
    <t>Odlivi iz osnova otkupa vlastitih dionica i udjela</t>
  </si>
  <si>
    <t>Odlivi iz osnova dugoročnih kredita</t>
  </si>
  <si>
    <t>Odlivi iz osnova kratkoročnih kredita</t>
  </si>
  <si>
    <t>Odlivi iz osnova finansijskog lizinga</t>
  </si>
  <si>
    <t>Odlivi iz osnova isplaćenih dividendi</t>
  </si>
  <si>
    <t>Odlivi iz osnova ostalih dugoročnih i kratkoročnih obaveza</t>
  </si>
  <si>
    <t>D. UKUPNI PRILIVI GOTOVINE (18+31+45)</t>
  </si>
  <si>
    <t>48</t>
  </si>
  <si>
    <t>E. UKUPNI ODLIVI GOTIVINE  (18+32+46)</t>
  </si>
  <si>
    <t>49</t>
  </si>
  <si>
    <t>F. NETO PRILIV GOTOVINE  (47-48)</t>
  </si>
  <si>
    <t>G.  NETO ODLIV GOTOVINE (48-47)</t>
  </si>
  <si>
    <t>H. Gotovina na početku izvještajnog perioda</t>
  </si>
  <si>
    <t>I. Pozitivne kursne razlike iz osnova preračuna gotovine</t>
  </si>
  <si>
    <t>J. Negativne kursne razlike iz osnova preračuna gotovine</t>
  </si>
  <si>
    <t>54</t>
  </si>
  <si>
    <t>Oznaka (+,-)</t>
  </si>
  <si>
    <t>+(-)</t>
  </si>
  <si>
    <t>Prilivi gotovine iz ulagačkih aktivnosti  (20 do 25)</t>
  </si>
  <si>
    <t>Odlivi gotovine iz ulagačkih aktivnosti  (27 do 30)</t>
  </si>
  <si>
    <t>Neto priliv gotovine iz ulagačkih aktivnosti (19-26)</t>
  </si>
  <si>
    <t>Neto odliv gotovine iz ulagačkih aktivnosti  (26-19)</t>
  </si>
  <si>
    <t>Prilivi gotovine iz fanansijskih aktivnosti  (34 do 37)</t>
  </si>
  <si>
    <t>Neto priliv gotvine iz finansijskih aktivnosti (33-38)</t>
  </si>
  <si>
    <t>Neto odliv gotovine iz finansijskih aktivnosti  (38-33)</t>
  </si>
  <si>
    <t>005</t>
  </si>
  <si>
    <t>006</t>
  </si>
  <si>
    <t>007</t>
  </si>
  <si>
    <t>008</t>
  </si>
  <si>
    <t>009</t>
  </si>
  <si>
    <t>015</t>
  </si>
  <si>
    <t>016</t>
  </si>
  <si>
    <t>018</t>
  </si>
  <si>
    <t>019</t>
  </si>
  <si>
    <t>025</t>
  </si>
  <si>
    <t>026</t>
  </si>
  <si>
    <t>028</t>
  </si>
  <si>
    <t>22.</t>
  </si>
  <si>
    <t>Prihodi od donacija</t>
  </si>
  <si>
    <t xml:space="preserve">Identifikacioni broj: </t>
  </si>
  <si>
    <t>Adresa sjedišta</t>
  </si>
  <si>
    <t>Broj računa sa kojeg je izvršena isplata</t>
  </si>
  <si>
    <t>Obračunati porez na dobit</t>
  </si>
  <si>
    <t>Plaćeni porez na dobit</t>
  </si>
  <si>
    <t>Oslobađanja poreza na dobit po osnovu</t>
  </si>
  <si>
    <t>Isplaćene dividende / udjeli</t>
  </si>
  <si>
    <t>PODACI O REZIDENTU/ISPLATIOCU - DATA ON RESIDENT/PAYER</t>
  </si>
  <si>
    <t>Naziv firme - Name of Company:</t>
  </si>
  <si>
    <t>Identifikacioni broj - TIN</t>
  </si>
  <si>
    <t>139</t>
  </si>
  <si>
    <t>140</t>
  </si>
  <si>
    <t>210</t>
  </si>
  <si>
    <t>211</t>
  </si>
  <si>
    <t>212</t>
  </si>
  <si>
    <t>Naziv vodne naknade</t>
  </si>
  <si>
    <t>Iznos / količina</t>
  </si>
  <si>
    <t>3. Dobici od prodaje bioloških sredstava</t>
  </si>
  <si>
    <t>4. Dobici od prodaje učešća u kapitalu i vrijednosnih papira</t>
  </si>
  <si>
    <t>5. Dobici od prodaje materijala</t>
  </si>
  <si>
    <t>6. Viškovi</t>
  </si>
  <si>
    <t>7. Naplaćena otpisana potraživanja</t>
  </si>
  <si>
    <t>8. Prihodi po osnovu ugovorene zaštite od rizika</t>
  </si>
  <si>
    <t>9. Otpis obaveza, ukinuta rezervisanja i ostali prihodi</t>
  </si>
  <si>
    <t>57, bez 573</t>
  </si>
  <si>
    <r>
      <t xml:space="preserve">Ostali rashodi i gubici, </t>
    </r>
    <r>
      <rPr>
        <sz val="10"/>
        <rFont val="Times New Roman"/>
        <family val="1"/>
        <charset val="238"/>
      </rPr>
      <t>osim iz osnova stalnih sredstava namijenjenih prodaji i obustavljenog poslovanja (252 do 263)</t>
    </r>
  </si>
  <si>
    <t>1. Gubici od prodaje i rashodovanja stalnih sredstava</t>
  </si>
  <si>
    <t>2. B+Gubici od prodaje i rashodovanja investicijskih nekretnina</t>
  </si>
  <si>
    <t>3. Gubici od prodaje i rashodovanja bioloških sredstava</t>
  </si>
  <si>
    <t>4. Gubici od prodaje učešća u kapitalu i vrijednosnih papira</t>
  </si>
  <si>
    <t>5. Gubici od prodaje materijala</t>
  </si>
  <si>
    <t>6. Manjkovi</t>
  </si>
  <si>
    <t>7. Rashodi iz osnova zaštite od rizika</t>
  </si>
  <si>
    <t>8. Rashodi po osnovu ispravke vrijednosti i otpisa potraživanja</t>
  </si>
  <si>
    <t>9. Rashodi i gubici na zalihama i ostali rashodi</t>
  </si>
  <si>
    <t xml:space="preserve"> Svega plaće i naknade plaće (1+2)</t>
  </si>
  <si>
    <t xml:space="preserve"> Porez na plaće i naknade plaće</t>
  </si>
  <si>
    <t xml:space="preserve"> Doprinosi iz plaća i naknada plaća</t>
  </si>
  <si>
    <t xml:space="preserve"> Doprinosi na plaće i naknade plaća</t>
  </si>
  <si>
    <t xml:space="preserve"> Svega doprinosi (5+6)</t>
  </si>
  <si>
    <t xml:space="preserve"> Svega (3+4+7)</t>
  </si>
  <si>
    <t xml:space="preserve"> Neto učešća zaposlenih u dobiti</t>
  </si>
  <si>
    <t>350</t>
  </si>
  <si>
    <t>351</t>
  </si>
  <si>
    <t>352</t>
  </si>
  <si>
    <t>353</t>
  </si>
  <si>
    <t>K. Gotovine na kraju izvještajnog perioda (51+49-50+52-53)</t>
  </si>
  <si>
    <t>K. Gotovine na kraju izvještajnog perioda</t>
  </si>
  <si>
    <t>ISPLAĆENO ZA INVESTICIJE</t>
  </si>
  <si>
    <t>uštimati ovdje!!!</t>
  </si>
  <si>
    <t>Strana 4</t>
  </si>
  <si>
    <t>Gotovi proizvodi</t>
  </si>
  <si>
    <t>Porezni gubitak (r.b. 1 ili 2+3-4+5 do 19-20-21</t>
  </si>
  <si>
    <t>.+22-23+24-25+26-27+28-29+30+31+32-33 do 35</t>
  </si>
  <si>
    <t>.+36-37+38+39 do 41) manje od 0</t>
  </si>
  <si>
    <t>VII</t>
  </si>
  <si>
    <t>POREZNA OSNOVICA</t>
  </si>
  <si>
    <t>Preneseni neiskorišteni porezni gubici iz</t>
  </si>
  <si>
    <t>prethodnih pet godina (osim gubitaka poslovnih</t>
  </si>
  <si>
    <t>jedinica u inostranstvu, RS i BD BiH</t>
  </si>
  <si>
    <t>Ostatak oporezive dobiti (ako je red.br. 42. minus</t>
  </si>
  <si>
    <t>red.br. 44. veći od 0)</t>
  </si>
  <si>
    <t>Ostatak poreznih gubitaka ukupno ( red.br. 44.</t>
  </si>
  <si>
    <t>veći od red.br. 42) + red.br.43.</t>
  </si>
  <si>
    <t>direktnim unosom unesete podatke po vlatitoj želji!!!!!!!!!!!!!!!!!!!</t>
  </si>
  <si>
    <t>Izvještaj o općim vodnim naknadana  OVN…….</t>
  </si>
  <si>
    <t>drugih naknada  ONŠ…………………………..</t>
  </si>
  <si>
    <t xml:space="preserve">       d) Kratkoročni dio dugoročnih plasmana</t>
  </si>
  <si>
    <r>
      <t xml:space="preserve">Finansijski prihodi  </t>
    </r>
    <r>
      <rPr>
        <sz val="10"/>
        <rFont val="Times New Roman"/>
        <family val="1"/>
        <charset val="238"/>
      </rPr>
      <t>(228 do 233)</t>
    </r>
  </si>
  <si>
    <t>1. Finansijski prihodi od povezanih pravnih lica</t>
  </si>
  <si>
    <t>2. Prihodi od kamata</t>
  </si>
  <si>
    <t>3. Pozitivne kursne razlike</t>
  </si>
  <si>
    <t>4. Prihodi od efekata valutne klauzule</t>
  </si>
  <si>
    <t>5. Prihodi od učešća u dobiti zajedničkih ulaganja</t>
  </si>
  <si>
    <t>6. Ostali finansijski prihodi</t>
  </si>
  <si>
    <r>
      <t xml:space="preserve">Finansijski rashodi  </t>
    </r>
    <r>
      <rPr>
        <sz val="10"/>
        <rFont val="Times New Roman"/>
        <family val="1"/>
        <charset val="238"/>
      </rPr>
      <t>(235 do 239)</t>
    </r>
  </si>
  <si>
    <t>1. Finansijski rashodi iz odnosa sa povezanim pravnim licima</t>
  </si>
  <si>
    <t>2. Rashodi kamata</t>
  </si>
  <si>
    <t>3. Negativne kursne razlike</t>
  </si>
  <si>
    <t>4. Rashodi iz osnova valutne klauzule</t>
  </si>
  <si>
    <t>5. Ostali finanijski rashodi</t>
  </si>
  <si>
    <r>
      <t xml:space="preserve">Dobit od finansijskih aktivnosti  </t>
    </r>
    <r>
      <rPr>
        <sz val="10"/>
        <rFont val="Times New Roman"/>
        <family val="1"/>
        <charset val="238"/>
      </rPr>
      <t>(227-234)</t>
    </r>
  </si>
  <si>
    <r>
      <t xml:space="preserve">Gubitak od finansijskih aktivnosti  </t>
    </r>
    <r>
      <rPr>
        <sz val="10"/>
        <rFont val="Times New Roman"/>
        <family val="1"/>
        <charset val="238"/>
      </rPr>
      <t>(234-227)</t>
    </r>
  </si>
  <si>
    <r>
      <t xml:space="preserve">Dobit redovne aktivnosti </t>
    </r>
    <r>
      <rPr>
        <sz val="10"/>
        <rFont val="Times New Roman"/>
        <family val="1"/>
        <charset val="238"/>
      </rPr>
      <t>(225-226+240-241)&gt;0</t>
    </r>
  </si>
  <si>
    <r>
      <t xml:space="preserve">Gubitak redovne aktivnosti </t>
    </r>
    <r>
      <rPr>
        <sz val="10"/>
        <rFont val="Times New Roman"/>
        <family val="1"/>
        <charset val="238"/>
      </rPr>
      <t>(225-226+240-241)&lt;0</t>
    </r>
  </si>
  <si>
    <t>OSTALI PRIHODI I RASHODI</t>
  </si>
  <si>
    <t>67 bez 673</t>
  </si>
  <si>
    <r>
      <t xml:space="preserve">Ostali prihodi i dobici, </t>
    </r>
    <r>
      <rPr>
        <sz val="10"/>
        <rFont val="Times New Roman"/>
        <family val="1"/>
        <charset val="238"/>
      </rPr>
      <t>osim iz osnova stalnih sredstava namijenjenih prodaji i obustavljenog poslovanja  (245 do 253)</t>
    </r>
  </si>
  <si>
    <t>1. Dobici od prodaje stalnih sredstava</t>
  </si>
  <si>
    <t>2. Dobici od prodaje investicijskih nekretnina</t>
  </si>
  <si>
    <t>INVESTICIJE U NOVA SREDSTVA PO KARAKTERU ULAGANJA</t>
  </si>
  <si>
    <t>NOVA ST.SREDSTV.</t>
  </si>
  <si>
    <t>51</t>
  </si>
  <si>
    <t>Prosječan broj zaposlenih na bazi sati rada, utvrđuje se tako da se ukupan broj ostvarenih sati rada u periodu podijeli</t>
  </si>
  <si>
    <t>s brojem mogućih sati rada po jednom zapolenom u tom periodu.</t>
  </si>
  <si>
    <r>
      <t xml:space="preserve">Od ukupnih investicija prikazati investicije za zaštitu životne sredine </t>
    </r>
    <r>
      <rPr>
        <vertAlign val="superscript"/>
        <sz val="10"/>
        <rFont val="Times New Roman CE"/>
        <charset val="238"/>
      </rPr>
      <t>11)</t>
    </r>
  </si>
  <si>
    <t>Certificirani računovođa:</t>
  </si>
  <si>
    <t xml:space="preserve">Prosječan broj zaposlenih na bazi stanja krajem mjeseca, utvrđuje se tako da se uzme broj zaposlenih na kraju svakog </t>
  </si>
  <si>
    <t>mjeseca iz kadrovske evidencije i dobiveni zbir podijeli sa 12.</t>
  </si>
  <si>
    <t>Strana 2</t>
  </si>
  <si>
    <t>Za pravna lica koja knjigovodstvo vode po kontnom planu za preduzeća</t>
  </si>
  <si>
    <t>155</t>
  </si>
  <si>
    <t>156</t>
  </si>
  <si>
    <t>Odgovorno lice za računovodstvo:</t>
  </si>
  <si>
    <t>kojih prikuplja podatke neophodne za izvođenje obračuna Bruto domaćeg proizvoda na nivou Federacije BiH. Za pravna</t>
  </si>
  <si>
    <t>09</t>
  </si>
  <si>
    <r>
      <t xml:space="preserve">01 ---&gt;UNESI IZNOSAMORTIZACIJE </t>
    </r>
    <r>
      <rPr>
        <b/>
        <sz val="8"/>
        <color indexed="10"/>
        <rFont val="Arial"/>
        <family val="2"/>
        <charset val="238"/>
      </rPr>
      <t>AKO NIJE DOBRO PREUZETA IZ PSK.DBF</t>
    </r>
  </si>
  <si>
    <r>
      <t>02----&gt; UNESI IZNOS AMOATIZACIJE</t>
    </r>
    <r>
      <rPr>
        <b/>
        <sz val="8"/>
        <color indexed="10"/>
        <rFont val="Arial"/>
        <family val="2"/>
        <charset val="238"/>
      </rPr>
      <t xml:space="preserve"> AKO NIJE DOBRO PREUZETA IZ PSK.DBF</t>
    </r>
  </si>
  <si>
    <t xml:space="preserve">   za proizvodnju električne energije u HE</t>
  </si>
  <si>
    <t>Naknada za korištenje podreznih i površinskih voda</t>
  </si>
  <si>
    <t xml:space="preserve">   za vlasnike transportnih  sredstava</t>
  </si>
  <si>
    <t xml:space="preserve">   za ispuštanje otpadnih voda</t>
  </si>
  <si>
    <t xml:space="preserve">   za uzgoj riba</t>
  </si>
  <si>
    <t xml:space="preserve">   za upotrebu vjštačkih đubrica</t>
  </si>
  <si>
    <t xml:space="preserve">   za upotrebu kemikalija za zaštitu bilja</t>
  </si>
  <si>
    <t>Naknada za zaštitu voda</t>
  </si>
  <si>
    <t xml:space="preserve">   Naknada za izvađeni materijal iz vodotoka</t>
  </si>
  <si>
    <t>stambenih, poslovnih ili drugih objekata</t>
  </si>
  <si>
    <t>Naknada za zaštitu od poplava</t>
  </si>
  <si>
    <t>Ukupno:</t>
  </si>
  <si>
    <t>Posebne vodne naknade</t>
  </si>
  <si>
    <r>
      <t>m</t>
    </r>
    <r>
      <rPr>
        <vertAlign val="superscript"/>
        <sz val="10"/>
        <rFont val="Times New Roman CE"/>
        <charset val="238"/>
      </rPr>
      <t>3</t>
    </r>
  </si>
  <si>
    <t>kWh</t>
  </si>
  <si>
    <t>EBS</t>
  </si>
  <si>
    <t>kg</t>
  </si>
  <si>
    <t>ha</t>
  </si>
  <si>
    <r>
      <t>m</t>
    </r>
    <r>
      <rPr>
        <vertAlign val="superscript"/>
        <sz val="10"/>
        <rFont val="Times New Roman CE"/>
        <charset val="238"/>
      </rPr>
      <t>2</t>
    </r>
  </si>
  <si>
    <t>0,01 KM</t>
  </si>
  <si>
    <t>2,00 KM</t>
  </si>
  <si>
    <t>0,03 KM</t>
  </si>
  <si>
    <t>0,001 KM</t>
  </si>
  <si>
    <t>0,04 KM</t>
  </si>
  <si>
    <t>0,005 KM</t>
  </si>
  <si>
    <t>0,075 KM</t>
  </si>
  <si>
    <t>1,50 KM</t>
  </si>
  <si>
    <t>5,00 KM</t>
  </si>
  <si>
    <t>0,10 KM</t>
  </si>
  <si>
    <t>/Naziv pravnog/fizičkog lica/</t>
  </si>
  <si>
    <t>/Identifikacioni broj i šifra djelatnosti obveznika naknade/</t>
  </si>
  <si>
    <t>/Adresa: mjesto, ulica i broj, broj telefona/</t>
  </si>
  <si>
    <t>IZVJEŠTAJ</t>
  </si>
  <si>
    <t>O OBRAČUNATIM I UPLAĆENIM VODNIM NAKNADAMA</t>
  </si>
  <si>
    <t>OBRAZAC  "OVN"</t>
  </si>
  <si>
    <t>poljoprivrednog, građevinskog ili šumskog zemljišta</t>
  </si>
  <si>
    <t>OBRAZAC OVN   Vodne naknade</t>
  </si>
  <si>
    <t>Dobici od prodaje investicijskih nekretnina</t>
  </si>
  <si>
    <t>Dobici od prodaje bioloških sredstava</t>
  </si>
  <si>
    <t>Dobici od prodaje sredstava namijenjenih prodaji i obustavlj.poslovanja</t>
  </si>
  <si>
    <t>Dobici od prodaje učešća u kapitalu i vrijednosnih papira</t>
  </si>
  <si>
    <t>Dobici od prodaje materijala</t>
  </si>
  <si>
    <t>Viškovi</t>
  </si>
  <si>
    <t>Naplaćena otpisana potraživanja</t>
  </si>
  <si>
    <t>Prihodi po osnovu ugovorene zaštite od rizika</t>
  </si>
  <si>
    <t>Otpis obaveza, ukinuta rezervisanja i ostali prihodi</t>
  </si>
  <si>
    <t>Prihodi od usklađivanja vrijednosti nematerijalnih sredstava</t>
  </si>
  <si>
    <t>Prihodi od usklađivanja vrijednosti materijalnih sredstava</t>
  </si>
  <si>
    <t>Prihodi od usklađivanja vrijednosti investicijskih nekretnina</t>
  </si>
  <si>
    <t>Prihodi od usklađivanja vrijednsoti bioloških sredstava za koja se obr.amort</t>
  </si>
  <si>
    <t>Prihodi od usklađivanja vrijedn.dugor.finans.plasmana i finans. Sr.rasp.za pro</t>
  </si>
  <si>
    <t>a)   Prihodi od prodaje robe povezanim pravnim licima</t>
  </si>
  <si>
    <t>b)  Prihodi od prodaje robe na domaćem tržištu</t>
  </si>
  <si>
    <t>c)  Prihodi od prodaje robe na stranom tržištu</t>
  </si>
  <si>
    <t>2.  Prihodi od prodaje učinaka  (207 do 209)</t>
  </si>
  <si>
    <t>a) Prihodi od prodaje učinaka povezanim pravnim licima</t>
  </si>
  <si>
    <t>b)  Prihodi od prodaje učinaka na domaćem tržištu</t>
  </si>
  <si>
    <t>c) Prihodi od prodaje učinaka na stranom tržištu</t>
  </si>
  <si>
    <t>3.  Prihodi od aktiviranja ili potrošnje robe i učinaka</t>
  </si>
  <si>
    <t>65</t>
  </si>
  <si>
    <t>4.  Ostali prihodi</t>
  </si>
  <si>
    <r>
      <t xml:space="preserve">Poslovni rashodi  </t>
    </r>
    <r>
      <rPr>
        <sz val="10"/>
        <rFont val="Times New Roman"/>
        <family val="1"/>
        <charset val="238"/>
      </rPr>
      <t>(213+214+215+219+220+221+222-223+224)</t>
    </r>
  </si>
  <si>
    <t>1.  Nabavna vrijednost prodate robe</t>
  </si>
  <si>
    <t>2.  Materijalni troškovi</t>
  </si>
  <si>
    <t>3. Troškovi plaća i ostalih ličnih primanja (216 do 218)</t>
  </si>
  <si>
    <t>520,521</t>
  </si>
  <si>
    <t>a) Troškovi plaća i naknada plaća zaposlenima</t>
  </si>
  <si>
    <t>523,524</t>
  </si>
  <si>
    <t>b) Troškovi primanja, naknada i prava zaposlenih</t>
  </si>
  <si>
    <t>527,529</t>
  </si>
  <si>
    <t>c) Troškovi naknada ostalim fizičkim licima</t>
  </si>
  <si>
    <t>4. Troškovi proizvodnih usluga</t>
  </si>
  <si>
    <t>540 do 542</t>
  </si>
  <si>
    <t>5. Amortizacija</t>
  </si>
  <si>
    <t>543 do 549</t>
  </si>
  <si>
    <t>6. Troškovi rezervisanja</t>
  </si>
  <si>
    <t>7. Nematerijalni troškovi</t>
  </si>
  <si>
    <t>poveć.11 i 12, ili 595</t>
  </si>
  <si>
    <t>Povećanja vrijednosti zaliha učinaka</t>
  </si>
  <si>
    <t>smanj.11 i 12, ili 596</t>
  </si>
  <si>
    <t>Smanjenje vrijednosti zaliha učinaka</t>
  </si>
  <si>
    <r>
      <t xml:space="preserve">Gubitak od poslovnih aktivnosti  </t>
    </r>
    <r>
      <rPr>
        <sz val="10"/>
        <rFont val="Times New Roman"/>
        <family val="1"/>
        <charset val="238"/>
      </rPr>
      <t>(212-201)</t>
    </r>
  </si>
  <si>
    <r>
      <t xml:space="preserve">Dobit od poslovnih aktivnosti  </t>
    </r>
    <r>
      <rPr>
        <sz val="10"/>
        <rFont val="Times New Roman"/>
        <family val="1"/>
        <charset val="238"/>
      </rPr>
      <t>(201-212)</t>
    </r>
  </si>
  <si>
    <t>FINANSIJSKI PRIHODI I RASHODI</t>
  </si>
  <si>
    <t>inostranih investitora</t>
  </si>
  <si>
    <r>
      <t xml:space="preserve">iskorišteni finansijski krediti </t>
    </r>
    <r>
      <rPr>
        <sz val="8"/>
        <rFont val="Times New Roman CE"/>
        <family val="1"/>
        <charset val="238"/>
      </rPr>
      <t>4)</t>
    </r>
  </si>
  <si>
    <t>domaćih banaka</t>
  </si>
  <si>
    <t>stranih kreditora</t>
  </si>
  <si>
    <t>8</t>
  </si>
  <si>
    <t>Oblik vlasništva-upisati odgovoarajuću šifru vlasništva:državno-0; društveno-1; privatno-2; zadružno-3; mješovito-4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</si>
  <si>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</si>
  <si>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</si>
  <si>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</si>
  <si>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</si>
  <si>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</si>
  <si>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</si>
  <si>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</si>
  <si>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</si>
  <si>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</si>
  <si>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</si>
  <si>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</si>
  <si>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</si>
  <si>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</si>
  <si>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</si>
  <si>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</si>
  <si>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</si>
  <si>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</si>
  <si>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</si>
  <si>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</si>
  <si>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</si>
  <si>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</si>
  <si>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</si>
  <si>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</si>
  <si>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</si>
  <si>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</si>
  <si>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</si>
  <si>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</si>
  <si>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</si>
  <si>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</si>
  <si>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</si>
  <si>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</si>
  <si>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</si>
  <si>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</si>
  <si>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</si>
  <si>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</si>
  <si>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</si>
  <si>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Index</t>
  </si>
  <si>
    <t>Ostala stalna materijalna sredstva</t>
  </si>
  <si>
    <t>Pasiva</t>
  </si>
  <si>
    <t>Dugoročna rezervisanja (razgraničenja) i odložene porezne obaveze</t>
  </si>
  <si>
    <t>Obaveze za PDV - Izlazni porez na dodanu vrijednost</t>
  </si>
  <si>
    <t>Pokazatelji  zaduženosti</t>
  </si>
  <si>
    <t>Koeficijent zaduženosti = Ukupne obaveze  /  Ukupna imovina</t>
  </si>
  <si>
    <t>Ukupne obaveze</t>
  </si>
  <si>
    <t>Ukupna imovina</t>
  </si>
  <si>
    <t>Koeficijent vlastitog finansiranja = Vlastiti kapital / Ukupna imovina</t>
  </si>
  <si>
    <t>Vlastiti kapital</t>
  </si>
  <si>
    <t>Koeficijent finansiranja = Ukupne obaveze / Vlastiti kapital</t>
  </si>
  <si>
    <t>Stupanj pokrića I = Vlastiti kapital / Dugotrajna imovina</t>
  </si>
  <si>
    <t>Stupanj pokrića II = Vlastiti kapital + Gugoročne obaveze / Dugotrajna imovina</t>
  </si>
  <si>
    <t>Vlastiti kapital + Dugoročne obaveze</t>
  </si>
  <si>
    <t>Pokazatelji ekonomičnosti</t>
  </si>
  <si>
    <t>Ukupni Prihodi</t>
  </si>
  <si>
    <t>Ukupni rashodi</t>
  </si>
  <si>
    <t>Ekonomičnost finansiranja = Finansijskli prihodi / Finansijski rashodi</t>
  </si>
  <si>
    <t>Finansijski prihodi</t>
  </si>
  <si>
    <t>Ekonomičnost poslovanja = Poslovni prihodi / Poslovni rashodi</t>
  </si>
  <si>
    <t>Koeficijent ekonomičnosti = Ukupni prihodi / Ukupni rashodi</t>
  </si>
  <si>
    <t>Pokazatelji aktivnosti</t>
  </si>
  <si>
    <t>Ukupni prihodi</t>
  </si>
  <si>
    <t>Koeficijent obrta ukupne imovine = Ukupni  prihodi / Ukupna imovina</t>
  </si>
  <si>
    <t>Koeficijent obrta kratkotrajne imovine = Ukupni  prihodi / Kratkotrajna imovina</t>
  </si>
  <si>
    <t>Kratkoročna potraživanja</t>
  </si>
  <si>
    <t>Koeficijent obrta potraživanja = Prihodi od prodaje  / Kratkoročna potraživanja</t>
  </si>
  <si>
    <t>Broj licence:</t>
  </si>
  <si>
    <t>Ostali prihodi i dobici</t>
  </si>
  <si>
    <t>Dobici i prihodi iz osnova usklađivanja vrijednosti sredstava</t>
  </si>
  <si>
    <t>Gubici i rashodi iz osnova umanjenja vrijednosti sredstava</t>
  </si>
  <si>
    <t>Obratiti pažnju na podatak o povećanju i smanjenju zaliha ako imate proizvodnju jer istu svako vodi na svoj način te podatak nemora biti automatski tačan preuzet</t>
  </si>
  <si>
    <t>Pažnja!!!!!!!!!!!!!!!!</t>
  </si>
  <si>
    <t>Ovdje unijeti broj radnika</t>
  </si>
  <si>
    <t>Obrazac  - ANEKS Dodatni računovodstveni izvještaj</t>
  </si>
  <si>
    <t>ANEKS - Dodatni računovodstveni izvještaj</t>
  </si>
  <si>
    <t>Redni broj</t>
  </si>
  <si>
    <t>Grupa konta,                      konto</t>
  </si>
  <si>
    <t>od toga:</t>
  </si>
  <si>
    <t>dio 650</t>
  </si>
  <si>
    <t>Prihodi iz budžeta po osnovu subvencija na proizvode</t>
  </si>
  <si>
    <t>Prihodi iz budžeta po osnovu subvencija za ostale namjene</t>
  </si>
  <si>
    <t>Prihodi od zakupa (operativni najam)</t>
  </si>
  <si>
    <t>Plaće i naknade plaća (neto za isplatu zaposlenima)</t>
  </si>
  <si>
    <t>Doprinosi iz plaća i naknada plaća</t>
  </si>
  <si>
    <t>dio 520 i 521</t>
  </si>
  <si>
    <t>dio 520 i 522</t>
  </si>
  <si>
    <t>dio 520 i 523</t>
  </si>
  <si>
    <t>- Dnevnice za službena putovanja u zemlji i inostranstvu</t>
  </si>
  <si>
    <t>dio 523</t>
  </si>
  <si>
    <t>Troškovi ostalih primanja, naknada i materijalnih prava zaposlenih</t>
  </si>
  <si>
    <t>TROŠKOVI PROIZVODNIH USLUGA (18+19+20+21+22+23+24+25+26)</t>
  </si>
  <si>
    <t>Troškovi  razvoja koji se ne kapitaliziraju</t>
  </si>
  <si>
    <t>NEMATERIJALNI TROŠKOVI (28+29+30+31+32+33+34+35)</t>
  </si>
  <si>
    <t>Troškovi  poštaniskih i telekomunikacijskih usluga</t>
  </si>
  <si>
    <t>Troškovi poreza, naknadam taksi i dr. Dadžbina na teret pravnih lica</t>
  </si>
  <si>
    <t>Troškovi članskih doprinosa i sl. Obaveza</t>
  </si>
  <si>
    <t>Ostali nematerijalni troškovi</t>
  </si>
  <si>
    <t>- Naknade za rad članova učeničkih, omladinskih i studentskih zadruga</t>
  </si>
  <si>
    <t>Kalo, rastur, kvar i lom materijala i robe</t>
  </si>
  <si>
    <t>Potraživanja za PDV (dugovni promet grupe 27)</t>
  </si>
  <si>
    <t>Obaveze za PDV (potražni promet grupe 47)</t>
  </si>
  <si>
    <t>dio 559</t>
  </si>
  <si>
    <t>dio 579</t>
  </si>
  <si>
    <t>27 osim 279</t>
  </si>
  <si>
    <t>47 osim 479</t>
  </si>
  <si>
    <t>1.  Prihodi od premija, subvencija, poticaja i sl.</t>
  </si>
  <si>
    <t>* Prihodi iz budžeta po osnovu subvencija na proizvode</t>
  </si>
  <si>
    <t>* Prihodi iz budžeta po osnovu subvencija za ostale namjene</t>
  </si>
  <si>
    <t>10.  Plaće i naknade plaća  (neto za isplatu zaposlenima)</t>
  </si>
  <si>
    <t>11.  Porez na dohodak</t>
  </si>
  <si>
    <t>12.  Doprinosi iz plaća i naknada plaća</t>
  </si>
  <si>
    <t>13.  Doprinosi na plaće i naknade plaća</t>
  </si>
  <si>
    <t>dio 520 i 524</t>
  </si>
  <si>
    <t>14.  Troškovi službenih putovanja zaposlenih</t>
  </si>
  <si>
    <t>15.  Dnevnice za službena putovanja u zemlji i inostranstvu</t>
  </si>
  <si>
    <t>35. Ostali nematerijalni troškovi</t>
  </si>
  <si>
    <t>36. Nakn.za rad članova učeničkih, omlad.i student.zadruga</t>
  </si>
  <si>
    <t>37.  Kalo, rastur, kvar i lom materijala i robe</t>
  </si>
  <si>
    <t>38. Potraživanje za PDV</t>
  </si>
  <si>
    <t>(Unosi se dugovni promet grupe 27 osim konta 279)</t>
  </si>
  <si>
    <t>39.  Obaveze za PDV</t>
  </si>
  <si>
    <t>(Unosi se potražni promet grupe 47 osim konta 479)</t>
  </si>
  <si>
    <t>Popuniti ručno ako neki podatak ima a nije popunjen automatski</t>
  </si>
  <si>
    <t>40. Obračunati poseban porez - akcize</t>
  </si>
  <si>
    <t>"Službene novine Federacije BiH"br.63/03 i 9/09</t>
  </si>
  <si>
    <t>1) Naziv poslovnog subjekta</t>
  </si>
  <si>
    <t>2) Identifikacijski broj poslovnog subjekta</t>
  </si>
  <si>
    <t>3) Kanton</t>
  </si>
  <si>
    <t xml:space="preserve">  Ulica i broj</t>
  </si>
  <si>
    <t>Telefon</t>
  </si>
  <si>
    <t xml:space="preserve">4) Djelatnost prema KD BiH (2006. godina) </t>
  </si>
  <si>
    <t>5) Djelatnost prema KD BiH 2010</t>
  </si>
  <si>
    <t>Isplaćeno za investicije po izvodima u 2011. godini</t>
  </si>
  <si>
    <t>KANTON</t>
  </si>
  <si>
    <t>Unsko Sanski</t>
  </si>
  <si>
    <t>Djelatnost po NOVOM KD 2010</t>
  </si>
  <si>
    <t>"Službene novine Federacije BiH" br.63/03 I 9/09</t>
  </si>
  <si>
    <t>Tabela  1. PRIHODI, TROŠKOVI I RASHODI</t>
  </si>
  <si>
    <t>Grupa/Konto</t>
  </si>
  <si>
    <r>
      <t xml:space="preserve">UKUPNI PRIHODI OBRAČUNSKOG PERIODA                                                                                  </t>
    </r>
    <r>
      <rPr>
        <sz val="8"/>
        <rFont val="Times New Roman CE"/>
        <charset val="238"/>
      </rPr>
      <t>(2+21-22+23+24+26+28+29)</t>
    </r>
  </si>
  <si>
    <t>POSLOVNI PRIHODI (3+4+5+6+7+8+9+10+11)</t>
  </si>
  <si>
    <t>60,61,62,65</t>
  </si>
  <si>
    <t>Prihodi od prodaje robe povezanim pravnim  licima</t>
  </si>
  <si>
    <t>Prihodi od prodaje učinaka povezanim pravnim licima</t>
  </si>
  <si>
    <t>Ostali poslovni prihodi (12+15+16+17+18+19+20)</t>
  </si>
  <si>
    <t>Prihodi od premija, subvencija, poticaja i sl.                                                                                           Od toga:</t>
  </si>
  <si>
    <r>
      <t xml:space="preserve">* Prihodi iz budžeta po osnovu subvencija na proizvode  </t>
    </r>
    <r>
      <rPr>
        <vertAlign val="superscript"/>
        <sz val="9"/>
        <rFont val="Times New Roman CE"/>
        <charset val="238"/>
      </rPr>
      <t>1)</t>
    </r>
  </si>
  <si>
    <r>
      <t xml:space="preserve">* Prihodi iz budžeta po osnovu subvencija za ostale namjene  </t>
    </r>
    <r>
      <rPr>
        <vertAlign val="superscript"/>
        <sz val="9"/>
        <rFont val="Times New Roman CE"/>
        <charset val="238"/>
      </rPr>
      <t>2)</t>
    </r>
  </si>
  <si>
    <t>Povećanje vrijednosti specifičnih stalnih sredstava</t>
  </si>
  <si>
    <t>640,641 i 642</t>
  </si>
  <si>
    <t>643,642 i 645</t>
  </si>
  <si>
    <t>Smanjenje vrijednosti sšecifičnih stalnih sredstava</t>
  </si>
  <si>
    <t>FINANSISJKI PRIHODI</t>
  </si>
  <si>
    <t>OSTALI PRIHODI I DOBICI                                                                           od toga:</t>
  </si>
  <si>
    <t>* Prihodi od prodaje materijala</t>
  </si>
  <si>
    <t>PRIHODI IZ OSNOVA USKLAĐIVANJA VRIJEDNOSTI SREDSTAVA  od toga:</t>
  </si>
  <si>
    <t>* Prihodi od usklađivanja vrijednsoti zaliha</t>
  </si>
  <si>
    <t>Prihodi iz osnova promjene računovodstvenih politika</t>
  </si>
  <si>
    <t>1)  Prikazati subvencije koje se mogu iskazati po jedinici proizvoda ili usluge, subvencije za izvoz ili određivanje nivoa prodajne cijene</t>
  </si>
  <si>
    <t>2) Prikazati subvencije koje se ne mogu iskazati po jedinici proizvoda ili usluge, kao što su subvencije za plate i naknade, kamatne stope</t>
  </si>
  <si>
    <t xml:space="preserve">     smanjenje zagađenosti okoline i sl.</t>
  </si>
  <si>
    <t>(31+67+68+71+73+74)</t>
  </si>
  <si>
    <t>POSLOVNI RASHODI  (32+33+34+44+54+57-75+76)</t>
  </si>
  <si>
    <t>Materijalni troškovi</t>
  </si>
  <si>
    <t>Troškovi zaposlenih (35+36+37+38+39+41+42+43)</t>
  </si>
  <si>
    <r>
      <t>Plaće i naknade plaća (neto za ispaltu zaposlenima)</t>
    </r>
    <r>
      <rPr>
        <vertAlign val="superscript"/>
        <sz val="10"/>
        <rFont val="Times New Roman CE"/>
        <charset val="238"/>
      </rPr>
      <t xml:space="preserve"> 3)</t>
    </r>
  </si>
  <si>
    <t>Doprinosi na plaće i nakande plaća</t>
  </si>
  <si>
    <t>Troškovi službenih putovanja zaposlenih                                                                          od toga:</t>
  </si>
  <si>
    <t>* Dnevnice za službena putovanja u zemlji i inostranstvu</t>
  </si>
  <si>
    <t>Troškovi  ostalih primanja, naknada i materijalnih prava zaposlenih</t>
  </si>
  <si>
    <t>Troškovi naknada članovima odbora, komisija i sl.</t>
  </si>
  <si>
    <t>Troškovi ostalim fizičkim licima</t>
  </si>
  <si>
    <t>Troškovi proizvodnih usluga   ( 45 do 53 )</t>
  </si>
  <si>
    <t>Amortizacija i troškovi rezervisanja  ( 55 + 56 )</t>
  </si>
  <si>
    <t>Treoškovi rezervisanja</t>
  </si>
  <si>
    <t>540,541 i 542</t>
  </si>
  <si>
    <t>od 543 do 549</t>
  </si>
  <si>
    <t>Nematerijalni troškovi  ( 58 do 65 )</t>
  </si>
  <si>
    <t>Ostali nematerijalni troškovi                                                                                              od toga:</t>
  </si>
  <si>
    <t>* Naknade za rad članova učeničkih, omladinskih i studentskih zadruga</t>
  </si>
  <si>
    <t>67.</t>
  </si>
  <si>
    <t>FINANSIJSKIH RASHODI</t>
  </si>
  <si>
    <t>68.</t>
  </si>
  <si>
    <t>OSTALI RASHODI I GUBICI                                                                                          od toga:</t>
  </si>
  <si>
    <t>57</t>
  </si>
  <si>
    <t>69.</t>
  </si>
  <si>
    <t>* Gubici  (rashodi) od prodaje materijala</t>
  </si>
  <si>
    <t>70.</t>
  </si>
  <si>
    <t>71.</t>
  </si>
  <si>
    <t>72.</t>
  </si>
  <si>
    <t>73.</t>
  </si>
  <si>
    <t>74.</t>
  </si>
  <si>
    <t>75.</t>
  </si>
  <si>
    <t>76.</t>
  </si>
  <si>
    <t>* Kalo, rastur, kvar i lom materiajla i robe</t>
  </si>
  <si>
    <t>RASHODI IZ OSNOVA UMANJENJA VRIJEDNSTI SREDSTAVA                         od toga:</t>
  </si>
  <si>
    <t>58</t>
  </si>
  <si>
    <t>* Umanjenje vrijednsoti zaliha</t>
  </si>
  <si>
    <t>Rashodi iz osnova promjene računovodstvenih politika</t>
  </si>
  <si>
    <t>Rashodi iz osnova ispravki grešaka iz ranijih godina</t>
  </si>
  <si>
    <t>Povećanje vrijednosti zaliha učinaka</t>
  </si>
  <si>
    <t>Strana 2.</t>
  </si>
  <si>
    <t>Stalna sredstva i sredstva obustavljenog poslovanja namijenjena prodaji</t>
  </si>
  <si>
    <r>
      <t>Potraživanja za  PDV</t>
    </r>
    <r>
      <rPr>
        <vertAlign val="superscript"/>
        <sz val="10"/>
        <rFont val="Times New Roman CE"/>
        <charset val="238"/>
      </rPr>
      <t xml:space="preserve"> 4)  </t>
    </r>
    <r>
      <rPr>
        <sz val="10"/>
        <rFont val="Times New Roman CE"/>
        <charset val="238"/>
      </rPr>
      <t>(dugovni promet konta 27)</t>
    </r>
  </si>
  <si>
    <r>
      <t>Obaveze za PDV 5</t>
    </r>
    <r>
      <rPr>
        <vertAlign val="superscript"/>
        <sz val="10"/>
        <rFont val="Times New Roman CE"/>
        <charset val="238"/>
      </rPr>
      <t xml:space="preserve">) </t>
    </r>
    <r>
      <rPr>
        <sz val="10"/>
        <rFont val="Arial"/>
        <family val="2"/>
        <charset val="238"/>
      </rPr>
      <t xml:space="preserve">  </t>
    </r>
    <r>
      <rPr>
        <sz val="8"/>
        <rFont val="Arial"/>
        <family val="2"/>
        <charset val="238"/>
      </rPr>
      <t>(potražni promet konta 47)</t>
    </r>
  </si>
  <si>
    <t xml:space="preserve">  Carina na trgovačku robu     dio   482  konta</t>
  </si>
  <si>
    <t>Carina na sirovine i materijal rez.djel.i inventar    dio 482 kont</t>
  </si>
  <si>
    <t>dio 482</t>
  </si>
  <si>
    <t>Prikazati dugovni promet konta 27 izuzev konta 279  (obračunati ulazni PDV za period 01.01.-31.12.2011. godine).</t>
  </si>
  <si>
    <t>Prikazati potražni promet konta 47 izuzev konta 479  (obračunati izlazni PDV za period 01.01.-31.12.2011. godine).</t>
  </si>
  <si>
    <t>Hercegovini. Ukoliko izvještaja jedinica još uvijek nije izvršila usklađivanje sa KD BiH 2010 i dobila obavještenje o</t>
  </si>
  <si>
    <t>razvrstavanju, upućujemo vas na KD BiH 2010 i Tablicu veza prethodne KD sa KD BiH 2010 (raspoloživo na www.fzs.ba) da</t>
  </si>
  <si>
    <t>biste mogli popuniti dio identifikacionih podataka koji se odnosi na djelatnost prema KD BiH 2010.</t>
  </si>
  <si>
    <r>
      <t xml:space="preserve">broj, djelatnost, sjedište i adresu).  </t>
    </r>
    <r>
      <rPr>
        <b/>
        <sz val="10"/>
        <rFont val="Times New Roman CE"/>
        <charset val="238"/>
      </rPr>
      <t>Od 01.01.2011. godine u primjeni je Klasifikacija djelatnosti BiH 2010 (KD BiH 2010) u Bosni i</t>
    </r>
  </si>
  <si>
    <t>Popunjavanje tabela (1 do 3) se vrši prenošenjem podataka iz knjigovodstvene dokunentacije na odgovarajuće pozicije</t>
  </si>
  <si>
    <t>. GODINU</t>
  </si>
  <si>
    <t xml:space="preserve">iskazan u poreznom bilansu i poreznoj prijavi za 2011. godinu u iznosu od </t>
  </si>
  <si>
    <t>Stanje konta investicija 015 i 025 Na početku godine</t>
  </si>
  <si>
    <t>malih</t>
  </si>
  <si>
    <t>Bilješke uz finansijske izvještaje........................</t>
  </si>
  <si>
    <t xml:space="preserve">Kada je ovdje napisano GRESKA NA KAPITALU TADA TREBA PREKNJIZITI NA </t>
  </si>
  <si>
    <t>GUBITAK IZNAD VISINE KAPITALA KONTO 290 GLAVNE KNJIGE</t>
  </si>
  <si>
    <t>1.1.</t>
  </si>
  <si>
    <t>31.12.</t>
  </si>
  <si>
    <t>2011</t>
  </si>
  <si>
    <t>28.2.2012.</t>
  </si>
</sst>
</file>

<file path=xl/styles.xml><?xml version="1.0" encoding="utf-8"?>
<styleSheet xmlns="http://schemas.openxmlformats.org/spreadsheetml/2006/main">
  <numFmts count="26"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??_);_(@_)"/>
    <numFmt numFmtId="167" formatCode="_-* #,##0_-;\-* #,##0_-;_-* &quot;-&quot;??_-;_-@_-"/>
    <numFmt numFmtId="168" formatCode="_(* #,##0_);_(* \(#,##0\);_(* &quot;-&quot;??_);_(@_)"/>
    <numFmt numFmtId="169" formatCode="_(* #,##0_);_(* \(#,##0\);_(* &quot;&quot;??_);_(@_)"/>
    <numFmt numFmtId="170" formatCode="00000"/>
    <numFmt numFmtId="171" formatCode="_(#,##0_);_(\ \(#,##0\);_(\ &quot;  &quot;??_);_(@_)"/>
    <numFmt numFmtId="172" formatCode="_(* #,##0_);_(* \(#,##0\);_(* &quot;0&quot;??_);_(@_)"/>
    <numFmt numFmtId="173" formatCode="_(* #,##0.0_);_(* \(#,##0.0\);_(* &quot;-&quot;??_);_(@_)"/>
    <numFmt numFmtId="174" formatCode="_(* #,##0.0_);_(* \(#,##0.0\);_(* &quot; &quot;??_);_(@_)"/>
    <numFmt numFmtId="175" formatCode="_(* #,##0.0_);_(* \(#,##0.0\);_(* &quot;   &quot;??_);_(@_)"/>
    <numFmt numFmtId="176" formatCode="_(* #,##0_);_(* \(#,##0\);_(* &quot;  &quot;??_);_(@_)"/>
    <numFmt numFmtId="177" formatCode="_(* #,##0_);_(* \(#,##0\);_(* &quot;- &quot;??_);_(@_)"/>
    <numFmt numFmtId="178" formatCode="_(* #,##0_);_(* \(#,##0\);_(* &quot;0 &quot;??_);_(@_)"/>
    <numFmt numFmtId="179" formatCode="_(* #,##0.00_);_(* \(#,##0.00\);_(* &quot;0,00&quot;??_);_(@_)"/>
    <numFmt numFmtId="180" formatCode="_-\ #,##0_-;\-\ #,##0_-;_-\ &quot;0&quot;??_-;_-@_-"/>
    <numFmt numFmtId="181" formatCode="_(* #,##0_);_(* \(#,##0\);_(* &quot; 0&quot;_);_(@_)"/>
    <numFmt numFmtId="182" formatCode="_(* \-#,##0_);_(* \(\-#,##0\);_(* &quot;GREŠKA &quot;??_);_(@_)"/>
    <numFmt numFmtId="183" formatCode="_(* #,##0.00_);_(* \(#,##0.00\);_(* &quot;0 &quot;??_);_(@_)"/>
    <numFmt numFmtId="184" formatCode="_(* #,##0.00_);_(* \(#,##0.00\);_(* &quot;0&quot;??_);_(@_)"/>
    <numFmt numFmtId="185" formatCode="_-* #,##0_-;\-* #,##0_-;_-* &quot;0&quot;_-;_-@_-"/>
    <numFmt numFmtId="186" formatCode="_(* #,##0_);_(* \(#,##0\);_(* &quot;0&quot;_);_(@_)"/>
    <numFmt numFmtId="187" formatCode="_(* #,##0_);_(* \(#,##0\);_(* &quot;GREŠKA &quot;??_);_(@_)"/>
    <numFmt numFmtId="188" formatCode="_(* #,##0_);_(* \(#,##0\);_(* &quot;   &quot;_);_(@_)"/>
    <numFmt numFmtId="189" formatCode="0.00000"/>
  </numFmts>
  <fonts count="153">
    <font>
      <sz val="10"/>
      <name val="Arial"/>
      <charset val="238"/>
    </font>
    <font>
      <sz val="10"/>
      <name val="Arial"/>
      <family val="2"/>
      <charset val="238"/>
    </font>
    <font>
      <sz val="10"/>
      <name val="Times New Roman CE"/>
      <family val="1"/>
      <charset val="238"/>
    </font>
    <font>
      <b/>
      <sz val="10"/>
      <name val="Times New Roman CE"/>
      <family val="1"/>
      <charset val="238"/>
    </font>
    <font>
      <sz val="12"/>
      <name val="Times New Roman CE"/>
      <family val="1"/>
      <charset val="238"/>
    </font>
    <font>
      <b/>
      <sz val="12"/>
      <name val="Times New Roman CE"/>
      <family val="1"/>
      <charset val="238"/>
    </font>
    <font>
      <i/>
      <sz val="10"/>
      <name val="Times New Roman CE"/>
      <family val="1"/>
      <charset val="238"/>
    </font>
    <font>
      <sz val="8"/>
      <name val="Times New Roman CE"/>
      <family val="1"/>
      <charset val="238"/>
    </font>
    <font>
      <b/>
      <sz val="8"/>
      <name val="Times New Roman CE"/>
      <family val="1"/>
      <charset val="238"/>
    </font>
    <font>
      <b/>
      <i/>
      <sz val="10"/>
      <name val="Times New Roman CE"/>
      <family val="1"/>
      <charset val="238"/>
    </font>
    <font>
      <sz val="11"/>
      <name val="Times New Roman CE"/>
      <family val="1"/>
      <charset val="238"/>
    </font>
    <font>
      <sz val="9"/>
      <name val="Times New Roman CE"/>
      <family val="1"/>
      <charset val="238"/>
    </font>
    <font>
      <b/>
      <sz val="11"/>
      <name val="Times New Roman CE"/>
      <family val="1"/>
      <charset val="238"/>
    </font>
    <font>
      <b/>
      <sz val="10"/>
      <name val="Arial"/>
      <family val="2"/>
      <charset val="238"/>
    </font>
    <font>
      <sz val="7"/>
      <name val="Times New Roman CE"/>
      <family val="1"/>
      <charset val="238"/>
    </font>
    <font>
      <b/>
      <sz val="14"/>
      <name val="Times New Roman CE"/>
      <family val="1"/>
      <charset val="238"/>
    </font>
    <font>
      <vertAlign val="superscript"/>
      <sz val="10"/>
      <name val="Times New Roman CE"/>
      <family val="1"/>
      <charset val="238"/>
    </font>
    <font>
      <b/>
      <sz val="10"/>
      <color indexed="10"/>
      <name val="Arial"/>
      <family val="2"/>
      <charset val="238"/>
    </font>
    <font>
      <b/>
      <sz val="8"/>
      <color indexed="10"/>
      <name val="Arial"/>
      <family val="2"/>
      <charset val="238"/>
    </font>
    <font>
      <b/>
      <sz val="10"/>
      <color indexed="12"/>
      <name val="Times New Roman CE"/>
      <family val="1"/>
      <charset val="238"/>
    </font>
    <font>
      <b/>
      <sz val="8"/>
      <color indexed="10"/>
      <name val="Times New Roman CE"/>
      <family val="1"/>
      <charset val="238"/>
    </font>
    <font>
      <b/>
      <sz val="9"/>
      <name val="Times New Roman CE"/>
      <family val="1"/>
      <charset val="238"/>
    </font>
    <font>
      <b/>
      <sz val="22"/>
      <color indexed="10"/>
      <name val="Arial"/>
      <family val="2"/>
      <charset val="238"/>
    </font>
    <font>
      <vertAlign val="superscript"/>
      <sz val="12"/>
      <name val="Times New Roman CE"/>
      <family val="1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i/>
      <sz val="8"/>
      <name val="Times New Roman CE"/>
      <family val="1"/>
      <charset val="238"/>
    </font>
    <font>
      <b/>
      <sz val="16"/>
      <color indexed="10"/>
      <name val="Times New Roman CE"/>
      <family val="1"/>
      <charset val="238"/>
    </font>
    <font>
      <b/>
      <sz val="16"/>
      <color indexed="10"/>
      <name val="Arial"/>
      <family val="2"/>
      <charset val="238"/>
    </font>
    <font>
      <sz val="14"/>
      <name val="Times New Roman CE"/>
      <family val="1"/>
      <charset val="238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14"/>
      <color indexed="10"/>
      <name val="Arial"/>
      <family val="2"/>
    </font>
    <font>
      <b/>
      <sz val="12"/>
      <color indexed="14"/>
      <name val="Arial"/>
      <family val="2"/>
    </font>
    <font>
      <b/>
      <sz val="10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8"/>
      <name val="Arial"/>
      <family val="2"/>
      <charset val="238"/>
    </font>
    <font>
      <b/>
      <sz val="10"/>
      <color indexed="14"/>
      <name val="Arial"/>
      <family val="2"/>
      <charset val="238"/>
    </font>
    <font>
      <b/>
      <sz val="9"/>
      <name val="Arial"/>
      <family val="2"/>
      <charset val="238"/>
    </font>
    <font>
      <b/>
      <sz val="12"/>
      <name val="Arial"/>
      <family val="2"/>
    </font>
    <font>
      <b/>
      <sz val="10"/>
      <color indexed="14"/>
      <name val="Arial"/>
      <family val="2"/>
      <charset val="238"/>
    </font>
    <font>
      <b/>
      <sz val="18"/>
      <color indexed="10"/>
      <name val="Arial"/>
      <family val="2"/>
      <charset val="238"/>
    </font>
    <font>
      <b/>
      <sz val="14"/>
      <color indexed="10"/>
      <name val="Arial"/>
      <family val="2"/>
      <charset val="238"/>
    </font>
    <font>
      <b/>
      <sz val="14"/>
      <name val="Arial"/>
      <family val="2"/>
      <charset val="238"/>
    </font>
    <font>
      <b/>
      <sz val="11"/>
      <color indexed="14"/>
      <name val="Arial"/>
      <family val="2"/>
    </font>
    <font>
      <b/>
      <sz val="10"/>
      <color indexed="8"/>
      <name val="Arial"/>
      <family val="2"/>
      <charset val="238"/>
    </font>
    <font>
      <sz val="10"/>
      <color indexed="10"/>
      <name val="Arial"/>
      <family val="2"/>
      <charset val="238"/>
    </font>
    <font>
      <b/>
      <sz val="14"/>
      <color indexed="12"/>
      <name val="Arial"/>
      <family val="2"/>
      <charset val="238"/>
    </font>
    <font>
      <vertAlign val="superscript"/>
      <sz val="9"/>
      <name val="Times New Roman CE"/>
      <charset val="238"/>
    </font>
    <font>
      <vertAlign val="superscript"/>
      <sz val="10"/>
      <name val="Times New Roman CE"/>
      <charset val="238"/>
    </font>
    <font>
      <b/>
      <sz val="10"/>
      <color indexed="10"/>
      <name val="Times New Roman CE"/>
      <charset val="238"/>
    </font>
    <font>
      <sz val="8"/>
      <name val="Times New Roman CE"/>
      <charset val="238"/>
    </font>
    <font>
      <b/>
      <sz val="9"/>
      <name val="Times New Roman CE"/>
      <charset val="238"/>
    </font>
    <font>
      <b/>
      <sz val="8"/>
      <name val="Times New Roman CE"/>
      <charset val="238"/>
    </font>
    <font>
      <b/>
      <sz val="10"/>
      <name val="Times New Roman CE"/>
      <charset val="238"/>
    </font>
    <font>
      <sz val="9"/>
      <name val="Times New Roman CE"/>
      <charset val="238"/>
    </font>
    <font>
      <sz val="6"/>
      <name val="Times New Roman CE"/>
      <family val="1"/>
      <charset val="238"/>
    </font>
    <font>
      <sz val="8"/>
      <name val="Arial"/>
      <family val="2"/>
      <charset val="238"/>
    </font>
    <font>
      <b/>
      <sz val="14"/>
      <color indexed="10"/>
      <name val="Times New Roman CE"/>
      <charset val="238"/>
    </font>
    <font>
      <b/>
      <sz val="10"/>
      <color indexed="12"/>
      <name val="Times New Roman CE"/>
      <charset val="238"/>
    </font>
    <font>
      <b/>
      <sz val="8"/>
      <color indexed="10"/>
      <name val="Times New Roman CE"/>
      <charset val="238"/>
    </font>
    <font>
      <b/>
      <sz val="14"/>
      <color indexed="12"/>
      <name val="Times New Roman CE"/>
      <charset val="238"/>
    </font>
    <font>
      <b/>
      <sz val="12"/>
      <name val="Times New Roman CE"/>
      <charset val="238"/>
    </font>
    <font>
      <sz val="10"/>
      <name val="Times New Roman CE"/>
      <charset val="238"/>
    </font>
    <font>
      <u/>
      <sz val="9"/>
      <name val="Times New Roman CE"/>
      <family val="1"/>
      <charset val="238"/>
    </font>
    <font>
      <b/>
      <u/>
      <sz val="10"/>
      <name val="Times New Roman CE"/>
      <charset val="238"/>
    </font>
    <font>
      <b/>
      <sz val="16"/>
      <color indexed="10"/>
      <name val="Times New Roman CE"/>
      <charset val="238"/>
    </font>
    <font>
      <b/>
      <sz val="12"/>
      <color indexed="10"/>
      <name val="Times New Roman CE"/>
      <charset val="238"/>
    </font>
    <font>
      <b/>
      <sz val="12"/>
      <color indexed="10"/>
      <name val="Arial"/>
      <family val="2"/>
      <charset val="238"/>
    </font>
    <font>
      <sz val="18"/>
      <color indexed="10"/>
      <name val="Arial"/>
      <family val="2"/>
      <charset val="238"/>
    </font>
    <font>
      <sz val="10"/>
      <color indexed="12"/>
      <name val="Arial"/>
      <family val="2"/>
      <charset val="238"/>
    </font>
    <font>
      <b/>
      <sz val="11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2"/>
      <name val="Arial"/>
      <family val="2"/>
      <charset val="238"/>
    </font>
    <font>
      <sz val="7"/>
      <name val="Arial"/>
      <family val="2"/>
      <charset val="238"/>
    </font>
    <font>
      <b/>
      <sz val="9"/>
      <color indexed="10"/>
      <name val="Arial"/>
      <family val="2"/>
      <charset val="238"/>
    </font>
    <font>
      <b/>
      <sz val="8"/>
      <name val="Arial"/>
      <family val="2"/>
      <charset val="238"/>
    </font>
    <font>
      <sz val="8"/>
      <name val="Times New Roman"/>
      <family val="1"/>
      <charset val="238"/>
    </font>
    <font>
      <b/>
      <sz val="12"/>
      <name val="Times New Roman"/>
      <family val="1"/>
      <charset val="238"/>
    </font>
    <font>
      <vertAlign val="superscript"/>
      <sz val="12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u/>
      <sz val="10"/>
      <name val="Times New Roman"/>
      <family val="1"/>
      <charset val="238"/>
    </font>
    <font>
      <b/>
      <sz val="9"/>
      <name val="Times New Roman"/>
      <family val="1"/>
      <charset val="238"/>
    </font>
    <font>
      <b/>
      <sz val="14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sz val="10"/>
      <name val="Arial"/>
      <family val="2"/>
      <charset val="238"/>
    </font>
    <font>
      <sz val="9"/>
      <name val="Times New Roman"/>
      <family val="1"/>
      <charset val="238"/>
    </font>
    <font>
      <b/>
      <sz val="8"/>
      <name val="Times New Roman"/>
      <family val="1"/>
      <charset val="238"/>
    </font>
    <font>
      <b/>
      <vertAlign val="superscript"/>
      <sz val="10"/>
      <name val="Times New Roman CE"/>
      <charset val="238"/>
    </font>
    <font>
      <vertAlign val="superscript"/>
      <sz val="8"/>
      <name val="Times New Roman CE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Times New Roman CE"/>
      <charset val="238"/>
    </font>
    <font>
      <b/>
      <sz val="18"/>
      <color indexed="10"/>
      <name val="Times New Roman CE"/>
      <family val="1"/>
      <charset val="238"/>
    </font>
    <font>
      <b/>
      <sz val="14"/>
      <name val="Times New Roman CE"/>
      <charset val="238"/>
    </font>
    <font>
      <sz val="12"/>
      <name val="Times New Roman CE"/>
      <charset val="238"/>
    </font>
    <font>
      <b/>
      <i/>
      <sz val="9"/>
      <name val="Times New Roman CE"/>
      <family val="1"/>
      <charset val="238"/>
    </font>
    <font>
      <sz val="26"/>
      <color indexed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14"/>
      <name val="Times New Roman CE"/>
      <family val="1"/>
      <charset val="238"/>
    </font>
    <font>
      <b/>
      <vertAlign val="superscript"/>
      <sz val="16"/>
      <name val="Times New Roman CE"/>
      <charset val="238"/>
    </font>
    <font>
      <sz val="11"/>
      <name val="Times New Roman CE"/>
      <charset val="238"/>
    </font>
    <font>
      <vertAlign val="superscript"/>
      <sz val="14"/>
      <name val="Times New Roman"/>
      <family val="1"/>
      <charset val="238"/>
    </font>
    <font>
      <sz val="12"/>
      <color indexed="10"/>
      <name val="Times New Roman CE"/>
      <charset val="238"/>
    </font>
    <font>
      <sz val="20"/>
      <color indexed="10"/>
      <name val="Times New Roman CE"/>
      <charset val="238"/>
    </font>
    <font>
      <sz val="10"/>
      <color indexed="10"/>
      <name val="Times New Roman CE"/>
      <charset val="238"/>
    </font>
    <font>
      <i/>
      <sz val="9"/>
      <name val="Times New Roman CE"/>
      <family val="1"/>
      <charset val="238"/>
    </font>
    <font>
      <u/>
      <sz val="11"/>
      <name val="Times New Roman CE"/>
      <family val="1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b/>
      <sz val="10"/>
      <color indexed="53"/>
      <name val="Arial"/>
      <family val="2"/>
      <charset val="238"/>
    </font>
    <font>
      <sz val="12"/>
      <color indexed="53"/>
      <name val="Times New Roman CE"/>
      <charset val="238"/>
    </font>
    <font>
      <b/>
      <sz val="12"/>
      <color indexed="53"/>
      <name val="Times New Roman CE"/>
      <charset val="238"/>
    </font>
    <font>
      <i/>
      <sz val="10"/>
      <name val="Arial"/>
      <family val="2"/>
      <charset val="238"/>
    </font>
    <font>
      <b/>
      <i/>
      <sz val="10"/>
      <name val="Times New Roman"/>
      <family val="1"/>
      <charset val="238"/>
    </font>
    <font>
      <b/>
      <sz val="18"/>
      <name val="Times New Roman"/>
      <family val="1"/>
      <charset val="238"/>
    </font>
    <font>
      <sz val="16"/>
      <color indexed="10"/>
      <name val="Times New Roman"/>
      <family val="1"/>
      <charset val="238"/>
    </font>
    <font>
      <i/>
      <sz val="10"/>
      <name val="Times New Roman"/>
      <family val="1"/>
      <charset val="238"/>
    </font>
    <font>
      <i/>
      <sz val="10"/>
      <name val="Times New Roman CE"/>
      <charset val="238"/>
    </font>
    <font>
      <b/>
      <sz val="7"/>
      <name val="Times New Roman"/>
      <family val="1"/>
      <charset val="238"/>
    </font>
    <font>
      <b/>
      <sz val="9"/>
      <color indexed="10"/>
      <name val="Arial"/>
      <family val="2"/>
    </font>
    <font>
      <b/>
      <i/>
      <sz val="14"/>
      <color indexed="10"/>
      <name val="Arial"/>
      <family val="2"/>
      <charset val="238"/>
    </font>
    <font>
      <b/>
      <sz val="14"/>
      <name val="Arial"/>
      <family val="2"/>
      <charset val="238"/>
    </font>
    <font>
      <b/>
      <sz val="10"/>
      <color indexed="48"/>
      <name val="Arial"/>
      <family val="2"/>
      <charset val="238"/>
    </font>
    <font>
      <b/>
      <sz val="9"/>
      <color indexed="16"/>
      <name val="Arial"/>
      <family val="2"/>
      <charset val="238"/>
    </font>
    <font>
      <b/>
      <sz val="10"/>
      <color indexed="16"/>
      <name val="Arial"/>
      <family val="2"/>
      <charset val="238"/>
    </font>
    <font>
      <b/>
      <sz val="10"/>
      <color indexed="16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9"/>
      <color indexed="10"/>
      <name val="Arial"/>
      <family val="2"/>
      <charset val="238"/>
    </font>
    <font>
      <sz val="11"/>
      <color indexed="56"/>
      <name val="Arial"/>
      <family val="2"/>
      <charset val="238"/>
    </font>
    <font>
      <i/>
      <sz val="11"/>
      <name val="Arial"/>
      <family val="2"/>
      <charset val="238"/>
    </font>
    <font>
      <sz val="14"/>
      <name val="Arial"/>
      <family val="2"/>
      <charset val="238"/>
    </font>
    <font>
      <b/>
      <sz val="13"/>
      <name val="Arial"/>
      <family val="2"/>
      <charset val="238"/>
    </font>
    <font>
      <b/>
      <i/>
      <sz val="8"/>
      <color indexed="53"/>
      <name val="Tahoma"/>
      <family val="2"/>
      <charset val="238"/>
    </font>
    <font>
      <b/>
      <sz val="11"/>
      <color indexed="10"/>
      <name val="Arial"/>
      <family val="2"/>
      <charset val="238"/>
    </font>
    <font>
      <sz val="16"/>
      <name val="Times New Roman CE"/>
      <charset val="238"/>
    </font>
    <font>
      <b/>
      <u/>
      <sz val="10"/>
      <name val="Arial"/>
      <family val="2"/>
      <charset val="238"/>
    </font>
    <font>
      <b/>
      <sz val="12"/>
      <color rgb="FFFF0000"/>
      <name val="Arial"/>
      <family val="2"/>
      <charset val="238"/>
    </font>
    <font>
      <b/>
      <sz val="16"/>
      <color rgb="FFFF0000"/>
      <name val="Arial"/>
      <family val="2"/>
      <charset val="238"/>
    </font>
    <font>
      <b/>
      <sz val="11"/>
      <name val="Times New Roman"/>
      <family val="1"/>
      <charset val="238"/>
    </font>
    <font>
      <sz val="10"/>
      <color rgb="FFFF0000"/>
      <name val="Arial"/>
      <family val="2"/>
      <charset val="238"/>
    </font>
    <font>
      <b/>
      <sz val="10"/>
      <color theme="4"/>
      <name val="Arial"/>
      <family val="2"/>
      <charset val="238"/>
    </font>
    <font>
      <sz val="10"/>
      <color theme="4"/>
      <name val="Arial"/>
      <family val="2"/>
      <charset val="238"/>
    </font>
    <font>
      <sz val="7.5"/>
      <name val="Times New Roman CE"/>
      <family val="1"/>
      <charset val="238"/>
    </font>
    <font>
      <b/>
      <sz val="10"/>
      <color rgb="FFFF0000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FEEEE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auto="1"/>
      </right>
      <top style="hair">
        <color indexed="64"/>
      </top>
      <bottom style="hair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/>
  </cellStyleXfs>
  <cellXfs count="2488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49" fontId="7" fillId="0" borderId="0" xfId="0" applyNumberFormat="1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168" fontId="2" fillId="0" borderId="0" xfId="1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10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right" vertical="center"/>
    </xf>
    <xf numFmtId="0" fontId="12" fillId="0" borderId="0" xfId="2" applyFont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0" xfId="2" applyFont="1" applyBorder="1" applyAlignment="1">
      <alignment horizontal="center" vertical="center"/>
    </xf>
    <xf numFmtId="173" fontId="10" fillId="0" borderId="0" xfId="2" applyNumberFormat="1" applyFont="1" applyAlignment="1">
      <alignment vertical="center"/>
    </xf>
    <xf numFmtId="168" fontId="10" fillId="0" borderId="0" xfId="2" applyNumberFormat="1" applyFont="1" applyAlignment="1">
      <alignment vertical="center"/>
    </xf>
    <xf numFmtId="0" fontId="10" fillId="0" borderId="0" xfId="2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49" fontId="30" fillId="2" borderId="0" xfId="0" applyNumberFormat="1" applyFont="1" applyFill="1" applyAlignment="1">
      <alignment vertical="center"/>
    </xf>
    <xf numFmtId="168" fontId="30" fillId="2" borderId="3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vertical="center"/>
    </xf>
    <xf numFmtId="168" fontId="30" fillId="0" borderId="31" xfId="0" applyNumberFormat="1" applyFont="1" applyFill="1" applyBorder="1" applyAlignment="1">
      <alignment vertical="center"/>
    </xf>
    <xf numFmtId="49" fontId="32" fillId="0" borderId="31" xfId="0" applyNumberFormat="1" applyFont="1" applyBorder="1" applyAlignment="1">
      <alignment vertical="center"/>
    </xf>
    <xf numFmtId="168" fontId="32" fillId="0" borderId="32" xfId="0" applyNumberFormat="1" applyFont="1" applyBorder="1" applyAlignment="1">
      <alignment horizontal="right" vertical="center"/>
    </xf>
    <xf numFmtId="49" fontId="32" fillId="0" borderId="32" xfId="0" applyNumberFormat="1" applyFont="1" applyBorder="1" applyAlignment="1">
      <alignment horizontal="center" vertical="center"/>
    </xf>
    <xf numFmtId="49" fontId="32" fillId="0" borderId="3" xfId="0" applyNumberFormat="1" applyFont="1" applyBorder="1" applyAlignment="1">
      <alignment vertical="center"/>
    </xf>
    <xf numFmtId="10" fontId="31" fillId="3" borderId="3" xfId="0" applyNumberFormat="1" applyFont="1" applyFill="1" applyBorder="1" applyAlignment="1" applyProtection="1">
      <alignment vertical="center"/>
      <protection locked="0"/>
    </xf>
    <xf numFmtId="49" fontId="30" fillId="0" borderId="3" xfId="0" applyNumberFormat="1" applyFont="1" applyBorder="1" applyAlignment="1">
      <alignment vertical="center"/>
    </xf>
    <xf numFmtId="0" fontId="32" fillId="0" borderId="0" xfId="0" applyFont="1" applyAlignment="1">
      <alignment vertical="center"/>
    </xf>
    <xf numFmtId="49" fontId="35" fillId="0" borderId="0" xfId="0" applyNumberFormat="1" applyFont="1" applyAlignment="1">
      <alignment vertical="center"/>
    </xf>
    <xf numFmtId="168" fontId="35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168" fontId="30" fillId="0" borderId="3" xfId="0" applyNumberFormat="1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49" fontId="36" fillId="0" borderId="33" xfId="0" applyNumberFormat="1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0" xfId="0" applyFont="1" applyAlignment="1">
      <alignment vertical="center"/>
    </xf>
    <xf numFmtId="49" fontId="36" fillId="0" borderId="3" xfId="0" applyNumberFormat="1" applyFont="1" applyBorder="1" applyAlignment="1">
      <alignment vertical="center"/>
    </xf>
    <xf numFmtId="168" fontId="36" fillId="4" borderId="0" xfId="0" applyNumberFormat="1" applyFont="1" applyFill="1" applyAlignment="1">
      <alignment vertical="center"/>
    </xf>
    <xf numFmtId="49" fontId="13" fillId="0" borderId="3" xfId="0" applyNumberFormat="1" applyFont="1" applyBorder="1" applyAlignment="1">
      <alignment vertical="center" wrapText="1"/>
    </xf>
    <xf numFmtId="49" fontId="36" fillId="0" borderId="3" xfId="0" applyNumberFormat="1" applyFont="1" applyBorder="1" applyAlignment="1">
      <alignment vertical="center" wrapText="1"/>
    </xf>
    <xf numFmtId="49" fontId="17" fillId="5" borderId="31" xfId="0" applyNumberFormat="1" applyFont="1" applyFill="1" applyBorder="1" applyAlignment="1">
      <alignment vertical="center"/>
    </xf>
    <xf numFmtId="0" fontId="36" fillId="0" borderId="0" xfId="0" applyFont="1" applyFill="1" applyAlignment="1">
      <alignment vertical="center"/>
    </xf>
    <xf numFmtId="168" fontId="36" fillId="0" borderId="0" xfId="0" applyNumberFormat="1" applyFont="1" applyAlignment="1">
      <alignment vertical="center"/>
    </xf>
    <xf numFmtId="49" fontId="36" fillId="0" borderId="0" xfId="0" applyNumberFormat="1" applyFont="1" applyFill="1" applyAlignment="1">
      <alignment vertical="center"/>
    </xf>
    <xf numFmtId="49" fontId="36" fillId="0" borderId="0" xfId="0" applyNumberFormat="1" applyFont="1" applyFill="1" applyBorder="1" applyAlignment="1">
      <alignment vertical="center"/>
    </xf>
    <xf numFmtId="168" fontId="36" fillId="0" borderId="0" xfId="0" applyNumberFormat="1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168" fontId="36" fillId="0" borderId="0" xfId="0" applyNumberFormat="1" applyFont="1" applyFill="1" applyAlignment="1">
      <alignment vertical="center"/>
    </xf>
    <xf numFmtId="49" fontId="36" fillId="0" borderId="0" xfId="0" applyNumberFormat="1" applyFont="1" applyAlignment="1">
      <alignment vertical="center"/>
    </xf>
    <xf numFmtId="0" fontId="38" fillId="0" borderId="0" xfId="0" applyFont="1" applyFill="1" applyBorder="1" applyAlignment="1">
      <alignment vertical="center"/>
    </xf>
    <xf numFmtId="0" fontId="38" fillId="0" borderId="0" xfId="0" applyFont="1" applyBorder="1" applyAlignment="1">
      <alignment vertical="center"/>
    </xf>
    <xf numFmtId="49" fontId="17" fillId="5" borderId="3" xfId="0" applyNumberFormat="1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168" fontId="17" fillId="0" borderId="0" xfId="0" applyNumberFormat="1" applyFont="1" applyBorder="1" applyAlignment="1">
      <alignment vertical="center"/>
    </xf>
    <xf numFmtId="49" fontId="36" fillId="4" borderId="0" xfId="0" applyNumberFormat="1" applyFont="1" applyFill="1" applyAlignment="1">
      <alignment vertical="center"/>
    </xf>
    <xf numFmtId="168" fontId="37" fillId="4" borderId="3" xfId="0" applyNumberFormat="1" applyFont="1" applyFill="1" applyBorder="1" applyAlignment="1">
      <alignment vertical="center"/>
    </xf>
    <xf numFmtId="168" fontId="36" fillId="0" borderId="32" xfId="0" applyNumberFormat="1" applyFont="1" applyFill="1" applyBorder="1" applyAlignment="1">
      <alignment vertical="center"/>
    </xf>
    <xf numFmtId="49" fontId="36" fillId="0" borderId="32" xfId="0" applyNumberFormat="1" applyFont="1" applyBorder="1" applyAlignment="1">
      <alignment vertical="center"/>
    </xf>
    <xf numFmtId="0" fontId="36" fillId="0" borderId="34" xfId="0" applyFont="1" applyBorder="1" applyAlignment="1">
      <alignment vertical="center"/>
    </xf>
    <xf numFmtId="49" fontId="36" fillId="0" borderId="3" xfId="0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49" fontId="36" fillId="6" borderId="0" xfId="0" applyNumberFormat="1" applyFont="1" applyFill="1" applyAlignment="1">
      <alignment vertical="center"/>
    </xf>
    <xf numFmtId="168" fontId="36" fillId="6" borderId="0" xfId="0" applyNumberFormat="1" applyFont="1" applyFill="1" applyAlignment="1">
      <alignment vertical="center"/>
    </xf>
    <xf numFmtId="168" fontId="36" fillId="2" borderId="0" xfId="0" applyNumberFormat="1" applyFont="1" applyFill="1" applyAlignment="1">
      <alignment vertical="center"/>
    </xf>
    <xf numFmtId="0" fontId="42" fillId="0" borderId="0" xfId="0" applyFont="1" applyAlignment="1">
      <alignment vertical="center"/>
    </xf>
    <xf numFmtId="168" fontId="36" fillId="0" borderId="32" xfId="0" applyNumberFormat="1" applyFont="1" applyBorder="1" applyAlignment="1">
      <alignment vertical="center"/>
    </xf>
    <xf numFmtId="10" fontId="36" fillId="0" borderId="34" xfId="0" applyNumberFormat="1" applyFont="1" applyBorder="1" applyAlignment="1">
      <alignment vertical="center"/>
    </xf>
    <xf numFmtId="0" fontId="38" fillId="0" borderId="32" xfId="0" applyFont="1" applyFill="1" applyBorder="1" applyAlignment="1">
      <alignment vertical="center"/>
    </xf>
    <xf numFmtId="0" fontId="38" fillId="0" borderId="34" xfId="0" applyFont="1" applyBorder="1" applyAlignment="1">
      <alignment vertical="center"/>
    </xf>
    <xf numFmtId="0" fontId="36" fillId="0" borderId="0" xfId="0" applyFont="1" applyAlignment="1">
      <alignment horizontal="left" vertical="center" wrapText="1"/>
    </xf>
    <xf numFmtId="49" fontId="44" fillId="0" borderId="0" xfId="0" applyNumberFormat="1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47" fillId="0" borderId="0" xfId="0" applyNumberFormat="1" applyFont="1" applyAlignment="1">
      <alignment vertical="center"/>
    </xf>
    <xf numFmtId="164" fontId="36" fillId="6" borderId="31" xfId="0" applyNumberFormat="1" applyFont="1" applyFill="1" applyBorder="1" applyAlignment="1">
      <alignment vertical="center"/>
    </xf>
    <xf numFmtId="168" fontId="30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168" fontId="41" fillId="0" borderId="3" xfId="0" applyNumberFormat="1" applyFont="1" applyBorder="1" applyAlignment="1">
      <alignment vertical="center"/>
    </xf>
    <xf numFmtId="168" fontId="32" fillId="0" borderId="31" xfId="0" applyNumberFormat="1" applyFont="1" applyBorder="1" applyAlignment="1">
      <alignment vertical="center"/>
    </xf>
    <xf numFmtId="49" fontId="17" fillId="0" borderId="5" xfId="0" applyNumberFormat="1" applyFont="1" applyFill="1" applyBorder="1" applyAlignment="1">
      <alignment horizontal="center" vertical="center"/>
    </xf>
    <xf numFmtId="168" fontId="30" fillId="0" borderId="32" xfId="0" applyNumberFormat="1" applyFont="1" applyFill="1" applyBorder="1" applyAlignment="1">
      <alignment vertical="center"/>
    </xf>
    <xf numFmtId="0" fontId="36" fillId="0" borderId="32" xfId="0" applyFont="1" applyFill="1" applyBorder="1" applyAlignment="1">
      <alignment vertical="center"/>
    </xf>
    <xf numFmtId="168" fontId="31" fillId="0" borderId="32" xfId="0" applyNumberFormat="1" applyFont="1" applyFill="1" applyBorder="1" applyAlignment="1">
      <alignment vertical="center"/>
    </xf>
    <xf numFmtId="10" fontId="31" fillId="0" borderId="32" xfId="0" applyNumberFormat="1" applyFont="1" applyFill="1" applyBorder="1" applyAlignment="1" applyProtection="1">
      <alignment vertical="center"/>
      <protection locked="0"/>
    </xf>
    <xf numFmtId="2" fontId="31" fillId="0" borderId="32" xfId="0" applyNumberFormat="1" applyFont="1" applyFill="1" applyBorder="1" applyAlignment="1" applyProtection="1">
      <alignment vertical="center"/>
      <protection locked="0"/>
    </xf>
    <xf numFmtId="177" fontId="31" fillId="0" borderId="32" xfId="0" applyNumberFormat="1" applyFont="1" applyFill="1" applyBorder="1" applyAlignment="1" applyProtection="1">
      <alignment vertical="center"/>
      <protection locked="0"/>
    </xf>
    <xf numFmtId="168" fontId="31" fillId="0" borderId="32" xfId="0" applyNumberFormat="1" applyFont="1" applyFill="1" applyBorder="1" applyAlignment="1" applyProtection="1">
      <alignment vertical="center"/>
      <protection locked="0"/>
    </xf>
    <xf numFmtId="168" fontId="30" fillId="0" borderId="0" xfId="0" applyNumberFormat="1" applyFont="1" applyFill="1" applyBorder="1" applyAlignment="1">
      <alignment vertical="center"/>
    </xf>
    <xf numFmtId="164" fontId="48" fillId="7" borderId="0" xfId="0" applyNumberFormat="1" applyFont="1" applyFill="1" applyBorder="1" applyAlignment="1">
      <alignment horizontal="right" vertical="center"/>
    </xf>
    <xf numFmtId="164" fontId="48" fillId="0" borderId="0" xfId="0" applyNumberFormat="1" applyFont="1" applyFill="1" applyBorder="1" applyAlignment="1">
      <alignment horizontal="right" vertical="center"/>
    </xf>
    <xf numFmtId="168" fontId="37" fillId="0" borderId="31" xfId="0" applyNumberFormat="1" applyFont="1" applyFill="1" applyBorder="1" applyAlignment="1">
      <alignment vertical="center"/>
    </xf>
    <xf numFmtId="0" fontId="37" fillId="0" borderId="32" xfId="0" applyFont="1" applyFill="1" applyBorder="1" applyAlignment="1">
      <alignment vertical="center"/>
    </xf>
    <xf numFmtId="0" fontId="37" fillId="0" borderId="34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horizontal="left" vertical="center"/>
    </xf>
    <xf numFmtId="165" fontId="10" fillId="0" borderId="0" xfId="1" applyFont="1" applyFill="1" applyBorder="1" applyAlignment="1">
      <alignment horizontal="center" vertical="center"/>
    </xf>
    <xf numFmtId="49" fontId="2" fillId="0" borderId="32" xfId="0" applyNumberFormat="1" applyFont="1" applyFill="1" applyBorder="1" applyAlignment="1">
      <alignment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left" vertical="center"/>
    </xf>
    <xf numFmtId="0" fontId="5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2" fillId="0" borderId="37" xfId="0" applyFont="1" applyFill="1" applyBorder="1" applyAlignment="1" applyProtection="1">
      <alignment vertical="center"/>
    </xf>
    <xf numFmtId="0" fontId="2" fillId="0" borderId="38" xfId="0" applyFont="1" applyFill="1" applyBorder="1" applyAlignment="1" applyProtection="1">
      <alignment vertical="center"/>
    </xf>
    <xf numFmtId="49" fontId="2" fillId="0" borderId="39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39" xfId="0" applyNumberFormat="1" applyFont="1" applyFill="1" applyBorder="1" applyAlignment="1" applyProtection="1">
      <alignment vertical="center"/>
    </xf>
    <xf numFmtId="0" fontId="2" fillId="0" borderId="31" xfId="1" applyNumberFormat="1" applyFont="1" applyFill="1" applyBorder="1" applyAlignment="1" applyProtection="1">
      <alignment horizontal="left" vertical="center"/>
    </xf>
    <xf numFmtId="0" fontId="2" fillId="0" borderId="32" xfId="1" applyNumberFormat="1" applyFont="1" applyFill="1" applyBorder="1" applyAlignment="1" applyProtection="1">
      <alignment horizontal="left" vertical="center"/>
    </xf>
    <xf numFmtId="0" fontId="2" fillId="0" borderId="34" xfId="1" applyNumberFormat="1" applyFont="1" applyFill="1" applyBorder="1" applyAlignment="1" applyProtection="1">
      <alignment horizontal="left" vertical="center"/>
    </xf>
    <xf numFmtId="0" fontId="62" fillId="0" borderId="0" xfId="0" applyNumberFormat="1" applyFont="1" applyFill="1" applyBorder="1" applyAlignment="1" applyProtection="1">
      <alignment vertical="center"/>
    </xf>
    <xf numFmtId="0" fontId="62" fillId="0" borderId="0" xfId="0" applyFont="1" applyFill="1" applyAlignment="1" applyProtection="1">
      <alignment vertical="center"/>
    </xf>
    <xf numFmtId="0" fontId="53" fillId="0" borderId="31" xfId="1" applyNumberFormat="1" applyFont="1" applyFill="1" applyBorder="1" applyAlignment="1" applyProtection="1">
      <alignment horizontal="left" vertical="center"/>
    </xf>
    <xf numFmtId="0" fontId="2" fillId="0" borderId="40" xfId="0" applyFont="1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45" fillId="0" borderId="0" xfId="0" applyFont="1" applyFill="1" applyAlignment="1" applyProtection="1">
      <alignment vertical="center"/>
    </xf>
    <xf numFmtId="0" fontId="2" fillId="8" borderId="29" xfId="1" applyNumberFormat="1" applyFont="1" applyFill="1" applyBorder="1" applyAlignment="1" applyProtection="1">
      <alignment vertical="center"/>
    </xf>
    <xf numFmtId="0" fontId="2" fillId="8" borderId="1" xfId="0" applyFont="1" applyFill="1" applyBorder="1" applyAlignment="1" applyProtection="1">
      <alignment vertical="center"/>
    </xf>
    <xf numFmtId="0" fontId="2" fillId="8" borderId="5" xfId="0" applyFont="1" applyFill="1" applyBorder="1" applyAlignment="1" applyProtection="1">
      <alignment vertical="center"/>
    </xf>
    <xf numFmtId="0" fontId="61" fillId="8" borderId="24" xfId="1" applyNumberFormat="1" applyFont="1" applyFill="1" applyBorder="1" applyAlignment="1" applyProtection="1">
      <alignment vertical="center"/>
    </xf>
    <xf numFmtId="0" fontId="2" fillId="8" borderId="0" xfId="0" applyFont="1" applyFill="1" applyBorder="1" applyAlignment="1" applyProtection="1">
      <alignment vertical="center"/>
    </xf>
    <xf numFmtId="0" fontId="2" fillId="8" borderId="4" xfId="0" applyFont="1" applyFill="1" applyBorder="1" applyAlignment="1" applyProtection="1">
      <alignment vertical="center"/>
    </xf>
    <xf numFmtId="0" fontId="61" fillId="8" borderId="31" xfId="1" applyNumberFormat="1" applyFont="1" applyFill="1" applyBorder="1" applyAlignment="1" applyProtection="1">
      <alignment vertical="center"/>
    </xf>
    <xf numFmtId="0" fontId="2" fillId="8" borderId="32" xfId="0" applyFont="1" applyFill="1" applyBorder="1" applyAlignment="1" applyProtection="1">
      <alignment vertical="center"/>
    </xf>
    <xf numFmtId="165" fontId="53" fillId="8" borderId="0" xfId="1" applyFont="1" applyFill="1" applyBorder="1" applyAlignment="1" applyProtection="1">
      <alignment vertical="center"/>
    </xf>
    <xf numFmtId="0" fontId="62" fillId="0" borderId="0" xfId="0" applyFont="1" applyFill="1" applyBorder="1" applyAlignment="1" applyProtection="1">
      <alignment vertical="center"/>
    </xf>
    <xf numFmtId="49" fontId="53" fillId="0" borderId="41" xfId="0" applyNumberFormat="1" applyFont="1" applyFill="1" applyBorder="1" applyAlignment="1" applyProtection="1">
      <alignment vertical="center"/>
    </xf>
    <xf numFmtId="49" fontId="64" fillId="0" borderId="39" xfId="0" applyNumberFormat="1" applyFont="1" applyFill="1" applyBorder="1" applyAlignment="1" applyProtection="1">
      <alignment vertical="center"/>
    </xf>
    <xf numFmtId="0" fontId="64" fillId="0" borderId="0" xfId="0" applyNumberFormat="1" applyFont="1" applyFill="1" applyBorder="1" applyAlignment="1" applyProtection="1">
      <alignment vertical="center"/>
    </xf>
    <xf numFmtId="0" fontId="64" fillId="0" borderId="0" xfId="0" applyFont="1" applyFill="1" applyBorder="1" applyAlignment="1" applyProtection="1">
      <alignment vertical="center"/>
    </xf>
    <xf numFmtId="0" fontId="64" fillId="0" borderId="0" xfId="0" applyFont="1" applyFill="1" applyAlignment="1" applyProtection="1">
      <alignment vertical="center"/>
    </xf>
    <xf numFmtId="49" fontId="62" fillId="2" borderId="31" xfId="0" applyNumberFormat="1" applyFont="1" applyFill="1" applyBorder="1" applyAlignment="1" applyProtection="1">
      <alignment vertical="center"/>
    </xf>
    <xf numFmtId="0" fontId="62" fillId="2" borderId="32" xfId="1" applyNumberFormat="1" applyFont="1" applyFill="1" applyBorder="1" applyAlignment="1" applyProtection="1">
      <alignment horizontal="left" vertical="center"/>
    </xf>
    <xf numFmtId="0" fontId="62" fillId="2" borderId="31" xfId="1" applyNumberFormat="1" applyFont="1" applyFill="1" applyBorder="1" applyAlignment="1" applyProtection="1">
      <alignment horizontal="left" vertical="center"/>
    </xf>
    <xf numFmtId="49" fontId="61" fillId="0" borderId="39" xfId="0" applyNumberFormat="1" applyFont="1" applyFill="1" applyBorder="1" applyAlignment="1" applyProtection="1">
      <alignment vertical="center"/>
    </xf>
    <xf numFmtId="49" fontId="61" fillId="0" borderId="42" xfId="0" applyNumberFormat="1" applyFont="1" applyFill="1" applyBorder="1" applyAlignment="1" applyProtection="1">
      <alignment vertical="center"/>
    </xf>
    <xf numFmtId="49" fontId="65" fillId="0" borderId="39" xfId="0" applyNumberFormat="1" applyFont="1" applyFill="1" applyBorder="1" applyAlignment="1" applyProtection="1">
      <alignment vertical="center"/>
    </xf>
    <xf numFmtId="49" fontId="57" fillId="0" borderId="39" xfId="0" applyNumberFormat="1" applyFont="1" applyFill="1" applyBorder="1" applyAlignment="1" applyProtection="1">
      <alignment vertical="center"/>
    </xf>
    <xf numFmtId="0" fontId="53" fillId="0" borderId="43" xfId="0" applyFont="1" applyFill="1" applyBorder="1" applyAlignment="1" applyProtection="1">
      <alignment horizontal="center" vertical="center"/>
      <protection locked="0"/>
    </xf>
    <xf numFmtId="49" fontId="61" fillId="9" borderId="0" xfId="0" applyNumberFormat="1" applyFont="1" applyFill="1" applyBorder="1" applyAlignment="1" applyProtection="1">
      <alignment vertical="center"/>
    </xf>
    <xf numFmtId="0" fontId="2" fillId="9" borderId="0" xfId="0" applyFont="1" applyFill="1" applyBorder="1" applyAlignment="1" applyProtection="1">
      <alignment vertical="center"/>
    </xf>
    <xf numFmtId="49" fontId="52" fillId="0" borderId="0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64" fillId="10" borderId="29" xfId="1" applyNumberFormat="1" applyFont="1" applyFill="1" applyBorder="1" applyAlignment="1" applyProtection="1">
      <alignment horizontal="left" vertical="center"/>
    </xf>
    <xf numFmtId="0" fontId="64" fillId="10" borderId="1" xfId="1" applyNumberFormat="1" applyFont="1" applyFill="1" applyBorder="1" applyAlignment="1" applyProtection="1">
      <alignment horizontal="left" vertical="center"/>
    </xf>
    <xf numFmtId="0" fontId="64" fillId="10" borderId="5" xfId="1" applyNumberFormat="1" applyFont="1" applyFill="1" applyBorder="1" applyAlignment="1" applyProtection="1">
      <alignment horizontal="left" vertical="center"/>
    </xf>
    <xf numFmtId="0" fontId="0" fillId="0" borderId="32" xfId="0" applyFill="1" applyBorder="1" applyAlignment="1" applyProtection="1">
      <alignment vertical="center"/>
    </xf>
    <xf numFmtId="0" fontId="0" fillId="0" borderId="34" xfId="0" applyFill="1" applyBorder="1" applyAlignment="1" applyProtection="1">
      <alignment vertical="center"/>
    </xf>
    <xf numFmtId="0" fontId="0" fillId="9" borderId="31" xfId="0" applyFill="1" applyBorder="1" applyAlignment="1" applyProtection="1">
      <alignment vertical="center"/>
    </xf>
    <xf numFmtId="0" fontId="0" fillId="9" borderId="32" xfId="0" applyFill="1" applyBorder="1" applyAlignment="1" applyProtection="1">
      <alignment vertical="center"/>
    </xf>
    <xf numFmtId="0" fontId="0" fillId="9" borderId="34" xfId="0" applyFill="1" applyBorder="1" applyAlignment="1" applyProtection="1">
      <alignment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vertical="center"/>
    </xf>
    <xf numFmtId="0" fontId="53" fillId="0" borderId="0" xfId="0" applyFont="1" applyFill="1" applyBorder="1" applyAlignment="1" applyProtection="1">
      <alignment horizontal="center" vertical="center"/>
      <protection locked="0"/>
    </xf>
    <xf numFmtId="49" fontId="53" fillId="0" borderId="45" xfId="0" applyNumberFormat="1" applyFont="1" applyFill="1" applyBorder="1" applyAlignment="1" applyProtection="1">
      <alignment vertical="center"/>
    </xf>
    <xf numFmtId="0" fontId="2" fillId="0" borderId="46" xfId="0" applyFont="1" applyFill="1" applyBorder="1" applyAlignment="1" applyProtection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0" fontId="0" fillId="0" borderId="2" xfId="0" applyFill="1" applyBorder="1" applyAlignment="1" applyProtection="1">
      <alignment vertical="center"/>
    </xf>
    <xf numFmtId="0" fontId="28" fillId="0" borderId="0" xfId="0" applyFont="1" applyFill="1" applyAlignment="1" applyProtection="1">
      <alignment vertical="center"/>
    </xf>
    <xf numFmtId="0" fontId="71" fillId="0" borderId="0" xfId="0" applyFont="1" applyFill="1" applyAlignment="1" applyProtection="1">
      <alignment vertical="center"/>
    </xf>
    <xf numFmtId="0" fontId="73" fillId="0" borderId="0" xfId="0" applyFont="1" applyFill="1" applyAlignment="1" applyProtection="1">
      <alignment vertical="center"/>
    </xf>
    <xf numFmtId="0" fontId="5" fillId="0" borderId="0" xfId="0" applyFont="1" applyAlignment="1">
      <alignment horizontal="left" vertical="center"/>
    </xf>
    <xf numFmtId="177" fontId="10" fillId="0" borderId="32" xfId="1" applyNumberFormat="1" applyFont="1" applyFill="1" applyBorder="1" applyAlignment="1">
      <alignment horizontal="center" vertical="center"/>
    </xf>
    <xf numFmtId="177" fontId="10" fillId="0" borderId="2" xfId="1" applyNumberFormat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right" vertical="center"/>
    </xf>
    <xf numFmtId="168" fontId="75" fillId="0" borderId="0" xfId="0" applyNumberFormat="1" applyFont="1" applyFill="1" applyAlignment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center" vertical="center"/>
    </xf>
    <xf numFmtId="3" fontId="2" fillId="0" borderId="0" xfId="0" applyNumberFormat="1" applyFont="1" applyFill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horizontal="center" vertical="center"/>
    </xf>
    <xf numFmtId="3" fontId="62" fillId="0" borderId="0" xfId="0" applyNumberFormat="1" applyFont="1" applyFill="1" applyBorder="1" applyAlignment="1" applyProtection="1">
      <alignment vertical="center"/>
    </xf>
    <xf numFmtId="3" fontId="62" fillId="0" borderId="0" xfId="0" applyNumberFormat="1" applyFont="1" applyFill="1" applyBorder="1" applyAlignment="1" applyProtection="1">
      <alignment horizontal="center" vertical="center"/>
    </xf>
    <xf numFmtId="3" fontId="64" fillId="0" borderId="0" xfId="0" applyNumberFormat="1" applyFont="1" applyFill="1" applyAlignment="1" applyProtection="1">
      <alignment vertical="center"/>
    </xf>
    <xf numFmtId="3" fontId="64" fillId="0" borderId="0" xfId="0" applyNumberFormat="1" applyFont="1" applyFill="1" applyBorder="1" applyAlignment="1" applyProtection="1">
      <alignment vertical="center"/>
    </xf>
    <xf numFmtId="3" fontId="64" fillId="0" borderId="0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7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49" fontId="57" fillId="0" borderId="0" xfId="0" applyNumberFormat="1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49" fontId="43" fillId="0" borderId="24" xfId="0" applyNumberFormat="1" applyFont="1" applyBorder="1" applyAlignment="1">
      <alignment vertical="center"/>
    </xf>
    <xf numFmtId="49" fontId="43" fillId="0" borderId="2" xfId="0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80" fillId="0" borderId="0" xfId="0" applyFont="1" applyAlignment="1">
      <alignment vertical="center"/>
    </xf>
    <xf numFmtId="0" fontId="80" fillId="0" borderId="0" xfId="0" applyFont="1" applyBorder="1" applyAlignment="1">
      <alignment vertical="center"/>
    </xf>
    <xf numFmtId="0" fontId="80" fillId="0" borderId="0" xfId="0" applyFont="1" applyAlignment="1">
      <alignment horizontal="right" vertical="center"/>
    </xf>
    <xf numFmtId="0" fontId="81" fillId="0" borderId="0" xfId="0" applyFont="1" applyBorder="1" applyAlignment="1">
      <alignment vertical="center"/>
    </xf>
    <xf numFmtId="0" fontId="82" fillId="0" borderId="0" xfId="0" applyFont="1" applyBorder="1" applyAlignment="1">
      <alignment vertical="center"/>
    </xf>
    <xf numFmtId="0" fontId="83" fillId="0" borderId="0" xfId="0" applyFont="1" applyBorder="1" applyAlignment="1">
      <alignment vertical="center"/>
    </xf>
    <xf numFmtId="169" fontId="82" fillId="0" borderId="0" xfId="0" applyNumberFormat="1" applyFont="1" applyBorder="1" applyAlignment="1">
      <alignment vertical="center"/>
    </xf>
    <xf numFmtId="169" fontId="83" fillId="0" borderId="0" xfId="0" applyNumberFormat="1" applyFont="1" applyBorder="1" applyAlignment="1">
      <alignment vertical="center"/>
    </xf>
    <xf numFmtId="0" fontId="80" fillId="0" borderId="0" xfId="0" applyFont="1" applyAlignment="1">
      <alignment horizontal="center" vertical="center"/>
    </xf>
    <xf numFmtId="0" fontId="84" fillId="0" borderId="0" xfId="0" applyFont="1" applyAlignment="1">
      <alignment vertical="center"/>
    </xf>
    <xf numFmtId="0" fontId="83" fillId="0" borderId="0" xfId="0" applyFont="1" applyAlignment="1">
      <alignment horizontal="right" vertical="center"/>
    </xf>
    <xf numFmtId="49" fontId="83" fillId="0" borderId="0" xfId="0" applyNumberFormat="1" applyFont="1" applyAlignment="1">
      <alignment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horizontal="right" vertical="center"/>
    </xf>
    <xf numFmtId="0" fontId="84" fillId="0" borderId="0" xfId="0" applyFont="1" applyAlignment="1">
      <alignment horizontal="center" vertical="center" wrapText="1"/>
    </xf>
    <xf numFmtId="0" fontId="83" fillId="0" borderId="31" xfId="0" applyFont="1" applyBorder="1" applyAlignment="1">
      <alignment vertical="center"/>
    </xf>
    <xf numFmtId="0" fontId="83" fillId="0" borderId="32" xfId="0" applyFont="1" applyBorder="1" applyAlignment="1">
      <alignment vertical="center"/>
    </xf>
    <xf numFmtId="0" fontId="83" fillId="0" borderId="34" xfId="0" applyFont="1" applyBorder="1" applyAlignment="1">
      <alignment vertical="center"/>
    </xf>
    <xf numFmtId="0" fontId="84" fillId="0" borderId="31" xfId="0" applyFont="1" applyBorder="1" applyAlignment="1">
      <alignment vertical="center"/>
    </xf>
    <xf numFmtId="0" fontId="84" fillId="0" borderId="32" xfId="0" applyFont="1" applyBorder="1" applyAlignment="1">
      <alignment vertical="center"/>
    </xf>
    <xf numFmtId="0" fontId="84" fillId="0" borderId="34" xfId="0" applyFont="1" applyBorder="1" applyAlignment="1">
      <alignment vertical="center"/>
    </xf>
    <xf numFmtId="0" fontId="86" fillId="0" borderId="31" xfId="0" applyFont="1" applyBorder="1" applyAlignment="1">
      <alignment vertical="center"/>
    </xf>
    <xf numFmtId="0" fontId="80" fillId="0" borderId="3" xfId="0" applyFont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8" fillId="0" borderId="0" xfId="0" applyFont="1" applyAlignment="1">
      <alignment vertical="center"/>
    </xf>
    <xf numFmtId="0" fontId="81" fillId="0" borderId="0" xfId="0" applyFont="1" applyAlignment="1">
      <alignment horizontal="right" vertical="center"/>
    </xf>
    <xf numFmtId="0" fontId="81" fillId="0" borderId="2" xfId="0" applyFont="1" applyBorder="1" applyAlignment="1">
      <alignment vertical="center"/>
    </xf>
    <xf numFmtId="49" fontId="81" fillId="0" borderId="0" xfId="0" applyNumberFormat="1" applyFont="1" applyAlignment="1">
      <alignment vertical="center"/>
    </xf>
    <xf numFmtId="0" fontId="81" fillId="0" borderId="0" xfId="0" applyFont="1" applyAlignment="1">
      <alignment vertical="center"/>
    </xf>
    <xf numFmtId="0" fontId="88" fillId="0" borderId="0" xfId="0" applyFont="1" applyAlignment="1">
      <alignment horizontal="right" vertical="center"/>
    </xf>
    <xf numFmtId="0" fontId="84" fillId="0" borderId="0" xfId="0" applyFont="1" applyAlignment="1">
      <alignment horizontal="center" vertical="center"/>
    </xf>
    <xf numFmtId="0" fontId="21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1" fillId="0" borderId="3" xfId="0" applyNumberFormat="1" applyFont="1" applyBorder="1" applyAlignment="1">
      <alignment horizontal="center" vertical="center"/>
    </xf>
    <xf numFmtId="175" fontId="3" fillId="0" borderId="33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10" fillId="0" borderId="3" xfId="2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 wrapText="1"/>
    </xf>
    <xf numFmtId="171" fontId="10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48" xfId="2" applyFont="1" applyBorder="1" applyAlignment="1">
      <alignment vertical="center"/>
    </xf>
    <xf numFmtId="0" fontId="10" fillId="0" borderId="33" xfId="2" applyFont="1" applyBorder="1" applyAlignment="1">
      <alignment vertical="center"/>
    </xf>
    <xf numFmtId="0" fontId="12" fillId="0" borderId="31" xfId="2" applyFont="1" applyBorder="1" applyAlignment="1">
      <alignment vertical="center"/>
    </xf>
    <xf numFmtId="0" fontId="12" fillId="0" borderId="32" xfId="2" applyFont="1" applyBorder="1" applyAlignment="1">
      <alignment vertical="center"/>
    </xf>
    <xf numFmtId="0" fontId="10" fillId="0" borderId="32" xfId="2" applyFont="1" applyBorder="1" applyAlignment="1">
      <alignment vertical="center"/>
    </xf>
    <xf numFmtId="0" fontId="10" fillId="0" borderId="34" xfId="2" applyFont="1" applyBorder="1" applyAlignment="1">
      <alignment vertical="center"/>
    </xf>
    <xf numFmtId="0" fontId="10" fillId="0" borderId="31" xfId="2" applyFont="1" applyBorder="1" applyAlignment="1">
      <alignment vertical="center"/>
    </xf>
    <xf numFmtId="49" fontId="57" fillId="0" borderId="0" xfId="0" applyNumberFormat="1" applyFont="1" applyAlignment="1">
      <alignment vertical="center"/>
    </xf>
    <xf numFmtId="0" fontId="90" fillId="0" borderId="0" xfId="0" applyFont="1" applyAlignment="1">
      <alignment vertical="center"/>
    </xf>
    <xf numFmtId="0" fontId="21" fillId="0" borderId="0" xfId="0" applyNumberFormat="1" applyFont="1" applyBorder="1" applyAlignment="1">
      <alignment vertical="center"/>
    </xf>
    <xf numFmtId="178" fontId="84" fillId="0" borderId="0" xfId="0" applyNumberFormat="1" applyFont="1" applyAlignment="1">
      <alignment vertical="center"/>
    </xf>
    <xf numFmtId="178" fontId="84" fillId="0" borderId="0" xfId="0" applyNumberFormat="1" applyFont="1" applyAlignment="1">
      <alignment horizontal="right" vertical="center"/>
    </xf>
    <xf numFmtId="0" fontId="92" fillId="0" borderId="0" xfId="0" applyFont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49" fontId="57" fillId="0" borderId="0" xfId="0" applyNumberFormat="1" applyFont="1" applyBorder="1" applyAlignment="1">
      <alignment horizontal="left" vertical="center"/>
    </xf>
    <xf numFmtId="0" fontId="57" fillId="0" borderId="31" xfId="0" applyFont="1" applyBorder="1" applyAlignment="1">
      <alignment vertical="center"/>
    </xf>
    <xf numFmtId="0" fontId="57" fillId="0" borderId="2" xfId="0" applyFont="1" applyBorder="1" applyAlignment="1">
      <alignment vertical="center"/>
    </xf>
    <xf numFmtId="165" fontId="59" fillId="0" borderId="0" xfId="1" applyFont="1" applyFill="1" applyBorder="1" applyAlignment="1">
      <alignment horizontal="center" vertical="center"/>
    </xf>
    <xf numFmtId="165" fontId="59" fillId="0" borderId="0" xfId="1" applyFont="1" applyFill="1" applyBorder="1" applyAlignment="1">
      <alignment horizontal="left" vertical="center"/>
    </xf>
    <xf numFmtId="0" fontId="59" fillId="0" borderId="0" xfId="0" applyFont="1" applyFill="1" applyBorder="1" applyAlignment="1">
      <alignment horizontal="left" vertical="center"/>
    </xf>
    <xf numFmtId="168" fontId="31" fillId="0" borderId="0" xfId="0" applyNumberFormat="1" applyFont="1" applyFill="1" applyAlignment="1">
      <alignment vertical="center"/>
    </xf>
    <xf numFmtId="166" fontId="17" fillId="0" borderId="0" xfId="0" applyNumberFormat="1" applyFont="1" applyFill="1" applyBorder="1" applyAlignment="1" applyProtection="1">
      <alignment vertical="center"/>
      <protection locked="0"/>
    </xf>
    <xf numFmtId="168" fontId="79" fillId="0" borderId="32" xfId="0" applyNumberFormat="1" applyFont="1" applyFill="1" applyBorder="1" applyAlignment="1">
      <alignment vertical="center"/>
    </xf>
    <xf numFmtId="168" fontId="36" fillId="0" borderId="1" xfId="0" applyNumberFormat="1" applyFont="1" applyFill="1" applyBorder="1" applyAlignment="1">
      <alignment vertical="center"/>
    </xf>
    <xf numFmtId="168" fontId="36" fillId="0" borderId="2" xfId="0" applyNumberFormat="1" applyFont="1" applyFill="1" applyBorder="1" applyAlignment="1">
      <alignment vertical="center"/>
    </xf>
    <xf numFmtId="172" fontId="37" fillId="3" borderId="3" xfId="0" applyNumberFormat="1" applyFont="1" applyFill="1" applyBorder="1" applyAlignment="1" applyProtection="1">
      <alignment vertical="center"/>
      <protection locked="0"/>
    </xf>
    <xf numFmtId="172" fontId="37" fillId="3" borderId="32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49" fontId="45" fillId="0" borderId="0" xfId="0" applyNumberFormat="1" applyFont="1" applyAlignment="1">
      <alignment horizontal="left" vertical="center"/>
    </xf>
    <xf numFmtId="168" fontId="45" fillId="0" borderId="0" xfId="0" applyNumberFormat="1" applyFont="1" applyAlignment="1">
      <alignment horizontal="left" vertical="center"/>
    </xf>
    <xf numFmtId="0" fontId="28" fillId="0" borderId="0" xfId="0" applyNumberFormat="1" applyFont="1" applyAlignment="1" applyProtection="1">
      <alignment horizontal="center" vertical="center" wrapText="1"/>
      <protection locked="0"/>
    </xf>
    <xf numFmtId="49" fontId="17" fillId="2" borderId="32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3" fillId="0" borderId="3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80" fillId="0" borderId="3" xfId="0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0" fontId="92" fillId="0" borderId="3" xfId="0" applyFont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49" fontId="36" fillId="0" borderId="31" xfId="0" applyNumberFormat="1" applyFont="1" applyBorder="1" applyAlignment="1">
      <alignment horizontal="left" vertical="center"/>
    </xf>
    <xf numFmtId="49" fontId="36" fillId="0" borderId="32" xfId="0" applyNumberFormat="1" applyFont="1" applyBorder="1" applyAlignment="1">
      <alignment horizontal="left" vertical="center"/>
    </xf>
    <xf numFmtId="172" fontId="37" fillId="0" borderId="32" xfId="0" applyNumberFormat="1" applyFont="1" applyFill="1" applyBorder="1" applyAlignment="1" applyProtection="1">
      <alignment vertical="center"/>
      <protection locked="0"/>
    </xf>
    <xf numFmtId="172" fontId="37" fillId="0" borderId="3" xfId="0" applyNumberFormat="1" applyFont="1" applyFill="1" applyBorder="1" applyAlignment="1" applyProtection="1">
      <alignment vertical="center"/>
      <protection locked="0"/>
    </xf>
    <xf numFmtId="0" fontId="9" fillId="0" borderId="32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49" fontId="17" fillId="2" borderId="31" xfId="0" applyNumberFormat="1" applyFont="1" applyFill="1" applyBorder="1" applyAlignment="1">
      <alignment horizontal="left" vertical="center"/>
    </xf>
    <xf numFmtId="49" fontId="36" fillId="0" borderId="0" xfId="0" applyNumberFormat="1" applyFont="1" applyBorder="1" applyAlignment="1">
      <alignment vertical="center"/>
    </xf>
    <xf numFmtId="49" fontId="17" fillId="2" borderId="32" xfId="0" applyNumberFormat="1" applyFont="1" applyFill="1" applyBorder="1" applyAlignment="1">
      <alignment horizontal="left" vertical="center"/>
    </xf>
    <xf numFmtId="181" fontId="37" fillId="3" borderId="3" xfId="0" applyNumberFormat="1" applyFont="1" applyFill="1" applyBorder="1" applyAlignment="1" applyProtection="1">
      <alignment vertical="center"/>
      <protection locked="0"/>
    </xf>
    <xf numFmtId="0" fontId="36" fillId="0" borderId="0" xfId="0" applyFont="1" applyBorder="1" applyAlignment="1">
      <alignment vertical="center"/>
    </xf>
    <xf numFmtId="0" fontId="28" fillId="2" borderId="0" xfId="0" applyFont="1" applyFill="1"/>
    <xf numFmtId="0" fontId="0" fillId="2" borderId="0" xfId="0" applyFill="1"/>
    <xf numFmtId="0" fontId="49" fillId="2" borderId="0" xfId="0" applyFont="1" applyFill="1"/>
    <xf numFmtId="49" fontId="36" fillId="11" borderId="32" xfId="0" applyNumberFormat="1" applyFont="1" applyFill="1" applyBorder="1" applyAlignment="1">
      <alignment horizontal="left" vertical="center"/>
    </xf>
    <xf numFmtId="172" fontId="37" fillId="11" borderId="32" xfId="0" applyNumberFormat="1" applyFont="1" applyFill="1" applyBorder="1" applyAlignment="1" applyProtection="1">
      <alignment vertical="center"/>
      <protection locked="0"/>
    </xf>
    <xf numFmtId="0" fontId="36" fillId="11" borderId="0" xfId="0" applyFont="1" applyFill="1" applyAlignment="1">
      <alignment vertical="center"/>
    </xf>
    <xf numFmtId="172" fontId="37" fillId="11" borderId="3" xfId="0" applyNumberFormat="1" applyFont="1" applyFill="1" applyBorder="1" applyAlignment="1" applyProtection="1">
      <alignment vertical="center"/>
      <protection locked="0"/>
    </xf>
    <xf numFmtId="0" fontId="95" fillId="0" borderId="0" xfId="0" applyFont="1"/>
    <xf numFmtId="49" fontId="96" fillId="11" borderId="31" xfId="0" applyNumberFormat="1" applyFont="1" applyFill="1" applyBorder="1" applyAlignment="1">
      <alignment horizontal="left" vertical="center"/>
    </xf>
    <xf numFmtId="168" fontId="38" fillId="0" borderId="0" xfId="0" applyNumberFormat="1" applyFont="1" applyFill="1" applyAlignment="1">
      <alignment vertical="center"/>
    </xf>
    <xf numFmtId="1" fontId="17" fillId="5" borderId="3" xfId="0" applyNumberFormat="1" applyFont="1" applyFill="1" applyBorder="1" applyAlignment="1">
      <alignment horizontal="right" vertical="center"/>
    </xf>
    <xf numFmtId="49" fontId="57" fillId="0" borderId="0" xfId="0" applyNumberFormat="1" applyFont="1" applyBorder="1" applyAlignment="1">
      <alignment horizontal="center" vertical="center" wrapText="1"/>
    </xf>
    <xf numFmtId="49" fontId="66" fillId="0" borderId="0" xfId="0" applyNumberFormat="1" applyFont="1" applyBorder="1" applyAlignment="1">
      <alignment horizontal="center" vertical="center" wrapText="1"/>
    </xf>
    <xf numFmtId="49" fontId="78" fillId="0" borderId="32" xfId="0" applyNumberFormat="1" applyFont="1" applyBorder="1" applyAlignment="1">
      <alignment vertical="center"/>
    </xf>
    <xf numFmtId="0" fontId="100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100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57" fillId="0" borderId="0" xfId="0" applyFont="1" applyBorder="1" applyAlignment="1">
      <alignment vertical="center"/>
    </xf>
    <xf numFmtId="1" fontId="98" fillId="0" borderId="0" xfId="0" applyNumberFormat="1" applyFont="1" applyBorder="1" applyAlignment="1">
      <alignment horizontal="center" vertical="center"/>
    </xf>
    <xf numFmtId="1" fontId="98" fillId="0" borderId="2" xfId="0" applyNumberFormat="1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98" fillId="0" borderId="0" xfId="0" applyFont="1" applyBorder="1" applyAlignment="1">
      <alignment horizontal="center" vertical="center"/>
    </xf>
    <xf numFmtId="0" fontId="65" fillId="0" borderId="0" xfId="0" applyFont="1" applyAlignment="1">
      <alignment horizontal="right" vertical="center"/>
    </xf>
    <xf numFmtId="0" fontId="65" fillId="0" borderId="0" xfId="0" applyFont="1" applyAlignment="1">
      <alignment horizontal="left" vertical="center"/>
    </xf>
    <xf numFmtId="1" fontId="17" fillId="5" borderId="3" xfId="0" applyNumberFormat="1" applyFont="1" applyFill="1" applyBorder="1" applyAlignment="1">
      <alignment vertical="center"/>
    </xf>
    <xf numFmtId="1" fontId="36" fillId="3" borderId="3" xfId="0" applyNumberFormat="1" applyFont="1" applyFill="1" applyBorder="1" applyAlignment="1">
      <alignment vertical="center"/>
    </xf>
    <xf numFmtId="1" fontId="17" fillId="0" borderId="0" xfId="0" applyNumberFormat="1" applyFont="1" applyAlignment="1">
      <alignment horizontal="right" vertical="center"/>
    </xf>
    <xf numFmtId="1" fontId="19" fillId="0" borderId="3" xfId="0" applyNumberFormat="1" applyFont="1" applyBorder="1" applyAlignment="1" applyProtection="1">
      <alignment vertical="center"/>
      <protection locked="0"/>
    </xf>
    <xf numFmtId="1" fontId="19" fillId="6" borderId="3" xfId="0" applyNumberFormat="1" applyFont="1" applyFill="1" applyBorder="1" applyAlignment="1" applyProtection="1">
      <alignment vertical="center"/>
      <protection locked="0"/>
    </xf>
    <xf numFmtId="1" fontId="19" fillId="0" borderId="3" xfId="0" applyNumberFormat="1" applyFont="1" applyBorder="1" applyAlignment="1">
      <alignment vertical="center"/>
    </xf>
    <xf numFmtId="1" fontId="3" fillId="0" borderId="3" xfId="0" applyNumberFormat="1" applyFont="1" applyFill="1" applyBorder="1" applyAlignment="1">
      <alignment vertical="center"/>
    </xf>
    <xf numFmtId="1" fontId="19" fillId="6" borderId="3" xfId="0" applyNumberFormat="1" applyFont="1" applyFill="1" applyBorder="1" applyAlignment="1">
      <alignment vertical="center"/>
    </xf>
    <xf numFmtId="1" fontId="31" fillId="3" borderId="3" xfId="0" applyNumberFormat="1" applyFont="1" applyFill="1" applyBorder="1" applyAlignment="1">
      <alignment vertical="center"/>
    </xf>
    <xf numFmtId="1" fontId="31" fillId="3" borderId="3" xfId="0" applyNumberFormat="1" applyFont="1" applyFill="1" applyBorder="1" applyAlignment="1" applyProtection="1">
      <alignment vertical="center"/>
      <protection locked="0"/>
    </xf>
    <xf numFmtId="0" fontId="88" fillId="0" borderId="0" xfId="0" applyFont="1"/>
    <xf numFmtId="0" fontId="2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1" fontId="10" fillId="0" borderId="2" xfId="0" applyNumberFormat="1" applyFont="1" applyBorder="1" applyAlignment="1">
      <alignment horizontal="center" vertical="center"/>
    </xf>
    <xf numFmtId="0" fontId="102" fillId="0" borderId="32" xfId="0" applyFont="1" applyBorder="1" applyAlignment="1">
      <alignment vertical="center"/>
    </xf>
    <xf numFmtId="0" fontId="66" fillId="0" borderId="31" xfId="0" applyFont="1" applyBorder="1" applyAlignment="1">
      <alignment vertical="center"/>
    </xf>
    <xf numFmtId="0" fontId="17" fillId="0" borderId="0" xfId="0" applyFont="1" applyAlignment="1">
      <alignment horizontal="right"/>
    </xf>
    <xf numFmtId="0" fontId="17" fillId="0" borderId="0" xfId="0" applyFont="1"/>
    <xf numFmtId="0" fontId="41" fillId="0" borderId="0" xfId="0" applyFont="1" applyFill="1" applyBorder="1"/>
    <xf numFmtId="0" fontId="103" fillId="2" borderId="0" xfId="0" applyFont="1" applyFill="1"/>
    <xf numFmtId="0" fontId="71" fillId="2" borderId="31" xfId="0" applyFont="1" applyFill="1" applyBorder="1"/>
    <xf numFmtId="0" fontId="71" fillId="2" borderId="32" xfId="0" applyFont="1" applyFill="1" applyBorder="1"/>
    <xf numFmtId="0" fontId="97" fillId="2" borderId="32" xfId="0" applyFont="1" applyFill="1" applyBorder="1"/>
    <xf numFmtId="0" fontId="97" fillId="2" borderId="34" xfId="0" applyFont="1" applyFill="1" applyBorder="1"/>
    <xf numFmtId="0" fontId="55" fillId="0" borderId="31" xfId="0" applyFont="1" applyBorder="1" applyAlignment="1">
      <alignment vertical="center"/>
    </xf>
    <xf numFmtId="0" fontId="17" fillId="0" borderId="0" xfId="0" applyFont="1" applyAlignment="1">
      <alignment horizontal="left"/>
    </xf>
    <xf numFmtId="0" fontId="0" fillId="2" borderId="31" xfId="0" applyFill="1" applyBorder="1"/>
    <xf numFmtId="0" fontId="0" fillId="2" borderId="32" xfId="0" applyFill="1" applyBorder="1"/>
    <xf numFmtId="0" fontId="71" fillId="0" borderId="0" xfId="0" applyFont="1"/>
    <xf numFmtId="0" fontId="17" fillId="0" borderId="3" xfId="0" applyFont="1" applyBorder="1"/>
    <xf numFmtId="1" fontId="10" fillId="0" borderId="33" xfId="0" applyNumberFormat="1" applyFont="1" applyBorder="1" applyAlignment="1">
      <alignment horizontal="center" vertical="center"/>
    </xf>
    <xf numFmtId="181" fontId="37" fillId="3" borderId="3" xfId="0" applyNumberFormat="1" applyFont="1" applyFill="1" applyBorder="1" applyAlignment="1">
      <alignment vertical="center"/>
    </xf>
    <xf numFmtId="171" fontId="10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0" fontId="2" fillId="0" borderId="3" xfId="0" applyNumberFormat="1" applyFont="1" applyBorder="1" applyAlignment="1">
      <alignment horizontal="center" vertical="center"/>
    </xf>
    <xf numFmtId="183" fontId="2" fillId="0" borderId="3" xfId="0" applyNumberFormat="1" applyFont="1" applyBorder="1" applyAlignment="1">
      <alignment horizontal="center" vertical="center"/>
    </xf>
    <xf numFmtId="183" fontId="2" fillId="0" borderId="3" xfId="0" applyNumberFormat="1" applyFont="1" applyBorder="1" applyAlignment="1">
      <alignment vertical="center" wrapText="1"/>
    </xf>
    <xf numFmtId="172" fontId="2" fillId="0" borderId="3" xfId="0" applyNumberFormat="1" applyFont="1" applyBorder="1" applyAlignment="1">
      <alignment horizontal="left" vertical="center" wrapText="1" indent="2"/>
    </xf>
    <xf numFmtId="0" fontId="5" fillId="0" borderId="0" xfId="0" applyFont="1" applyBorder="1" applyAlignment="1">
      <alignment vertical="center" wrapText="1"/>
    </xf>
    <xf numFmtId="0" fontId="105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57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left" vertical="center" wrapText="1"/>
    </xf>
    <xf numFmtId="0" fontId="10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164" fontId="48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0" fontId="37" fillId="0" borderId="32" xfId="0" applyFont="1" applyBorder="1" applyAlignment="1">
      <alignment vertical="center"/>
    </xf>
    <xf numFmtId="164" fontId="48" fillId="0" borderId="3" xfId="0" applyNumberFormat="1" applyFont="1" applyFill="1" applyBorder="1" applyAlignment="1">
      <alignment horizontal="right" vertical="center"/>
    </xf>
    <xf numFmtId="164" fontId="48" fillId="0" borderId="3" xfId="0" applyNumberFormat="1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10" fontId="48" fillId="8" borderId="3" xfId="0" applyNumberFormat="1" applyFont="1" applyFill="1" applyBorder="1" applyAlignment="1">
      <alignment vertical="center"/>
    </xf>
    <xf numFmtId="2" fontId="48" fillId="8" borderId="3" xfId="0" applyNumberFormat="1" applyFont="1" applyFill="1" applyBorder="1" applyAlignment="1">
      <alignment vertical="center"/>
    </xf>
    <xf numFmtId="4" fontId="48" fillId="8" borderId="3" xfId="0" applyNumberFormat="1" applyFont="1" applyFill="1" applyBorder="1" applyAlignment="1">
      <alignment vertical="center"/>
    </xf>
    <xf numFmtId="4" fontId="36" fillId="8" borderId="3" xfId="0" applyNumberFormat="1" applyFont="1" applyFill="1" applyBorder="1" applyAlignment="1">
      <alignment vertical="center"/>
    </xf>
    <xf numFmtId="0" fontId="36" fillId="0" borderId="3" xfId="0" applyFont="1" applyFill="1" applyBorder="1" applyAlignment="1">
      <alignment horizontal="left" vertical="center"/>
    </xf>
    <xf numFmtId="184" fontId="2" fillId="0" borderId="3" xfId="0" applyNumberFormat="1" applyFont="1" applyBorder="1" applyAlignment="1">
      <alignment horizontal="center" vertical="center"/>
    </xf>
    <xf numFmtId="184" fontId="2" fillId="0" borderId="3" xfId="0" applyNumberFormat="1" applyFont="1" applyBorder="1" applyAlignment="1">
      <alignment vertical="center" wrapText="1"/>
    </xf>
    <xf numFmtId="168" fontId="37" fillId="0" borderId="0" xfId="0" applyNumberFormat="1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4" fontId="48" fillId="8" borderId="0" xfId="0" applyNumberFormat="1" applyFont="1" applyFill="1" applyBorder="1" applyAlignment="1">
      <alignment vertical="center"/>
    </xf>
    <xf numFmtId="2" fontId="75" fillId="8" borderId="0" xfId="0" applyNumberFormat="1" applyFont="1" applyFill="1" applyBorder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right" vertical="center"/>
    </xf>
    <xf numFmtId="0" fontId="4" fillId="0" borderId="52" xfId="0" applyFont="1" applyBorder="1" applyAlignment="1">
      <alignment horizontal="right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center"/>
    </xf>
    <xf numFmtId="0" fontId="4" fillId="0" borderId="55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65" fillId="0" borderId="32" xfId="0" applyFont="1" applyBorder="1" applyAlignment="1">
      <alignment horizontal="center" vertical="center"/>
    </xf>
    <xf numFmtId="0" fontId="65" fillId="0" borderId="56" xfId="0" applyFont="1" applyBorder="1" applyAlignment="1">
      <alignment horizontal="center" vertical="center"/>
    </xf>
    <xf numFmtId="0" fontId="65" fillId="0" borderId="56" xfId="0" applyFont="1" applyBorder="1" applyAlignment="1">
      <alignment horizontal="left" vertical="center"/>
    </xf>
    <xf numFmtId="0" fontId="65" fillId="0" borderId="5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65" fillId="0" borderId="3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5" fillId="0" borderId="1" xfId="0" applyFont="1" applyBorder="1" applyAlignment="1">
      <alignment horizontal="center" vertical="center"/>
    </xf>
    <xf numFmtId="0" fontId="65" fillId="0" borderId="56" xfId="0" applyFont="1" applyBorder="1" applyAlignment="1">
      <alignment vertical="center"/>
    </xf>
    <xf numFmtId="0" fontId="4" fillId="0" borderId="58" xfId="0" applyFont="1" applyBorder="1" applyAlignment="1">
      <alignment horizontal="center" vertical="center"/>
    </xf>
    <xf numFmtId="0" fontId="65" fillId="0" borderId="58" xfId="0" applyFont="1" applyBorder="1" applyAlignment="1">
      <alignment horizontal="left" vertical="center"/>
    </xf>
    <xf numFmtId="0" fontId="4" fillId="0" borderId="5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65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5" xfId="0" applyFont="1" applyBorder="1" applyAlignment="1">
      <alignment horizontal="left" vertical="center"/>
    </xf>
    <xf numFmtId="0" fontId="4" fillId="0" borderId="6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49" xfId="0" applyFont="1" applyBorder="1" applyAlignment="1">
      <alignment horizontal="center" vertical="center"/>
    </xf>
    <xf numFmtId="0" fontId="101" fillId="0" borderId="0" xfId="0" applyFont="1" applyBorder="1" applyAlignment="1">
      <alignment horizontal="left" vertical="center"/>
    </xf>
    <xf numFmtId="0" fontId="101" fillId="0" borderId="0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65" fillId="0" borderId="31" xfId="0" applyFont="1" applyBorder="1" applyAlignment="1">
      <alignment horizontal="center" vertical="center"/>
    </xf>
    <xf numFmtId="0" fontId="65" fillId="0" borderId="32" xfId="0" applyFont="1" applyBorder="1" applyAlignment="1">
      <alignment horizontal="right" vertical="center"/>
    </xf>
    <xf numFmtId="0" fontId="106" fillId="0" borderId="0" xfId="0" applyFont="1" applyAlignment="1">
      <alignment horizontal="left" vertical="center"/>
    </xf>
    <xf numFmtId="0" fontId="65" fillId="0" borderId="33" xfId="0" applyFont="1" applyBorder="1" applyAlignment="1">
      <alignment horizontal="center" vertical="center"/>
    </xf>
    <xf numFmtId="0" fontId="65" fillId="0" borderId="2" xfId="0" applyFont="1" applyBorder="1" applyAlignment="1">
      <alignment horizontal="left" vertical="center"/>
    </xf>
    <xf numFmtId="0" fontId="65" fillId="0" borderId="32" xfId="0" applyFont="1" applyBorder="1" applyAlignment="1">
      <alignment horizontal="left" vertical="center"/>
    </xf>
    <xf numFmtId="0" fontId="101" fillId="0" borderId="0" xfId="0" applyFont="1" applyAlignment="1">
      <alignment horizontal="left" vertical="center"/>
    </xf>
    <xf numFmtId="0" fontId="101" fillId="0" borderId="31" xfId="0" applyFont="1" applyBorder="1" applyAlignment="1">
      <alignment horizontal="left" vertical="center"/>
    </xf>
    <xf numFmtId="0" fontId="101" fillId="0" borderId="32" xfId="0" applyFont="1" applyBorder="1" applyAlignment="1">
      <alignment horizontal="left" vertical="center"/>
    </xf>
    <xf numFmtId="0" fontId="101" fillId="0" borderId="34" xfId="0" applyFont="1" applyBorder="1" applyAlignment="1">
      <alignment horizontal="left" vertical="center"/>
    </xf>
    <xf numFmtId="0" fontId="101" fillId="0" borderId="3" xfId="0" applyFont="1" applyBorder="1" applyAlignment="1">
      <alignment horizontal="center" vertical="center"/>
    </xf>
    <xf numFmtId="0" fontId="101" fillId="0" borderId="32" xfId="0" applyFont="1" applyBorder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01" fillId="0" borderId="48" xfId="0" applyFont="1" applyBorder="1" applyAlignment="1">
      <alignment horizontal="center" vertical="center"/>
    </xf>
    <xf numFmtId="0" fontId="101" fillId="0" borderId="33" xfId="0" applyFont="1" applyBorder="1" applyAlignment="1">
      <alignment horizontal="center" vertical="center"/>
    </xf>
    <xf numFmtId="0" fontId="101" fillId="0" borderId="29" xfId="0" applyFont="1" applyBorder="1" applyAlignment="1">
      <alignment horizontal="left" vertical="center"/>
    </xf>
    <xf numFmtId="0" fontId="101" fillId="0" borderId="1" xfId="0" applyFont="1" applyBorder="1" applyAlignment="1">
      <alignment horizontal="left" vertical="center"/>
    </xf>
    <xf numFmtId="0" fontId="101" fillId="0" borderId="5" xfId="0" applyFont="1" applyBorder="1" applyAlignment="1">
      <alignment horizontal="left" vertical="center"/>
    </xf>
    <xf numFmtId="0" fontId="101" fillId="0" borderId="24" xfId="0" applyFont="1" applyBorder="1" applyAlignment="1">
      <alignment horizontal="left" vertical="center"/>
    </xf>
    <xf numFmtId="0" fontId="101" fillId="0" borderId="2" xfId="0" applyFont="1" applyBorder="1" applyAlignment="1">
      <alignment horizontal="left" vertical="center"/>
    </xf>
    <xf numFmtId="0" fontId="101" fillId="0" borderId="6" xfId="0" applyFont="1" applyBorder="1" applyAlignment="1">
      <alignment horizontal="left" vertical="center"/>
    </xf>
    <xf numFmtId="0" fontId="65" fillId="0" borderId="3" xfId="0" applyFont="1" applyBorder="1" applyAlignment="1">
      <alignment horizontal="center" vertical="center"/>
    </xf>
    <xf numFmtId="0" fontId="65" fillId="0" borderId="31" xfId="0" applyFont="1" applyBorder="1" applyAlignment="1">
      <alignment horizontal="left" vertical="center"/>
    </xf>
    <xf numFmtId="0" fontId="65" fillId="0" borderId="34" xfId="0" applyFont="1" applyBorder="1" applyAlignment="1">
      <alignment horizontal="left" vertical="center"/>
    </xf>
    <xf numFmtId="0" fontId="65" fillId="0" borderId="29" xfId="0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0" fontId="65" fillId="0" borderId="5" xfId="0" applyFont="1" applyBorder="1" applyAlignment="1">
      <alignment horizontal="left" vertical="center"/>
    </xf>
    <xf numFmtId="0" fontId="65" fillId="0" borderId="24" xfId="0" applyFont="1" applyBorder="1" applyAlignment="1">
      <alignment horizontal="left" vertical="center"/>
    </xf>
    <xf numFmtId="0" fontId="65" fillId="0" borderId="6" xfId="0" applyFont="1" applyBorder="1" applyAlignment="1">
      <alignment horizontal="left" vertical="center"/>
    </xf>
    <xf numFmtId="0" fontId="101" fillId="0" borderId="18" xfId="0" applyFont="1" applyBorder="1" applyAlignment="1">
      <alignment horizontal="left" vertical="center"/>
    </xf>
    <xf numFmtId="0" fontId="101" fillId="0" borderId="4" xfId="0" applyFont="1" applyBorder="1" applyAlignment="1">
      <alignment horizontal="left" vertical="center"/>
    </xf>
    <xf numFmtId="0" fontId="101" fillId="0" borderId="0" xfId="0" applyFont="1" applyAlignment="1">
      <alignment horizontal="right" vertical="center"/>
    </xf>
    <xf numFmtId="0" fontId="101" fillId="0" borderId="2" xfId="0" applyFont="1" applyBorder="1" applyAlignment="1">
      <alignment horizontal="center" vertical="center"/>
    </xf>
    <xf numFmtId="0" fontId="65" fillId="0" borderId="48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101" fillId="0" borderId="3" xfId="0" applyFont="1" applyBorder="1" applyAlignment="1">
      <alignment horizontal="left" vertical="center"/>
    </xf>
    <xf numFmtId="0" fontId="101" fillId="0" borderId="69" xfId="0" applyFont="1" applyBorder="1" applyAlignment="1">
      <alignment horizontal="left" vertical="center" wrapText="1"/>
    </xf>
    <xf numFmtId="0" fontId="101" fillId="0" borderId="70" xfId="0" applyFont="1" applyBorder="1" applyAlignment="1">
      <alignment horizontal="left" vertical="center"/>
    </xf>
    <xf numFmtId="0" fontId="101" fillId="0" borderId="58" xfId="0" applyFont="1" applyBorder="1" applyAlignment="1">
      <alignment horizontal="left" vertical="center"/>
    </xf>
    <xf numFmtId="0" fontId="101" fillId="0" borderId="58" xfId="0" applyFont="1" applyBorder="1" applyAlignment="1">
      <alignment horizontal="center" vertical="center"/>
    </xf>
    <xf numFmtId="0" fontId="101" fillId="0" borderId="71" xfId="0" applyFont="1" applyBorder="1" applyAlignment="1">
      <alignment horizontal="left" vertical="center"/>
    </xf>
    <xf numFmtId="0" fontId="65" fillId="0" borderId="72" xfId="0" applyFont="1" applyBorder="1" applyAlignment="1">
      <alignment horizontal="center" vertical="center"/>
    </xf>
    <xf numFmtId="0" fontId="101" fillId="0" borderId="73" xfId="0" applyFont="1" applyBorder="1" applyAlignment="1">
      <alignment horizontal="center" vertical="center"/>
    </xf>
    <xf numFmtId="0" fontId="101" fillId="0" borderId="72" xfId="0" applyFont="1" applyBorder="1" applyAlignment="1">
      <alignment horizontal="center" vertical="center"/>
    </xf>
    <xf numFmtId="0" fontId="65" fillId="0" borderId="74" xfId="0" applyFont="1" applyBorder="1" applyAlignment="1">
      <alignment horizontal="center" vertical="center"/>
    </xf>
    <xf numFmtId="0" fontId="65" fillId="0" borderId="73" xfId="0" applyFont="1" applyBorder="1" applyAlignment="1">
      <alignment horizontal="center" vertical="center"/>
    </xf>
    <xf numFmtId="0" fontId="101" fillId="0" borderId="75" xfId="0" applyFont="1" applyBorder="1" applyAlignment="1">
      <alignment horizontal="center" vertical="center"/>
    </xf>
    <xf numFmtId="0" fontId="101" fillId="0" borderId="76" xfId="0" applyFont="1" applyBorder="1" applyAlignment="1">
      <alignment horizontal="center" vertical="center"/>
    </xf>
    <xf numFmtId="0" fontId="101" fillId="0" borderId="77" xfId="0" applyFont="1" applyBorder="1" applyAlignment="1">
      <alignment horizontal="left" vertical="center"/>
    </xf>
    <xf numFmtId="0" fontId="101" fillId="0" borderId="67" xfId="0" applyFont="1" applyBorder="1" applyAlignment="1">
      <alignment horizontal="left" vertical="center"/>
    </xf>
    <xf numFmtId="0" fontId="101" fillId="0" borderId="78" xfId="0" applyFont="1" applyBorder="1" applyAlignment="1">
      <alignment horizontal="left" vertical="center"/>
    </xf>
    <xf numFmtId="181" fontId="65" fillId="0" borderId="29" xfId="0" applyNumberFormat="1" applyFont="1" applyBorder="1" applyAlignment="1">
      <alignment horizontal="left" vertical="center"/>
    </xf>
    <xf numFmtId="181" fontId="65" fillId="0" borderId="1" xfId="0" applyNumberFormat="1" applyFont="1" applyBorder="1" applyAlignment="1">
      <alignment horizontal="left" vertical="center"/>
    </xf>
    <xf numFmtId="181" fontId="65" fillId="0" borderId="61" xfId="0" applyNumberFormat="1" applyFont="1" applyBorder="1" applyAlignment="1">
      <alignment horizontal="left" vertical="center"/>
    </xf>
    <xf numFmtId="181" fontId="65" fillId="0" borderId="24" xfId="0" applyNumberFormat="1" applyFont="1" applyBorder="1" applyAlignment="1">
      <alignment horizontal="left" vertical="center"/>
    </xf>
    <xf numFmtId="181" fontId="65" fillId="0" borderId="2" xfId="0" applyNumberFormat="1" applyFont="1" applyBorder="1" applyAlignment="1">
      <alignment horizontal="left" vertical="center"/>
    </xf>
    <xf numFmtId="181" fontId="65" fillId="0" borderId="63" xfId="0" applyNumberFormat="1" applyFont="1" applyBorder="1" applyAlignment="1">
      <alignment horizontal="left" vertical="center"/>
    </xf>
    <xf numFmtId="0" fontId="88" fillId="0" borderId="0" xfId="0" applyFont="1" applyAlignment="1">
      <alignment horizontal="center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horizontal="center" vertical="center"/>
    </xf>
    <xf numFmtId="0" fontId="81" fillId="0" borderId="31" xfId="0" applyFont="1" applyBorder="1" applyAlignment="1">
      <alignment horizontal="center" vertical="center"/>
    </xf>
    <xf numFmtId="0" fontId="81" fillId="0" borderId="32" xfId="0" applyFont="1" applyBorder="1" applyAlignment="1">
      <alignment horizontal="center" vertical="center"/>
    </xf>
    <xf numFmtId="0" fontId="81" fillId="0" borderId="32" xfId="0" applyFont="1" applyBorder="1" applyAlignment="1">
      <alignment horizontal="right" vertical="center"/>
    </xf>
    <xf numFmtId="0" fontId="81" fillId="0" borderId="34" xfId="0" applyFont="1" applyBorder="1" applyAlignment="1">
      <alignment horizontal="center" vertical="center"/>
    </xf>
    <xf numFmtId="0" fontId="84" fillId="0" borderId="0" xfId="0" applyFont="1"/>
    <xf numFmtId="0" fontId="81" fillId="0" borderId="0" xfId="0" applyFont="1"/>
    <xf numFmtId="0" fontId="88" fillId="0" borderId="2" xfId="0" applyFont="1" applyBorder="1"/>
    <xf numFmtId="0" fontId="88" fillId="0" borderId="0" xfId="0" applyFont="1" applyAlignment="1">
      <alignment horizontal="center"/>
    </xf>
    <xf numFmtId="0" fontId="108" fillId="0" borderId="0" xfId="0" applyFont="1"/>
    <xf numFmtId="0" fontId="88" fillId="0" borderId="32" xfId="0" applyFont="1" applyBorder="1" applyAlignment="1">
      <alignment horizontal="center" vertical="center"/>
    </xf>
    <xf numFmtId="0" fontId="81" fillId="0" borderId="0" xfId="0" applyFont="1" applyBorder="1" applyAlignment="1">
      <alignment horizontal="center" vertical="center"/>
    </xf>
    <xf numFmtId="0" fontId="88" fillId="0" borderId="0" xfId="0" applyFont="1" applyBorder="1" applyAlignment="1">
      <alignment horizontal="center" vertical="center"/>
    </xf>
    <xf numFmtId="0" fontId="81" fillId="0" borderId="0" xfId="0" applyFont="1" applyAlignment="1">
      <alignment horizontal="center"/>
    </xf>
    <xf numFmtId="181" fontId="88" fillId="0" borderId="1" xfId="0" applyNumberFormat="1" applyFont="1" applyBorder="1" applyAlignment="1"/>
    <xf numFmtId="0" fontId="88" fillId="0" borderId="64" xfId="0" applyFont="1" applyBorder="1"/>
    <xf numFmtId="0" fontId="88" fillId="0" borderId="0" xfId="0" applyFont="1" applyBorder="1"/>
    <xf numFmtId="0" fontId="88" fillId="0" borderId="49" xfId="0" applyFont="1" applyBorder="1"/>
    <xf numFmtId="0" fontId="88" fillId="0" borderId="0" xfId="0" applyFont="1" applyBorder="1" applyAlignment="1">
      <alignment horizontal="right"/>
    </xf>
    <xf numFmtId="0" fontId="88" fillId="0" borderId="66" xfId="0" applyFont="1" applyBorder="1"/>
    <xf numFmtId="0" fontId="88" fillId="0" borderId="67" xfId="0" applyFont="1" applyBorder="1"/>
    <xf numFmtId="0" fontId="88" fillId="0" borderId="68" xfId="0" applyFont="1" applyBorder="1"/>
    <xf numFmtId="0" fontId="88" fillId="0" borderId="2" xfId="0" applyFont="1" applyBorder="1" applyAlignment="1"/>
    <xf numFmtId="0" fontId="88" fillId="0" borderId="31" xfId="0" applyFont="1" applyBorder="1" applyAlignment="1">
      <alignment horizontal="center" vertical="center"/>
    </xf>
    <xf numFmtId="0" fontId="81" fillId="0" borderId="79" xfId="0" applyFont="1" applyBorder="1"/>
    <xf numFmtId="0" fontId="81" fillId="0" borderId="58" xfId="0" applyFont="1" applyBorder="1"/>
    <xf numFmtId="0" fontId="81" fillId="0" borderId="59" xfId="0" applyFont="1" applyBorder="1"/>
    <xf numFmtId="0" fontId="81" fillId="0" borderId="33" xfId="0" applyFont="1" applyBorder="1"/>
    <xf numFmtId="0" fontId="81" fillId="0" borderId="1" xfId="0" applyFont="1" applyBorder="1" applyAlignment="1"/>
    <xf numFmtId="181" fontId="81" fillId="0" borderId="2" xfId="0" applyNumberFormat="1" applyFont="1" applyBorder="1" applyAlignment="1"/>
    <xf numFmtId="181" fontId="81" fillId="0" borderId="0" xfId="0" applyNumberFormat="1" applyFont="1" applyBorder="1" applyAlignment="1"/>
    <xf numFmtId="0" fontId="81" fillId="0" borderId="32" xfId="0" applyFont="1" applyBorder="1" applyAlignment="1"/>
    <xf numFmtId="181" fontId="88" fillId="0" borderId="32" xfId="0" applyNumberFormat="1" applyFont="1" applyBorder="1" applyAlignment="1"/>
    <xf numFmtId="0" fontId="88" fillId="0" borderId="2" xfId="0" applyFont="1" applyBorder="1" applyAlignment="1">
      <alignment horizontal="right"/>
    </xf>
    <xf numFmtId="0" fontId="87" fillId="0" borderId="0" xfId="0" applyFont="1" applyAlignment="1">
      <alignment horizontal="center"/>
    </xf>
    <xf numFmtId="181" fontId="84" fillId="0" borderId="0" xfId="0" applyNumberFormat="1" applyFont="1"/>
    <xf numFmtId="181" fontId="84" fillId="0" borderId="0" xfId="0" applyNumberFormat="1" applyFont="1" applyAlignment="1">
      <alignment horizontal="center"/>
    </xf>
    <xf numFmtId="1" fontId="84" fillId="0" borderId="48" xfId="0" applyNumberFormat="1" applyFont="1" applyBorder="1" applyAlignment="1">
      <alignment horizontal="center"/>
    </xf>
    <xf numFmtId="181" fontId="84" fillId="0" borderId="33" xfId="0" applyNumberFormat="1" applyFont="1" applyBorder="1" applyAlignment="1">
      <alignment horizontal="center"/>
    </xf>
    <xf numFmtId="1" fontId="84" fillId="0" borderId="29" xfId="0" applyNumberFormat="1" applyFont="1" applyBorder="1" applyAlignment="1">
      <alignment horizontal="center"/>
    </xf>
    <xf numFmtId="181" fontId="84" fillId="0" borderId="24" xfId="0" applyNumberFormat="1" applyFont="1" applyBorder="1"/>
    <xf numFmtId="0" fontId="84" fillId="0" borderId="0" xfId="0" applyFont="1" applyAlignment="1">
      <alignment horizontal="center"/>
    </xf>
    <xf numFmtId="0" fontId="84" fillId="0" borderId="31" xfId="0" applyFont="1" applyBorder="1"/>
    <xf numFmtId="0" fontId="84" fillId="0" borderId="32" xfId="0" applyFont="1" applyBorder="1"/>
    <xf numFmtId="0" fontId="84" fillId="0" borderId="34" xfId="0" applyFont="1" applyBorder="1"/>
    <xf numFmtId="0" fontId="84" fillId="0" borderId="3" xfId="0" applyFont="1" applyBorder="1"/>
    <xf numFmtId="0" fontId="84" fillId="0" borderId="29" xfId="0" applyFont="1" applyBorder="1"/>
    <xf numFmtId="0" fontId="84" fillId="0" borderId="1" xfId="0" applyFont="1" applyBorder="1"/>
    <xf numFmtId="0" fontId="84" fillId="0" borderId="5" xfId="0" applyFont="1" applyBorder="1"/>
    <xf numFmtId="0" fontId="84" fillId="0" borderId="24" xfId="0" applyFont="1" applyBorder="1"/>
    <xf numFmtId="0" fontId="84" fillId="0" borderId="2" xfId="0" applyFont="1" applyBorder="1"/>
    <xf numFmtId="0" fontId="84" fillId="0" borderId="6" xfId="0" applyFont="1" applyBorder="1"/>
    <xf numFmtId="181" fontId="84" fillId="0" borderId="3" xfId="0" applyNumberFormat="1" applyFont="1" applyBorder="1"/>
    <xf numFmtId="0" fontId="91" fillId="0" borderId="0" xfId="0" applyFont="1"/>
    <xf numFmtId="181" fontId="81" fillId="0" borderId="0" xfId="0" applyNumberFormat="1" applyFont="1" applyAlignment="1">
      <alignment horizontal="center"/>
    </xf>
    <xf numFmtId="181" fontId="83" fillId="0" borderId="0" xfId="0" applyNumberFormat="1" applyFont="1" applyAlignment="1">
      <alignment horizontal="center"/>
    </xf>
    <xf numFmtId="0" fontId="83" fillId="0" borderId="0" xfId="0" applyFont="1"/>
    <xf numFmtId="181" fontId="83" fillId="0" borderId="0" xfId="0" applyNumberFormat="1" applyFont="1" applyAlignment="1">
      <alignment horizontal="right"/>
    </xf>
    <xf numFmtId="181" fontId="83" fillId="0" borderId="0" xfId="0" applyNumberFormat="1" applyFont="1"/>
    <xf numFmtId="181" fontId="83" fillId="0" borderId="2" xfId="0" applyNumberFormat="1" applyFont="1" applyBorder="1" applyAlignment="1">
      <alignment horizontal="center"/>
    </xf>
    <xf numFmtId="0" fontId="84" fillId="0" borderId="32" xfId="0" applyFont="1" applyBorder="1" applyAlignment="1">
      <alignment horizontal="right" vertical="center"/>
    </xf>
    <xf numFmtId="0" fontId="84" fillId="0" borderId="33" xfId="0" applyFont="1" applyBorder="1" applyAlignment="1">
      <alignment vertical="center"/>
    </xf>
    <xf numFmtId="0" fontId="57" fillId="0" borderId="33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84" fillId="0" borderId="2" xfId="0" applyFont="1" applyBorder="1" applyAlignment="1">
      <alignment vertical="center"/>
    </xf>
    <xf numFmtId="0" fontId="84" fillId="0" borderId="29" xfId="0" applyFont="1" applyBorder="1" applyAlignment="1">
      <alignment vertical="center"/>
    </xf>
    <xf numFmtId="0" fontId="84" fillId="0" borderId="1" xfId="0" applyFont="1" applyBorder="1" applyAlignment="1">
      <alignment vertical="center"/>
    </xf>
    <xf numFmtId="0" fontId="84" fillId="0" borderId="5" xfId="0" applyFont="1" applyBorder="1" applyAlignment="1">
      <alignment vertical="center"/>
    </xf>
    <xf numFmtId="0" fontId="84" fillId="0" borderId="18" xfId="0" applyFont="1" applyBorder="1" applyAlignment="1">
      <alignment vertical="center"/>
    </xf>
    <xf numFmtId="0" fontId="84" fillId="0" borderId="4" xfId="0" applyFont="1" applyBorder="1" applyAlignment="1">
      <alignment vertical="center"/>
    </xf>
    <xf numFmtId="0" fontId="84" fillId="0" borderId="24" xfId="0" applyFont="1" applyBorder="1" applyAlignment="1">
      <alignment vertical="center"/>
    </xf>
    <xf numFmtId="0" fontId="84" fillId="0" borderId="6" xfId="0" applyFont="1" applyBorder="1" applyAlignment="1">
      <alignment vertical="center"/>
    </xf>
    <xf numFmtId="0" fontId="84" fillId="0" borderId="79" xfId="0" applyFont="1" applyBorder="1" applyAlignment="1">
      <alignment vertical="center"/>
    </xf>
    <xf numFmtId="0" fontId="84" fillId="0" borderId="58" xfId="0" applyFont="1" applyBorder="1" applyAlignment="1">
      <alignment vertical="center"/>
    </xf>
    <xf numFmtId="0" fontId="84" fillId="0" borderId="59" xfId="0" applyFont="1" applyBorder="1" applyAlignment="1">
      <alignment vertical="center"/>
    </xf>
    <xf numFmtId="0" fontId="84" fillId="0" borderId="51" xfId="0" applyFont="1" applyBorder="1" applyAlignment="1">
      <alignment vertical="center"/>
    </xf>
    <xf numFmtId="0" fontId="84" fillId="0" borderId="80" xfId="0" applyFont="1" applyBorder="1" applyAlignment="1">
      <alignment vertical="center"/>
    </xf>
    <xf numFmtId="0" fontId="84" fillId="0" borderId="60" xfId="0" applyFont="1" applyBorder="1" applyAlignment="1">
      <alignment vertical="center"/>
    </xf>
    <xf numFmtId="0" fontId="84" fillId="0" borderId="61" xfId="0" applyFont="1" applyBorder="1" applyAlignment="1">
      <alignment vertical="center"/>
    </xf>
    <xf numFmtId="0" fontId="84" fillId="0" borderId="64" xfId="0" applyFont="1" applyBorder="1" applyAlignment="1">
      <alignment vertical="center"/>
    </xf>
    <xf numFmtId="0" fontId="84" fillId="0" borderId="49" xfId="0" applyFont="1" applyBorder="1" applyAlignment="1">
      <alignment vertical="center"/>
    </xf>
    <xf numFmtId="0" fontId="84" fillId="0" borderId="62" xfId="0" applyFont="1" applyBorder="1" applyAlignment="1">
      <alignment vertical="center"/>
    </xf>
    <xf numFmtId="0" fontId="84" fillId="0" borderId="63" xfId="0" applyFont="1" applyBorder="1" applyAlignment="1">
      <alignment vertical="center"/>
    </xf>
    <xf numFmtId="0" fontId="84" fillId="0" borderId="66" xfId="0" applyFont="1" applyBorder="1" applyAlignment="1">
      <alignment vertical="center"/>
    </xf>
    <xf numFmtId="0" fontId="84" fillId="0" borderId="67" xfId="0" applyFont="1" applyBorder="1" applyAlignment="1">
      <alignment vertical="center"/>
    </xf>
    <xf numFmtId="0" fontId="84" fillId="0" borderId="68" xfId="0" applyFont="1" applyBorder="1" applyAlignment="1">
      <alignment vertical="center"/>
    </xf>
    <xf numFmtId="0" fontId="83" fillId="0" borderId="79" xfId="0" applyFont="1" applyBorder="1" applyAlignment="1">
      <alignment vertical="center"/>
    </xf>
    <xf numFmtId="0" fontId="83" fillId="0" borderId="58" xfId="0" applyFont="1" applyBorder="1" applyAlignment="1">
      <alignment vertical="center"/>
    </xf>
    <xf numFmtId="0" fontId="83" fillId="0" borderId="59" xfId="0" applyFont="1" applyBorder="1" applyAlignment="1">
      <alignment vertical="center"/>
    </xf>
    <xf numFmtId="0" fontId="80" fillId="0" borderId="1" xfId="0" applyFont="1" applyBorder="1" applyAlignment="1">
      <alignment vertical="center"/>
    </xf>
    <xf numFmtId="0" fontId="80" fillId="0" borderId="2" xfId="0" applyFont="1" applyBorder="1" applyAlignment="1">
      <alignment vertical="center"/>
    </xf>
    <xf numFmtId="0" fontId="84" fillId="0" borderId="48" xfId="0" applyFont="1" applyBorder="1" applyAlignment="1">
      <alignment vertical="center"/>
    </xf>
    <xf numFmtId="0" fontId="84" fillId="0" borderId="81" xfId="0" applyFont="1" applyBorder="1" applyAlignment="1">
      <alignment vertical="center"/>
    </xf>
    <xf numFmtId="0" fontId="92" fillId="0" borderId="2" xfId="0" applyFont="1" applyBorder="1" applyAlignment="1">
      <alignment vertical="center"/>
    </xf>
    <xf numFmtId="0" fontId="83" fillId="0" borderId="2" xfId="0" applyFont="1" applyBorder="1" applyAlignment="1">
      <alignment vertical="center"/>
    </xf>
    <xf numFmtId="0" fontId="83" fillId="0" borderId="82" xfId="0" applyFont="1" applyBorder="1" applyAlignment="1">
      <alignment vertical="center"/>
    </xf>
    <xf numFmtId="0" fontId="92" fillId="0" borderId="50" xfId="0" applyFont="1" applyBorder="1" applyAlignment="1">
      <alignment vertical="center"/>
    </xf>
    <xf numFmtId="0" fontId="83" fillId="0" borderId="50" xfId="0" applyFont="1" applyBorder="1" applyAlignment="1">
      <alignment vertical="center"/>
    </xf>
    <xf numFmtId="0" fontId="83" fillId="0" borderId="83" xfId="0" applyFont="1" applyBorder="1" applyAlignment="1">
      <alignment vertical="center"/>
    </xf>
    <xf numFmtId="0" fontId="83" fillId="0" borderId="62" xfId="0" applyFont="1" applyBorder="1" applyAlignment="1">
      <alignment vertical="center"/>
    </xf>
    <xf numFmtId="0" fontId="83" fillId="0" borderId="63" xfId="0" applyFont="1" applyBorder="1" applyAlignment="1">
      <alignment vertical="center"/>
    </xf>
    <xf numFmtId="0" fontId="84" fillId="0" borderId="73" xfId="0" applyFont="1" applyBorder="1" applyAlignment="1">
      <alignment vertical="center"/>
    </xf>
    <xf numFmtId="0" fontId="84" fillId="0" borderId="84" xfId="0" applyFont="1" applyBorder="1" applyAlignment="1">
      <alignment vertical="center"/>
    </xf>
    <xf numFmtId="0" fontId="84" fillId="0" borderId="74" xfId="0" applyFont="1" applyBorder="1" applyAlignment="1">
      <alignment vertical="center"/>
    </xf>
    <xf numFmtId="0" fontId="84" fillId="0" borderId="85" xfId="0" applyFont="1" applyBorder="1" applyAlignment="1">
      <alignment vertical="center"/>
    </xf>
    <xf numFmtId="0" fontId="84" fillId="0" borderId="72" xfId="0" applyFont="1" applyBorder="1" applyAlignment="1">
      <alignment vertical="center"/>
    </xf>
    <xf numFmtId="0" fontId="84" fillId="0" borderId="75" xfId="0" applyFont="1" applyBorder="1" applyAlignment="1">
      <alignment vertical="center"/>
    </xf>
    <xf numFmtId="0" fontId="84" fillId="0" borderId="54" xfId="0" applyFont="1" applyBorder="1" applyAlignment="1">
      <alignment vertical="center"/>
    </xf>
    <xf numFmtId="0" fontId="84" fillId="0" borderId="55" xfId="0" applyFont="1" applyBorder="1" applyAlignment="1">
      <alignment vertical="center"/>
    </xf>
    <xf numFmtId="0" fontId="84" fillId="0" borderId="65" xfId="0" applyFont="1" applyBorder="1" applyAlignment="1">
      <alignment vertical="center"/>
    </xf>
    <xf numFmtId="0" fontId="80" fillId="0" borderId="29" xfId="0" applyFont="1" applyBorder="1" applyAlignment="1">
      <alignment vertical="center"/>
    </xf>
    <xf numFmtId="0" fontId="80" fillId="0" borderId="5" xfId="0" applyFont="1" applyBorder="1" applyAlignment="1">
      <alignment vertical="center"/>
    </xf>
    <xf numFmtId="0" fontId="80" fillId="0" borderId="18" xfId="0" applyFont="1" applyBorder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24" xfId="0" applyFont="1" applyBorder="1" applyAlignment="1">
      <alignment vertical="center"/>
    </xf>
    <xf numFmtId="0" fontId="80" fillId="0" borderId="6" xfId="0" applyFont="1" applyBorder="1" applyAlignment="1">
      <alignment vertical="center"/>
    </xf>
    <xf numFmtId="0" fontId="80" fillId="0" borderId="1" xfId="0" applyFont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3" fontId="101" fillId="0" borderId="0" xfId="0" applyNumberFormat="1" applyFont="1" applyAlignment="1">
      <alignment horizontal="right" vertical="center"/>
    </xf>
    <xf numFmtId="3" fontId="65" fillId="0" borderId="0" xfId="0" applyNumberFormat="1" applyFont="1" applyAlignment="1">
      <alignment horizontal="right" vertical="center"/>
    </xf>
    <xf numFmtId="3" fontId="101" fillId="0" borderId="0" xfId="0" applyNumberFormat="1" applyFont="1" applyBorder="1" applyAlignment="1">
      <alignment horizontal="right" vertical="center"/>
    </xf>
    <xf numFmtId="0" fontId="101" fillId="12" borderId="31" xfId="0" applyFont="1" applyFill="1" applyBorder="1" applyAlignment="1">
      <alignment horizontal="left" vertical="center"/>
    </xf>
    <xf numFmtId="0" fontId="101" fillId="12" borderId="32" xfId="0" applyFont="1" applyFill="1" applyBorder="1" applyAlignment="1">
      <alignment horizontal="left" vertical="center"/>
    </xf>
    <xf numFmtId="0" fontId="101" fillId="12" borderId="0" xfId="0" applyFont="1" applyFill="1" applyAlignment="1">
      <alignment horizontal="left" vertical="center"/>
    </xf>
    <xf numFmtId="0" fontId="109" fillId="0" borderId="31" xfId="0" applyFont="1" applyBorder="1" applyAlignment="1">
      <alignment horizontal="left" vertical="center"/>
    </xf>
    <xf numFmtId="0" fontId="109" fillId="0" borderId="32" xfId="0" applyFont="1" applyBorder="1" applyAlignment="1">
      <alignment horizontal="left" vertical="center"/>
    </xf>
    <xf numFmtId="0" fontId="109" fillId="0" borderId="0" xfId="0" applyFont="1" applyAlignment="1">
      <alignment horizontal="left" vertical="center"/>
    </xf>
    <xf numFmtId="0" fontId="101" fillId="12" borderId="2" xfId="0" applyFont="1" applyFill="1" applyBorder="1" applyAlignment="1">
      <alignment horizontal="left" vertical="center"/>
    </xf>
    <xf numFmtId="0" fontId="101" fillId="12" borderId="0" xfId="0" applyFont="1" applyFill="1" applyBorder="1" applyAlignment="1">
      <alignment horizontal="left" vertical="center"/>
    </xf>
    <xf numFmtId="181" fontId="65" fillId="0" borderId="1" xfId="0" applyNumberFormat="1" applyFont="1" applyBorder="1" applyAlignment="1" applyProtection="1">
      <alignment horizontal="right" vertical="center"/>
      <protection locked="0"/>
    </xf>
    <xf numFmtId="181" fontId="65" fillId="0" borderId="61" xfId="0" applyNumberFormat="1" applyFont="1" applyBorder="1" applyAlignment="1" applyProtection="1">
      <alignment horizontal="right" vertical="center"/>
      <protection locked="0"/>
    </xf>
    <xf numFmtId="181" fontId="65" fillId="0" borderId="2" xfId="0" applyNumberFormat="1" applyFont="1" applyBorder="1" applyAlignment="1" applyProtection="1">
      <alignment horizontal="right" vertical="center"/>
      <protection locked="0"/>
    </xf>
    <xf numFmtId="181" fontId="65" fillId="0" borderId="63" xfId="0" applyNumberFormat="1" applyFont="1" applyBorder="1" applyAlignment="1" applyProtection="1">
      <alignment horizontal="right" vertical="center"/>
      <protection locked="0"/>
    </xf>
    <xf numFmtId="181" fontId="88" fillId="0" borderId="0" xfId="0" applyNumberFormat="1" applyFont="1"/>
    <xf numFmtId="49" fontId="81" fillId="0" borderId="2" xfId="0" applyNumberFormat="1" applyFont="1" applyBorder="1" applyAlignment="1"/>
    <xf numFmtId="0" fontId="81" fillId="0" borderId="33" xfId="0" applyFont="1" applyBorder="1" applyAlignment="1">
      <alignment horizontal="center"/>
    </xf>
    <xf numFmtId="0" fontId="84" fillId="0" borderId="1" xfId="0" applyFont="1" applyBorder="1" applyAlignment="1">
      <alignment horizontal="left"/>
    </xf>
    <xf numFmtId="181" fontId="84" fillId="0" borderId="1" xfId="0" applyNumberFormat="1" applyFont="1" applyBorder="1" applyAlignment="1">
      <alignment horizontal="center"/>
    </xf>
    <xf numFmtId="0" fontId="84" fillId="0" borderId="0" xfId="0" applyFont="1" applyBorder="1"/>
    <xf numFmtId="181" fontId="84" fillId="0" borderId="0" xfId="0" applyNumberFormat="1" applyFont="1" applyBorder="1"/>
    <xf numFmtId="181" fontId="84" fillId="0" borderId="2" xfId="0" applyNumberFormat="1" applyFont="1" applyBorder="1"/>
    <xf numFmtId="0" fontId="84" fillId="0" borderId="2" xfId="0" applyNumberFormat="1" applyFont="1" applyBorder="1" applyAlignment="1">
      <alignment horizontal="center"/>
    </xf>
    <xf numFmtId="0" fontId="110" fillId="0" borderId="0" xfId="0" applyFont="1" applyAlignment="1">
      <alignment horizontal="left" vertical="center"/>
    </xf>
    <xf numFmtId="0" fontId="110" fillId="0" borderId="0" xfId="0" applyFont="1" applyAlignment="1">
      <alignment horizontal="center" vertical="center"/>
    </xf>
    <xf numFmtId="0" fontId="110" fillId="0" borderId="0" xfId="0" applyFont="1" applyAlignment="1">
      <alignment horizontal="right" vertical="center"/>
    </xf>
    <xf numFmtId="0" fontId="70" fillId="0" borderId="0" xfId="0" applyFont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49" fontId="57" fillId="0" borderId="0" xfId="0" applyNumberFormat="1" applyFont="1" applyBorder="1" applyAlignment="1">
      <alignment horizontal="left" vertical="center" wrapText="1"/>
    </xf>
    <xf numFmtId="178" fontId="57" fillId="0" borderId="0" xfId="0" applyNumberFormat="1" applyFont="1" applyBorder="1" applyAlignment="1">
      <alignment horizontal="right" vertical="center" wrapText="1"/>
    </xf>
    <xf numFmtId="0" fontId="10" fillId="0" borderId="33" xfId="2" applyFont="1" applyBorder="1" applyAlignment="1">
      <alignment horizontal="center" vertical="center"/>
    </xf>
    <xf numFmtId="0" fontId="10" fillId="0" borderId="48" xfId="2" applyFont="1" applyBorder="1" applyAlignment="1">
      <alignment horizontal="center" vertical="center"/>
    </xf>
    <xf numFmtId="0" fontId="83" fillId="0" borderId="33" xfId="0" applyFont="1" applyBorder="1" applyAlignment="1">
      <alignment horizontal="center" vertical="center"/>
    </xf>
    <xf numFmtId="0" fontId="12" fillId="0" borderId="29" xfId="2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21" fillId="0" borderId="24" xfId="2" applyFont="1" applyBorder="1" applyAlignment="1">
      <alignment vertical="center"/>
    </xf>
    <xf numFmtId="0" fontId="12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10" fillId="0" borderId="0" xfId="0" applyFont="1" applyBorder="1" applyAlignment="1"/>
    <xf numFmtId="0" fontId="112" fillId="0" borderId="0" xfId="0" applyFont="1" applyBorder="1" applyAlignment="1"/>
    <xf numFmtId="0" fontId="10" fillId="0" borderId="15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/>
    <xf numFmtId="49" fontId="113" fillId="0" borderId="0" xfId="0" applyNumberFormat="1" applyFont="1" applyBorder="1" applyAlignment="1">
      <alignment horizontal="left"/>
    </xf>
    <xf numFmtId="49" fontId="113" fillId="0" borderId="0" xfId="0" applyNumberFormat="1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10" fillId="0" borderId="0" xfId="0" applyNumberFormat="1" applyFont="1" applyBorder="1" applyAlignment="1"/>
    <xf numFmtId="0" fontId="2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10" fillId="0" borderId="0" xfId="0" applyNumberFormat="1" applyFont="1" applyBorder="1" applyAlignment="1"/>
    <xf numFmtId="0" fontId="65" fillId="0" borderId="0" xfId="0" applyFont="1" applyBorder="1" applyAlignment="1">
      <alignment vertical="center"/>
    </xf>
    <xf numFmtId="10" fontId="31" fillId="3" borderId="3" xfId="0" applyNumberFormat="1" applyFont="1" applyFill="1" applyBorder="1" applyAlignment="1" applyProtection="1">
      <alignment horizontal="center" vertical="center"/>
      <protection locked="0"/>
    </xf>
    <xf numFmtId="0" fontId="36" fillId="5" borderId="3" xfId="0" applyFont="1" applyFill="1" applyBorder="1" applyAlignment="1">
      <alignment vertical="center"/>
    </xf>
    <xf numFmtId="3" fontId="36" fillId="5" borderId="3" xfId="0" applyNumberFormat="1" applyFont="1" applyFill="1" applyBorder="1" applyAlignment="1">
      <alignment vertical="center"/>
    </xf>
    <xf numFmtId="10" fontId="36" fillId="5" borderId="3" xfId="0" applyNumberFormat="1" applyFont="1" applyFill="1" applyBorder="1" applyAlignment="1">
      <alignment vertical="center"/>
    </xf>
    <xf numFmtId="4" fontId="36" fillId="5" borderId="3" xfId="0" applyNumberFormat="1" applyFont="1" applyFill="1" applyBorder="1" applyAlignment="1">
      <alignment vertical="center"/>
    </xf>
    <xf numFmtId="1" fontId="48" fillId="0" borderId="0" xfId="0" applyNumberFormat="1" applyFont="1" applyFill="1" applyBorder="1" applyAlignment="1">
      <alignment horizontal="right" vertical="center"/>
    </xf>
    <xf numFmtId="0" fontId="83" fillId="0" borderId="0" xfId="0" applyFont="1" applyAlignment="1">
      <alignment horizontal="center"/>
    </xf>
    <xf numFmtId="0" fontId="83" fillId="0" borderId="0" xfId="0" applyFont="1" applyAlignment="1">
      <alignment horizontal="right"/>
    </xf>
    <xf numFmtId="0" fontId="83" fillId="0" borderId="31" xfId="0" applyFont="1" applyBorder="1"/>
    <xf numFmtId="0" fontId="83" fillId="0" borderId="32" xfId="0" applyFont="1" applyBorder="1"/>
    <xf numFmtId="0" fontId="83" fillId="0" borderId="32" xfId="0" applyFont="1" applyBorder="1" applyAlignment="1">
      <alignment horizontal="center"/>
    </xf>
    <xf numFmtId="4" fontId="83" fillId="0" borderId="32" xfId="0" applyNumberFormat="1" applyFont="1" applyBorder="1" applyAlignment="1">
      <alignment horizontal="center"/>
    </xf>
    <xf numFmtId="0" fontId="83" fillId="0" borderId="34" xfId="0" applyFont="1" applyBorder="1"/>
    <xf numFmtId="4" fontId="83" fillId="0" borderId="0" xfId="0" applyNumberFormat="1" applyFont="1"/>
    <xf numFmtId="4" fontId="83" fillId="0" borderId="32" xfId="0" applyNumberFormat="1" applyFont="1" applyBorder="1"/>
    <xf numFmtId="0" fontId="83" fillId="0" borderId="2" xfId="0" applyFont="1" applyBorder="1"/>
    <xf numFmtId="4" fontId="83" fillId="0" borderId="2" xfId="0" applyNumberFormat="1" applyFont="1" applyBorder="1"/>
    <xf numFmtId="0" fontId="97" fillId="0" borderId="0" xfId="0" applyFont="1"/>
    <xf numFmtId="0" fontId="114" fillId="0" borderId="0" xfId="0" applyFont="1"/>
    <xf numFmtId="0" fontId="114" fillId="0" borderId="2" xfId="0" applyFont="1" applyBorder="1"/>
    <xf numFmtId="0" fontId="97" fillId="0" borderId="0" xfId="0" applyNumberFormat="1" applyFont="1"/>
    <xf numFmtId="4" fontId="115" fillId="0" borderId="0" xfId="0" applyNumberFormat="1" applyFont="1"/>
    <xf numFmtId="0" fontId="114" fillId="0" borderId="0" xfId="0" applyFont="1" applyAlignment="1">
      <alignment horizontal="center"/>
    </xf>
    <xf numFmtId="0" fontId="114" fillId="0" borderId="2" xfId="0" applyFont="1" applyBorder="1" applyAlignment="1">
      <alignment horizontal="center"/>
    </xf>
    <xf numFmtId="168" fontId="116" fillId="4" borderId="3" xfId="0" applyNumberFormat="1" applyFont="1" applyFill="1" applyBorder="1" applyAlignment="1">
      <alignment vertical="center"/>
    </xf>
    <xf numFmtId="181" fontId="116" fillId="3" borderId="3" xfId="0" applyNumberFormat="1" applyFont="1" applyFill="1" applyBorder="1" applyAlignment="1">
      <alignment vertical="center"/>
    </xf>
    <xf numFmtId="1" fontId="116" fillId="5" borderId="3" xfId="0" applyNumberFormat="1" applyFont="1" applyFill="1" applyBorder="1" applyAlignment="1">
      <alignment vertical="center"/>
    </xf>
    <xf numFmtId="3" fontId="118" fillId="0" borderId="0" xfId="0" applyNumberFormat="1" applyFont="1" applyAlignment="1">
      <alignment horizontal="left" vertical="center"/>
    </xf>
    <xf numFmtId="180" fontId="101" fillId="0" borderId="31" xfId="0" applyNumberFormat="1" applyFont="1" applyBorder="1" applyAlignment="1" applyProtection="1">
      <alignment vertical="center"/>
      <protection locked="0"/>
    </xf>
    <xf numFmtId="0" fontId="115" fillId="0" borderId="0" xfId="0" applyFont="1" applyBorder="1" applyAlignment="1">
      <alignment vertical="center"/>
    </xf>
    <xf numFmtId="0" fontId="90" fillId="0" borderId="0" xfId="0" applyFont="1" applyBorder="1" applyAlignment="1">
      <alignment vertical="center"/>
    </xf>
    <xf numFmtId="0" fontId="74" fillId="0" borderId="0" xfId="0" applyFont="1" applyBorder="1" applyAlignment="1">
      <alignment vertical="center"/>
    </xf>
    <xf numFmtId="0" fontId="114" fillId="0" borderId="0" xfId="0" applyFont="1" applyBorder="1" applyAlignment="1">
      <alignment vertical="center"/>
    </xf>
    <xf numFmtId="0" fontId="97" fillId="0" borderId="0" xfId="0" applyFont="1" applyBorder="1"/>
    <xf numFmtId="0" fontId="115" fillId="0" borderId="0" xfId="0" applyFont="1" applyBorder="1"/>
    <xf numFmtId="0" fontId="90" fillId="0" borderId="0" xfId="0" applyFont="1" applyBorder="1"/>
    <xf numFmtId="0" fontId="74" fillId="0" borderId="0" xfId="0" applyFont="1" applyBorder="1"/>
    <xf numFmtId="0" fontId="97" fillId="0" borderId="0" xfId="0" applyFont="1" applyBorder="1" applyAlignment="1"/>
    <xf numFmtId="0" fontId="114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115" fillId="0" borderId="0" xfId="0" applyFont="1" applyAlignment="1">
      <alignment horizontal="left"/>
    </xf>
    <xf numFmtId="0" fontId="104" fillId="0" borderId="0" xfId="0" applyFont="1" applyBorder="1"/>
    <xf numFmtId="0" fontId="115" fillId="0" borderId="0" xfId="0" applyFont="1" applyBorder="1" applyAlignment="1">
      <alignment horizontal="center"/>
    </xf>
    <xf numFmtId="0" fontId="119" fillId="0" borderId="15" xfId="0" applyFont="1" applyBorder="1" applyAlignment="1"/>
    <xf numFmtId="0" fontId="13" fillId="0" borderId="0" xfId="0" applyFont="1" applyBorder="1"/>
    <xf numFmtId="0" fontId="119" fillId="0" borderId="15" xfId="0" applyNumberFormat="1" applyFont="1" applyBorder="1" applyAlignment="1"/>
    <xf numFmtId="0" fontId="84" fillId="0" borderId="0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83" fillId="0" borderId="0" xfId="0" applyFont="1" applyAlignment="1">
      <alignment horizontal="left" vertical="center"/>
    </xf>
    <xf numFmtId="0" fontId="84" fillId="0" borderId="0" xfId="0" applyFont="1" applyAlignment="1">
      <alignment horizontal="left" vertical="center"/>
    </xf>
    <xf numFmtId="49" fontId="84" fillId="0" borderId="0" xfId="0" applyNumberFormat="1" applyFont="1" applyBorder="1" applyAlignment="1">
      <alignment horizontal="left" vertical="center"/>
    </xf>
    <xf numFmtId="49" fontId="84" fillId="0" borderId="0" xfId="0" applyNumberFormat="1" applyFont="1" applyBorder="1" applyAlignment="1">
      <alignment horizontal="center" vertical="center"/>
    </xf>
    <xf numFmtId="182" fontId="84" fillId="0" borderId="0" xfId="0" applyNumberFormat="1" applyFont="1" applyBorder="1" applyAlignment="1">
      <alignment horizontal="right" vertical="center"/>
    </xf>
    <xf numFmtId="49" fontId="89" fillId="0" borderId="0" xfId="0" applyNumberFormat="1" applyFont="1" applyAlignment="1">
      <alignment horizontal="right" vertical="center"/>
    </xf>
    <xf numFmtId="0" fontId="89" fillId="0" borderId="0" xfId="0" applyFont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49" fontId="83" fillId="0" borderId="0" xfId="0" applyNumberFormat="1" applyFont="1" applyBorder="1" applyAlignment="1">
      <alignment horizontal="left" vertical="center"/>
    </xf>
    <xf numFmtId="0" fontId="83" fillId="0" borderId="50" xfId="0" applyFont="1" applyBorder="1" applyAlignment="1">
      <alignment vertical="center" wrapText="1"/>
    </xf>
    <xf numFmtId="0" fontId="83" fillId="0" borderId="67" xfId="0" applyFont="1" applyBorder="1" applyAlignment="1">
      <alignment vertical="center" wrapText="1"/>
    </xf>
    <xf numFmtId="0" fontId="84" fillId="0" borderId="56" xfId="0" applyFont="1" applyBorder="1" applyAlignment="1">
      <alignment vertical="center"/>
    </xf>
    <xf numFmtId="0" fontId="84" fillId="0" borderId="86" xfId="0" applyFont="1" applyBorder="1" applyAlignment="1">
      <alignment vertical="center"/>
    </xf>
    <xf numFmtId="182" fontId="84" fillId="0" borderId="58" xfId="0" applyNumberFormat="1" applyFont="1" applyBorder="1" applyAlignment="1">
      <alignment vertical="center"/>
    </xf>
    <xf numFmtId="182" fontId="84" fillId="0" borderId="71" xfId="0" applyNumberFormat="1" applyFont="1" applyBorder="1" applyAlignment="1">
      <alignment vertical="center"/>
    </xf>
    <xf numFmtId="182" fontId="84" fillId="0" borderId="32" xfId="0" applyNumberFormat="1" applyFont="1" applyBorder="1" applyAlignment="1">
      <alignment vertical="center"/>
    </xf>
    <xf numFmtId="182" fontId="84" fillId="0" borderId="34" xfId="0" applyNumberFormat="1" applyFont="1" applyBorder="1" applyAlignment="1">
      <alignment vertical="center"/>
    </xf>
    <xf numFmtId="182" fontId="84" fillId="0" borderId="2" xfId="0" applyNumberFormat="1" applyFont="1" applyBorder="1" applyAlignment="1">
      <alignment vertical="center"/>
    </xf>
    <xf numFmtId="182" fontId="84" fillId="0" borderId="6" xfId="0" applyNumberFormat="1" applyFont="1" applyBorder="1" applyAlignment="1">
      <alignment vertical="center"/>
    </xf>
    <xf numFmtId="49" fontId="84" fillId="0" borderId="70" xfId="0" applyNumberFormat="1" applyFont="1" applyBorder="1" applyAlignment="1">
      <alignment vertical="center"/>
    </xf>
    <xf numFmtId="49" fontId="84" fillId="0" borderId="58" xfId="0" applyNumberFormat="1" applyFont="1" applyBorder="1" applyAlignment="1">
      <alignment vertical="center"/>
    </xf>
    <xf numFmtId="49" fontId="84" fillId="0" borderId="31" xfId="0" applyNumberFormat="1" applyFont="1" applyBorder="1" applyAlignment="1">
      <alignment vertical="center"/>
    </xf>
    <xf numFmtId="49" fontId="84" fillId="0" borderId="32" xfId="0" applyNumberFormat="1" applyFont="1" applyBorder="1" applyAlignment="1">
      <alignment vertical="center"/>
    </xf>
    <xf numFmtId="0" fontId="83" fillId="0" borderId="50" xfId="0" applyFont="1" applyBorder="1" applyAlignment="1">
      <alignment vertical="center" textRotation="90"/>
    </xf>
    <xf numFmtId="0" fontId="83" fillId="0" borderId="67" xfId="0" applyFont="1" applyBorder="1" applyAlignment="1">
      <alignment vertical="center" textRotation="90"/>
    </xf>
    <xf numFmtId="0" fontId="83" fillId="0" borderId="87" xfId="0" applyFont="1" applyBorder="1" applyAlignment="1">
      <alignment vertical="center"/>
    </xf>
    <xf numFmtId="0" fontId="83" fillId="0" borderId="67" xfId="0" applyFont="1" applyBorder="1" applyAlignment="1">
      <alignment vertical="center"/>
    </xf>
    <xf numFmtId="0" fontId="83" fillId="0" borderId="78" xfId="0" applyFont="1" applyBorder="1" applyAlignment="1">
      <alignment vertical="center"/>
    </xf>
    <xf numFmtId="49" fontId="84" fillId="0" borderId="2" xfId="0" applyNumberFormat="1" applyFont="1" applyBorder="1" applyAlignment="1">
      <alignment vertical="center"/>
    </xf>
    <xf numFmtId="49" fontId="83" fillId="0" borderId="31" xfId="0" applyNumberFormat="1" applyFont="1" applyBorder="1" applyAlignment="1">
      <alignment vertical="center"/>
    </xf>
    <xf numFmtId="49" fontId="83" fillId="0" borderId="32" xfId="0" applyNumberFormat="1" applyFont="1" applyBorder="1" applyAlignment="1">
      <alignment vertical="center"/>
    </xf>
    <xf numFmtId="49" fontId="83" fillId="0" borderId="70" xfId="0" applyNumberFormat="1" applyFont="1" applyBorder="1" applyAlignment="1">
      <alignment vertical="center"/>
    </xf>
    <xf numFmtId="49" fontId="83" fillId="0" borderId="58" xfId="0" applyNumberFormat="1" applyFont="1" applyBorder="1" applyAlignment="1">
      <alignment vertical="center"/>
    </xf>
    <xf numFmtId="49" fontId="120" fillId="0" borderId="32" xfId="0" applyNumberFormat="1" applyFont="1" applyBorder="1" applyAlignment="1">
      <alignment vertical="center"/>
    </xf>
    <xf numFmtId="49" fontId="91" fillId="0" borderId="31" xfId="0" applyNumberFormat="1" applyFont="1" applyBorder="1" applyAlignment="1">
      <alignment vertical="center"/>
    </xf>
    <xf numFmtId="49" fontId="91" fillId="0" borderId="32" xfId="0" applyNumberFormat="1" applyFont="1" applyBorder="1" applyAlignment="1">
      <alignment vertical="center"/>
    </xf>
    <xf numFmtId="49" fontId="84" fillId="0" borderId="54" xfId="0" applyNumberFormat="1" applyFont="1" applyBorder="1" applyAlignment="1">
      <alignment vertical="center"/>
    </xf>
    <xf numFmtId="49" fontId="84" fillId="0" borderId="55" xfId="0" applyNumberFormat="1" applyFont="1" applyBorder="1" applyAlignment="1">
      <alignment vertical="center"/>
    </xf>
    <xf numFmtId="182" fontId="84" fillId="0" borderId="55" xfId="0" applyNumberFormat="1" applyFont="1" applyBorder="1" applyAlignment="1">
      <alignment vertical="center"/>
    </xf>
    <xf numFmtId="182" fontId="84" fillId="0" borderId="53" xfId="0" applyNumberFormat="1" applyFont="1" applyBorder="1" applyAlignment="1">
      <alignment vertical="center"/>
    </xf>
    <xf numFmtId="49" fontId="83" fillId="0" borderId="54" xfId="0" applyNumberFormat="1" applyFont="1" applyBorder="1" applyAlignment="1">
      <alignment vertical="center"/>
    </xf>
    <xf numFmtId="49" fontId="84" fillId="0" borderId="0" xfId="0" applyNumberFormat="1" applyFont="1" applyBorder="1" applyAlignment="1">
      <alignment vertical="center"/>
    </xf>
    <xf numFmtId="182" fontId="84" fillId="0" borderId="0" xfId="0" applyNumberFormat="1" applyFont="1" applyBorder="1" applyAlignment="1">
      <alignment vertical="center"/>
    </xf>
    <xf numFmtId="0" fontId="84" fillId="0" borderId="0" xfId="0" applyNumberFormat="1" applyFont="1" applyBorder="1" applyAlignment="1">
      <alignment horizontal="center" vertical="center"/>
    </xf>
    <xf numFmtId="182" fontId="84" fillId="0" borderId="50" xfId="0" applyNumberFormat="1" applyFont="1" applyBorder="1" applyAlignment="1">
      <alignment vertical="center"/>
    </xf>
    <xf numFmtId="49" fontId="57" fillId="0" borderId="0" xfId="0" applyNumberFormat="1" applyFont="1" applyBorder="1" applyAlignment="1">
      <alignment vertical="center"/>
    </xf>
    <xf numFmtId="1" fontId="84" fillId="0" borderId="0" xfId="0" applyNumberFormat="1" applyFont="1" applyBorder="1" applyAlignment="1">
      <alignment vertical="center"/>
    </xf>
    <xf numFmtId="0" fontId="84" fillId="0" borderId="0" xfId="0" applyNumberFormat="1" applyFont="1" applyBorder="1" applyAlignment="1">
      <alignment vertical="center"/>
    </xf>
    <xf numFmtId="49" fontId="32" fillId="0" borderId="34" xfId="0" applyNumberFormat="1" applyFont="1" applyBorder="1" applyAlignment="1">
      <alignment horizontal="center" vertical="center"/>
    </xf>
    <xf numFmtId="49" fontId="85" fillId="0" borderId="32" xfId="0" applyNumberFormat="1" applyFont="1" applyBorder="1" applyAlignment="1">
      <alignment vertical="center"/>
    </xf>
    <xf numFmtId="0" fontId="92" fillId="0" borderId="31" xfId="0" applyFont="1" applyBorder="1" applyAlignment="1">
      <alignment vertical="center"/>
    </xf>
    <xf numFmtId="0" fontId="92" fillId="0" borderId="32" xfId="0" applyFont="1" applyBorder="1" applyAlignment="1">
      <alignment vertical="center"/>
    </xf>
    <xf numFmtId="0" fontId="86" fillId="0" borderId="32" xfId="0" applyFont="1" applyBorder="1" applyAlignment="1">
      <alignment vertical="center"/>
    </xf>
    <xf numFmtId="0" fontId="86" fillId="0" borderId="34" xfId="0" applyFont="1" applyBorder="1" applyAlignment="1">
      <alignment vertical="center"/>
    </xf>
    <xf numFmtId="0" fontId="86" fillId="0" borderId="3" xfId="0" applyFont="1" applyBorder="1" applyAlignment="1">
      <alignment vertical="center"/>
    </xf>
    <xf numFmtId="0" fontId="85" fillId="0" borderId="32" xfId="0" applyNumberFormat="1" applyFont="1" applyBorder="1" applyAlignment="1">
      <alignment vertical="center"/>
    </xf>
    <xf numFmtId="0" fontId="3" fillId="7" borderId="3" xfId="0" applyFont="1" applyFill="1" applyBorder="1" applyAlignment="1">
      <alignment horizontal="center" vertical="center" textRotation="90" wrapText="1"/>
    </xf>
    <xf numFmtId="1" fontId="37" fillId="0" borderId="0" xfId="0" applyNumberFormat="1" applyFont="1" applyFill="1" applyBorder="1" applyAlignment="1" applyProtection="1">
      <alignment vertical="center"/>
      <protection locked="0"/>
    </xf>
    <xf numFmtId="49" fontId="36" fillId="0" borderId="31" xfId="0" applyNumberFormat="1" applyFont="1" applyFill="1" applyBorder="1" applyAlignment="1">
      <alignment vertical="center"/>
    </xf>
    <xf numFmtId="49" fontId="36" fillId="0" borderId="31" xfId="0" applyNumberFormat="1" applyFont="1" applyBorder="1" applyAlignment="1">
      <alignment vertical="center"/>
    </xf>
    <xf numFmtId="164" fontId="37" fillId="0" borderId="32" xfId="0" applyNumberFormat="1" applyFont="1" applyFill="1" applyBorder="1" applyAlignment="1" applyProtection="1">
      <alignment vertical="center"/>
      <protection locked="0"/>
    </xf>
    <xf numFmtId="164" fontId="37" fillId="0" borderId="34" xfId="0" applyNumberFormat="1" applyFont="1" applyFill="1" applyBorder="1" applyAlignment="1" applyProtection="1">
      <alignment vertical="center"/>
      <protection locked="0"/>
    </xf>
    <xf numFmtId="164" fontId="37" fillId="0" borderId="2" xfId="0" applyNumberFormat="1" applyFont="1" applyFill="1" applyBorder="1" applyAlignment="1" applyProtection="1">
      <alignment vertical="center"/>
      <protection locked="0"/>
    </xf>
    <xf numFmtId="164" fontId="37" fillId="0" borderId="6" xfId="0" applyNumberFormat="1" applyFont="1" applyFill="1" applyBorder="1" applyAlignment="1" applyProtection="1">
      <alignment vertical="center"/>
      <protection locked="0"/>
    </xf>
    <xf numFmtId="1" fontId="37" fillId="0" borderId="2" xfId="0" applyNumberFormat="1" applyFont="1" applyFill="1" applyBorder="1" applyAlignment="1" applyProtection="1">
      <alignment vertical="center"/>
      <protection locked="0"/>
    </xf>
    <xf numFmtId="1" fontId="37" fillId="0" borderId="6" xfId="0" applyNumberFormat="1" applyFont="1" applyFill="1" applyBorder="1" applyAlignment="1" applyProtection="1">
      <alignment vertical="center"/>
      <protection locked="0"/>
    </xf>
    <xf numFmtId="49" fontId="13" fillId="0" borderId="31" xfId="0" applyNumberFormat="1" applyFont="1" applyBorder="1" applyAlignment="1">
      <alignment vertical="center" wrapText="1"/>
    </xf>
    <xf numFmtId="49" fontId="36" fillId="0" borderId="31" xfId="0" applyNumberFormat="1" applyFont="1" applyBorder="1" applyAlignment="1">
      <alignment vertical="center" wrapText="1"/>
    </xf>
    <xf numFmtId="3" fontId="17" fillId="0" borderId="3" xfId="0" applyNumberFormat="1" applyFont="1" applyFill="1" applyBorder="1" applyAlignment="1">
      <alignment vertical="center"/>
    </xf>
    <xf numFmtId="3" fontId="37" fillId="0" borderId="3" xfId="0" applyNumberFormat="1" applyFont="1" applyFill="1" applyBorder="1" applyAlignment="1" applyProtection="1">
      <alignment vertical="center"/>
      <protection locked="0"/>
    </xf>
    <xf numFmtId="3" fontId="36" fillId="0" borderId="3" xfId="0" applyNumberFormat="1" applyFont="1" applyFill="1" applyBorder="1" applyAlignment="1">
      <alignment vertical="center"/>
    </xf>
    <xf numFmtId="0" fontId="76" fillId="0" borderId="0" xfId="0" applyFont="1" applyFill="1" applyAlignment="1">
      <alignment vertical="center"/>
    </xf>
    <xf numFmtId="165" fontId="13" fillId="0" borderId="0" xfId="0" applyNumberFormat="1" applyFont="1" applyFill="1" applyBorder="1" applyAlignment="1" applyProtection="1">
      <alignment horizontal="left" vertical="center"/>
      <protection locked="0"/>
    </xf>
    <xf numFmtId="49" fontId="75" fillId="2" borderId="31" xfId="0" applyNumberFormat="1" applyFont="1" applyFill="1" applyBorder="1" applyAlignment="1">
      <alignment vertical="center"/>
    </xf>
    <xf numFmtId="1" fontId="37" fillId="2" borderId="2" xfId="0" applyNumberFormat="1" applyFont="1" applyFill="1" applyBorder="1" applyAlignment="1" applyProtection="1">
      <alignment vertical="center"/>
      <protection locked="0"/>
    </xf>
    <xf numFmtId="1" fontId="37" fillId="2" borderId="6" xfId="0" applyNumberFormat="1" applyFont="1" applyFill="1" applyBorder="1" applyAlignment="1" applyProtection="1">
      <alignment vertical="center"/>
      <protection locked="0"/>
    </xf>
    <xf numFmtId="3" fontId="36" fillId="2" borderId="3" xfId="0" applyNumberFormat="1" applyFont="1" applyFill="1" applyBorder="1" applyAlignment="1">
      <alignment vertical="center"/>
    </xf>
    <xf numFmtId="49" fontId="32" fillId="0" borderId="33" xfId="0" applyNumberFormat="1" applyFont="1" applyBorder="1" applyAlignment="1">
      <alignment vertical="center"/>
    </xf>
    <xf numFmtId="49" fontId="127" fillId="0" borderId="31" xfId="0" applyNumberFormat="1" applyFont="1" applyBorder="1" applyAlignment="1">
      <alignment horizontal="left" vertical="center"/>
    </xf>
    <xf numFmtId="49" fontId="127" fillId="0" borderId="31" xfId="0" applyNumberFormat="1" applyFont="1" applyBorder="1" applyAlignment="1">
      <alignment vertical="center"/>
    </xf>
    <xf numFmtId="49" fontId="128" fillId="2" borderId="31" xfId="0" applyNumberFormat="1" applyFont="1" applyFill="1" applyBorder="1" applyAlignment="1">
      <alignment vertical="center"/>
    </xf>
    <xf numFmtId="1" fontId="129" fillId="2" borderId="2" xfId="0" applyNumberFormat="1" applyFont="1" applyFill="1" applyBorder="1" applyAlignment="1" applyProtection="1">
      <alignment vertical="center"/>
      <protection locked="0"/>
    </xf>
    <xf numFmtId="1" fontId="129" fillId="2" borderId="6" xfId="0" applyNumberFormat="1" applyFont="1" applyFill="1" applyBorder="1" applyAlignment="1" applyProtection="1">
      <alignment vertical="center"/>
      <protection locked="0"/>
    </xf>
    <xf numFmtId="0" fontId="129" fillId="2" borderId="3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3" fontId="38" fillId="2" borderId="3" xfId="0" applyNumberFormat="1" applyFont="1" applyFill="1" applyBorder="1" applyAlignment="1">
      <alignment vertical="center"/>
    </xf>
    <xf numFmtId="3" fontId="38" fillId="2" borderId="3" xfId="0" applyNumberFormat="1" applyFont="1" applyFill="1" applyBorder="1" applyAlignment="1" applyProtection="1">
      <alignment vertical="center"/>
      <protection locked="0"/>
    </xf>
    <xf numFmtId="49" fontId="38" fillId="2" borderId="31" xfId="0" applyNumberFormat="1" applyFont="1" applyFill="1" applyBorder="1" applyAlignment="1">
      <alignment vertical="center"/>
    </xf>
    <xf numFmtId="3" fontId="36" fillId="0" borderId="0" xfId="0" applyNumberFormat="1" applyFont="1" applyAlignment="1">
      <alignment vertical="center"/>
    </xf>
    <xf numFmtId="1" fontId="84" fillId="0" borderId="0" xfId="0" applyNumberFormat="1" applyFont="1" applyBorder="1" applyAlignment="1">
      <alignment horizontal="right" vertical="center"/>
    </xf>
    <xf numFmtId="49" fontId="83" fillId="0" borderId="0" xfId="0" applyNumberFormat="1" applyFont="1" applyFill="1" applyBorder="1" applyAlignment="1">
      <alignment horizontal="left" vertical="center"/>
    </xf>
    <xf numFmtId="49" fontId="84" fillId="0" borderId="0" xfId="0" applyNumberFormat="1" applyFont="1" applyFill="1" applyBorder="1" applyAlignment="1">
      <alignment horizontal="left" vertical="center"/>
    </xf>
    <xf numFmtId="182" fontId="84" fillId="0" borderId="0" xfId="0" applyNumberFormat="1" applyFont="1" applyFill="1" applyBorder="1" applyAlignment="1">
      <alignment horizontal="right" vertical="center"/>
    </xf>
    <xf numFmtId="49" fontId="8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3" fillId="0" borderId="0" xfId="0" applyFont="1" applyFill="1" applyAlignment="1">
      <alignment horizontal="left" vertical="center"/>
    </xf>
    <xf numFmtId="0" fontId="84" fillId="0" borderId="0" xfId="0" applyFont="1" applyFill="1" applyAlignment="1">
      <alignment horizontal="left" vertical="center"/>
    </xf>
    <xf numFmtId="0" fontId="83" fillId="0" borderId="3" xfId="0" applyFont="1" applyFill="1" applyBorder="1" applyAlignment="1">
      <alignment horizontal="center" vertical="center"/>
    </xf>
    <xf numFmtId="0" fontId="80" fillId="0" borderId="0" xfId="0" applyFont="1" applyFill="1" applyAlignment="1">
      <alignment horizontal="right" vertical="center"/>
    </xf>
    <xf numFmtId="0" fontId="84" fillId="0" borderId="0" xfId="0" applyFont="1" applyFill="1" applyAlignment="1">
      <alignment horizontal="center" vertical="center"/>
    </xf>
    <xf numFmtId="0" fontId="87" fillId="0" borderId="0" xfId="0" applyFont="1" applyFill="1" applyBorder="1" applyAlignment="1">
      <alignment vertical="center"/>
    </xf>
    <xf numFmtId="0" fontId="84" fillId="0" borderId="0" xfId="0" applyFont="1" applyFill="1" applyBorder="1" applyAlignment="1">
      <alignment horizontal="center" vertical="center"/>
    </xf>
    <xf numFmtId="0" fontId="83" fillId="0" borderId="50" xfId="0" applyFont="1" applyFill="1" applyBorder="1" applyAlignment="1">
      <alignment vertical="center" textRotation="90"/>
    </xf>
    <xf numFmtId="0" fontId="83" fillId="0" borderId="50" xfId="0" applyFont="1" applyFill="1" applyBorder="1" applyAlignment="1">
      <alignment vertical="center" wrapText="1"/>
    </xf>
    <xf numFmtId="0" fontId="83" fillId="0" borderId="50" xfId="0" applyFont="1" applyFill="1" applyBorder="1" applyAlignment="1">
      <alignment vertical="center"/>
    </xf>
    <xf numFmtId="0" fontId="83" fillId="0" borderId="87" xfId="0" applyFont="1" applyFill="1" applyBorder="1" applyAlignment="1">
      <alignment vertical="center"/>
    </xf>
    <xf numFmtId="0" fontId="83" fillId="0" borderId="67" xfId="0" applyFont="1" applyFill="1" applyBorder="1" applyAlignment="1">
      <alignment vertical="center" textRotation="90"/>
    </xf>
    <xf numFmtId="0" fontId="83" fillId="0" borderId="67" xfId="0" applyFont="1" applyFill="1" applyBorder="1" applyAlignment="1">
      <alignment vertical="center" wrapText="1"/>
    </xf>
    <xf numFmtId="0" fontId="83" fillId="0" borderId="67" xfId="0" applyFont="1" applyFill="1" applyBorder="1" applyAlignment="1">
      <alignment vertical="center"/>
    </xf>
    <xf numFmtId="0" fontId="83" fillId="0" borderId="78" xfId="0" applyFont="1" applyFill="1" applyBorder="1" applyAlignment="1">
      <alignment vertical="center"/>
    </xf>
    <xf numFmtId="0" fontId="84" fillId="0" borderId="56" xfId="0" applyFont="1" applyFill="1" applyBorder="1" applyAlignment="1">
      <alignment vertical="center"/>
    </xf>
    <xf numFmtId="0" fontId="84" fillId="0" borderId="86" xfId="0" applyFont="1" applyFill="1" applyBorder="1" applyAlignment="1">
      <alignment vertical="center"/>
    </xf>
    <xf numFmtId="49" fontId="83" fillId="0" borderId="70" xfId="0" applyNumberFormat="1" applyFont="1" applyFill="1" applyBorder="1" applyAlignment="1">
      <alignment vertical="center"/>
    </xf>
    <xf numFmtId="49" fontId="83" fillId="0" borderId="58" xfId="0" applyNumberFormat="1" applyFont="1" applyFill="1" applyBorder="1" applyAlignment="1">
      <alignment vertical="center"/>
    </xf>
    <xf numFmtId="49" fontId="84" fillId="0" borderId="58" xfId="0" applyNumberFormat="1" applyFont="1" applyFill="1" applyBorder="1" applyAlignment="1">
      <alignment vertical="center"/>
    </xf>
    <xf numFmtId="49" fontId="84" fillId="0" borderId="2" xfId="0" applyNumberFormat="1" applyFont="1" applyFill="1" applyBorder="1" applyAlignment="1">
      <alignment vertical="center"/>
    </xf>
    <xf numFmtId="182" fontId="84" fillId="0" borderId="2" xfId="0" applyNumberFormat="1" applyFont="1" applyFill="1" applyBorder="1" applyAlignment="1">
      <alignment vertical="center"/>
    </xf>
    <xf numFmtId="182" fontId="84" fillId="0" borderId="6" xfId="0" applyNumberFormat="1" applyFont="1" applyFill="1" applyBorder="1" applyAlignment="1">
      <alignment vertical="center"/>
    </xf>
    <xf numFmtId="49" fontId="84" fillId="0" borderId="31" xfId="0" applyNumberFormat="1" applyFont="1" applyFill="1" applyBorder="1" applyAlignment="1">
      <alignment vertical="center"/>
    </xf>
    <xf numFmtId="49" fontId="84" fillId="0" borderId="32" xfId="0" applyNumberFormat="1" applyFont="1" applyFill="1" applyBorder="1" applyAlignment="1">
      <alignment vertical="center"/>
    </xf>
    <xf numFmtId="182" fontId="84" fillId="0" borderId="32" xfId="0" applyNumberFormat="1" applyFont="1" applyFill="1" applyBorder="1" applyAlignment="1">
      <alignment vertical="center"/>
    </xf>
    <xf numFmtId="182" fontId="84" fillId="0" borderId="34" xfId="0" applyNumberFormat="1" applyFont="1" applyFill="1" applyBorder="1" applyAlignment="1">
      <alignment vertical="center"/>
    </xf>
    <xf numFmtId="49" fontId="83" fillId="0" borderId="32" xfId="0" applyNumberFormat="1" applyFont="1" applyFill="1" applyBorder="1" applyAlignment="1">
      <alignment vertical="center"/>
    </xf>
    <xf numFmtId="49" fontId="84" fillId="0" borderId="54" xfId="0" applyNumberFormat="1" applyFont="1" applyFill="1" applyBorder="1" applyAlignment="1">
      <alignment vertical="center"/>
    </xf>
    <xf numFmtId="49" fontId="84" fillId="0" borderId="55" xfId="0" applyNumberFormat="1" applyFont="1" applyFill="1" applyBorder="1" applyAlignment="1">
      <alignment vertical="center"/>
    </xf>
    <xf numFmtId="182" fontId="84" fillId="0" borderId="55" xfId="0" applyNumberFormat="1" applyFont="1" applyFill="1" applyBorder="1" applyAlignment="1">
      <alignment vertical="center"/>
    </xf>
    <xf numFmtId="182" fontId="84" fillId="0" borderId="53" xfId="0" applyNumberFormat="1" applyFont="1" applyFill="1" applyBorder="1" applyAlignment="1">
      <alignment vertical="center"/>
    </xf>
    <xf numFmtId="49" fontId="84" fillId="0" borderId="70" xfId="0" applyNumberFormat="1" applyFont="1" applyFill="1" applyBorder="1" applyAlignment="1">
      <alignment vertical="center"/>
    </xf>
    <xf numFmtId="182" fontId="84" fillId="0" borderId="58" xfId="0" applyNumberFormat="1" applyFont="1" applyFill="1" applyBorder="1" applyAlignment="1">
      <alignment vertical="center"/>
    </xf>
    <xf numFmtId="182" fontId="84" fillId="0" borderId="71" xfId="0" applyNumberFormat="1" applyFont="1" applyFill="1" applyBorder="1" applyAlignment="1">
      <alignment vertical="center"/>
    </xf>
    <xf numFmtId="49" fontId="123" fillId="0" borderId="32" xfId="0" applyNumberFormat="1" applyFont="1" applyFill="1" applyBorder="1" applyAlignment="1">
      <alignment vertical="center"/>
    </xf>
    <xf numFmtId="49" fontId="91" fillId="0" borderId="31" xfId="0" applyNumberFormat="1" applyFont="1" applyFill="1" applyBorder="1" applyAlignment="1">
      <alignment vertical="center"/>
    </xf>
    <xf numFmtId="49" fontId="91" fillId="0" borderId="32" xfId="0" applyNumberFormat="1" applyFont="1" applyFill="1" applyBorder="1" applyAlignment="1">
      <alignment vertical="center"/>
    </xf>
    <xf numFmtId="49" fontId="83" fillId="0" borderId="55" xfId="0" applyNumberFormat="1" applyFont="1" applyFill="1" applyBorder="1" applyAlignment="1">
      <alignment vertical="center"/>
    </xf>
    <xf numFmtId="49" fontId="84" fillId="0" borderId="31" xfId="0" applyNumberFormat="1" applyFont="1" applyFill="1" applyBorder="1" applyAlignment="1">
      <alignment vertical="top" wrapText="1"/>
    </xf>
    <xf numFmtId="49" fontId="80" fillId="0" borderId="31" xfId="0" applyNumberFormat="1" applyFont="1" applyFill="1" applyBorder="1" applyAlignment="1">
      <alignment vertical="center"/>
    </xf>
    <xf numFmtId="49" fontId="84" fillId="0" borderId="31" xfId="0" applyNumberFormat="1" applyFont="1" applyFill="1" applyBorder="1" applyAlignment="1">
      <alignment vertical="top"/>
    </xf>
    <xf numFmtId="49" fontId="80" fillId="0" borderId="32" xfId="0" applyNumberFormat="1" applyFont="1" applyFill="1" applyBorder="1" applyAlignment="1">
      <alignment vertical="center"/>
    </xf>
    <xf numFmtId="49" fontId="84" fillId="0" borderId="0" xfId="0" applyNumberFormat="1" applyFont="1" applyFill="1" applyBorder="1" applyAlignment="1">
      <alignment vertical="center"/>
    </xf>
    <xf numFmtId="182" fontId="84" fillId="0" borderId="0" xfId="0" applyNumberFormat="1" applyFont="1" applyFill="1" applyBorder="1" applyAlignment="1">
      <alignment vertical="center"/>
    </xf>
    <xf numFmtId="0" fontId="84" fillId="0" borderId="0" xfId="0" applyNumberFormat="1" applyFont="1" applyFill="1" applyBorder="1" applyAlignment="1">
      <alignment horizontal="right"/>
    </xf>
    <xf numFmtId="0" fontId="84" fillId="0" borderId="0" xfId="0" applyNumberFormat="1" applyFont="1" applyFill="1" applyBorder="1" applyAlignment="1">
      <alignment horizontal="center" vertical="center"/>
    </xf>
    <xf numFmtId="49" fontId="36" fillId="0" borderId="31" xfId="0" applyNumberFormat="1" applyFont="1" applyBorder="1" applyAlignment="1">
      <alignment horizontal="left" vertical="center" indent="2"/>
    </xf>
    <xf numFmtId="0" fontId="84" fillId="0" borderId="0" xfId="0" applyFont="1" applyFill="1" applyAlignment="1">
      <alignment horizontal="right" vertical="center"/>
    </xf>
    <xf numFmtId="49" fontId="36" fillId="0" borderId="24" xfId="0" applyNumberFormat="1" applyFont="1" applyBorder="1" applyAlignment="1">
      <alignment vertical="center"/>
    </xf>
    <xf numFmtId="3" fontId="36" fillId="0" borderId="0" xfId="0" applyNumberFormat="1" applyFont="1" applyFill="1" applyBorder="1" applyAlignment="1">
      <alignment vertical="center"/>
    </xf>
    <xf numFmtId="3" fontId="37" fillId="0" borderId="0" xfId="0" applyNumberFormat="1" applyFont="1" applyFill="1" applyBorder="1" applyAlignment="1" applyProtection="1">
      <alignment vertical="center"/>
      <protection locked="0"/>
    </xf>
    <xf numFmtId="1" fontId="37" fillId="0" borderId="32" xfId="0" applyNumberFormat="1" applyFont="1" applyFill="1" applyBorder="1" applyAlignment="1" applyProtection="1">
      <alignment vertical="center"/>
      <protection locked="0"/>
    </xf>
    <xf numFmtId="1" fontId="37" fillId="0" borderId="34" xfId="0" applyNumberFormat="1" applyFont="1" applyFill="1" applyBorder="1" applyAlignment="1" applyProtection="1">
      <alignment vertical="center"/>
      <protection locked="0"/>
    </xf>
    <xf numFmtId="0" fontId="0" fillId="0" borderId="32" xfId="0" applyBorder="1" applyAlignment="1">
      <alignment wrapText="1"/>
    </xf>
    <xf numFmtId="49" fontId="17" fillId="0" borderId="31" xfId="0" applyNumberFormat="1" applyFont="1" applyFill="1" applyBorder="1" applyAlignment="1">
      <alignment wrapText="1"/>
    </xf>
    <xf numFmtId="49" fontId="17" fillId="0" borderId="32" xfId="0" applyNumberFormat="1" applyFont="1" applyFill="1" applyBorder="1" applyAlignment="1">
      <alignment wrapText="1"/>
    </xf>
    <xf numFmtId="168" fontId="130" fillId="0" borderId="3" xfId="0" applyNumberFormat="1" applyFont="1" applyFill="1" applyBorder="1" applyAlignment="1">
      <alignment vertical="center"/>
    </xf>
    <xf numFmtId="3" fontId="131" fillId="0" borderId="3" xfId="0" applyNumberFormat="1" applyFont="1" applyFill="1" applyBorder="1" applyAlignment="1">
      <alignment vertical="center"/>
    </xf>
    <xf numFmtId="3" fontId="132" fillId="0" borderId="3" xfId="0" applyNumberFormat="1" applyFont="1" applyFill="1" applyBorder="1" applyAlignment="1">
      <alignment vertical="center"/>
    </xf>
    <xf numFmtId="0" fontId="32" fillId="0" borderId="31" xfId="0" applyFont="1" applyBorder="1" applyAlignment="1">
      <alignment vertical="center"/>
    </xf>
    <xf numFmtId="1" fontId="133" fillId="0" borderId="3" xfId="0" applyNumberFormat="1" applyFont="1" applyFill="1" applyBorder="1" applyAlignment="1" applyProtection="1">
      <alignment vertical="center"/>
      <protection locked="0"/>
    </xf>
    <xf numFmtId="1" fontId="133" fillId="0" borderId="33" xfId="0" applyNumberFormat="1" applyFont="1" applyFill="1" applyBorder="1" applyAlignment="1" applyProtection="1">
      <alignment vertical="center"/>
      <protection locked="0"/>
    </xf>
    <xf numFmtId="1" fontId="133" fillId="0" borderId="3" xfId="0" applyNumberFormat="1" applyFont="1" applyFill="1" applyBorder="1" applyAlignment="1" applyProtection="1">
      <alignment horizontal="center" vertical="center"/>
      <protection locked="0"/>
    </xf>
    <xf numFmtId="1" fontId="133" fillId="0" borderId="33" xfId="0" applyNumberFormat="1" applyFont="1" applyFill="1" applyBorder="1" applyAlignment="1" applyProtection="1">
      <alignment horizontal="center" vertical="center"/>
      <protection locked="0"/>
    </xf>
    <xf numFmtId="1" fontId="135" fillId="0" borderId="3" xfId="0" applyNumberFormat="1" applyFont="1" applyFill="1" applyBorder="1" applyAlignment="1" applyProtection="1">
      <alignment vertical="center"/>
      <protection locked="0"/>
    </xf>
    <xf numFmtId="49" fontId="36" fillId="8" borderId="3" xfId="0" applyNumberFormat="1" applyFont="1" applyFill="1" applyBorder="1" applyAlignment="1">
      <alignment vertical="center"/>
    </xf>
    <xf numFmtId="49" fontId="36" fillId="7" borderId="31" xfId="0" applyNumberFormat="1" applyFont="1" applyFill="1" applyBorder="1" applyAlignment="1">
      <alignment vertical="center"/>
    </xf>
    <xf numFmtId="49" fontId="17" fillId="0" borderId="24" xfId="0" applyNumberFormat="1" applyFont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49" fontId="17" fillId="0" borderId="31" xfId="0" applyNumberFormat="1" applyFont="1" applyFill="1" applyBorder="1" applyAlignment="1">
      <alignment vertical="center"/>
    </xf>
    <xf numFmtId="49" fontId="38" fillId="0" borderId="31" xfId="0" applyNumberFormat="1" applyFont="1" applyFill="1" applyBorder="1" applyAlignment="1">
      <alignment vertical="center"/>
    </xf>
    <xf numFmtId="49" fontId="38" fillId="0" borderId="3" xfId="0" applyNumberFormat="1" applyFont="1" applyFill="1" applyBorder="1" applyAlignment="1">
      <alignment vertical="center"/>
    </xf>
    <xf numFmtId="0" fontId="76" fillId="0" borderId="32" xfId="0" applyFont="1" applyBorder="1" applyAlignment="1">
      <alignment horizontal="center" vertical="center"/>
    </xf>
    <xf numFmtId="0" fontId="36" fillId="0" borderId="34" xfId="0" applyNumberFormat="1" applyFont="1" applyBorder="1" applyAlignment="1">
      <alignment vertical="center"/>
    </xf>
    <xf numFmtId="1" fontId="133" fillId="6" borderId="33" xfId="0" applyNumberFormat="1" applyFont="1" applyFill="1" applyBorder="1" applyAlignment="1" applyProtection="1">
      <alignment vertical="center"/>
      <protection locked="0"/>
    </xf>
    <xf numFmtId="3" fontId="37" fillId="6" borderId="3" xfId="0" applyNumberFormat="1" applyFont="1" applyFill="1" applyBorder="1" applyAlignment="1" applyProtection="1">
      <alignment vertical="center"/>
      <protection locked="0"/>
    </xf>
    <xf numFmtId="1" fontId="37" fillId="6" borderId="3" xfId="0" applyNumberFormat="1" applyFont="1" applyFill="1" applyBorder="1" applyAlignment="1" applyProtection="1">
      <alignment vertical="center"/>
      <protection locked="0"/>
    </xf>
    <xf numFmtId="1" fontId="135" fillId="6" borderId="3" xfId="0" applyNumberFormat="1" applyFont="1" applyFill="1" applyBorder="1" applyAlignment="1" applyProtection="1">
      <alignment vertical="center"/>
      <protection locked="0"/>
    </xf>
    <xf numFmtId="1" fontId="17" fillId="6" borderId="3" xfId="0" applyNumberFormat="1" applyFont="1" applyFill="1" applyBorder="1" applyAlignment="1">
      <alignment horizontal="left" vertical="center"/>
    </xf>
    <xf numFmtId="1" fontId="36" fillId="6" borderId="3" xfId="0" applyNumberFormat="1" applyFont="1" applyFill="1" applyBorder="1" applyAlignment="1">
      <alignment horizontal="left" vertical="center"/>
    </xf>
    <xf numFmtId="168" fontId="36" fillId="6" borderId="3" xfId="0" applyNumberFormat="1" applyFont="1" applyFill="1" applyBorder="1" applyAlignment="1">
      <alignment vertical="center"/>
    </xf>
    <xf numFmtId="165" fontId="13" fillId="6" borderId="34" xfId="0" applyNumberFormat="1" applyFont="1" applyFill="1" applyBorder="1" applyAlignment="1" applyProtection="1">
      <alignment vertical="center"/>
      <protection locked="0"/>
    </xf>
    <xf numFmtId="165" fontId="13" fillId="6" borderId="0" xfId="0" applyNumberFormat="1" applyFont="1" applyFill="1" applyBorder="1" applyAlignment="1" applyProtection="1">
      <alignment horizontal="left" vertical="center"/>
      <protection locked="0"/>
    </xf>
    <xf numFmtId="168" fontId="126" fillId="5" borderId="3" xfId="0" applyNumberFormat="1" applyFont="1" applyFill="1" applyBorder="1" applyAlignment="1">
      <alignment vertical="center"/>
    </xf>
    <xf numFmtId="3" fontId="30" fillId="5" borderId="3" xfId="0" applyNumberFormat="1" applyFont="1" applyFill="1" applyBorder="1" applyAlignment="1" applyProtection="1">
      <alignment vertical="center"/>
      <protection locked="0"/>
    </xf>
    <xf numFmtId="3" fontId="17" fillId="5" borderId="3" xfId="0" applyNumberFormat="1" applyFont="1" applyFill="1" applyBorder="1" applyAlignment="1" applyProtection="1">
      <alignment vertical="center"/>
      <protection locked="0"/>
    </xf>
    <xf numFmtId="168" fontId="136" fillId="5" borderId="3" xfId="0" applyNumberFormat="1" applyFont="1" applyFill="1" applyBorder="1" applyAlignment="1">
      <alignment horizontal="center" vertical="center"/>
    </xf>
    <xf numFmtId="3" fontId="17" fillId="5" borderId="3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/>
    </xf>
    <xf numFmtId="49" fontId="87" fillId="0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80" fillId="0" borderId="32" xfId="0" applyFont="1" applyBorder="1" applyAlignment="1">
      <alignment vertical="center"/>
    </xf>
    <xf numFmtId="9" fontId="2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left" vertical="center" wrapText="1"/>
    </xf>
    <xf numFmtId="0" fontId="2" fillId="0" borderId="80" xfId="0" applyFont="1" applyBorder="1" applyAlignment="1">
      <alignment horizontal="left" vertical="center" wrapText="1"/>
    </xf>
    <xf numFmtId="0" fontId="2" fillId="0" borderId="84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8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left" vertical="center"/>
    </xf>
    <xf numFmtId="0" fontId="2" fillId="0" borderId="76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9" fontId="2" fillId="0" borderId="76" xfId="0" applyNumberFormat="1" applyFont="1" applyBorder="1" applyAlignment="1">
      <alignment horizontal="center" vertical="center" wrapText="1"/>
    </xf>
    <xf numFmtId="3" fontId="2" fillId="0" borderId="76" xfId="0" applyNumberFormat="1" applyFont="1" applyBorder="1" applyAlignment="1">
      <alignment horizontal="right" vertical="center" wrapText="1"/>
    </xf>
    <xf numFmtId="0" fontId="36" fillId="4" borderId="3" xfId="0" applyFont="1" applyFill="1" applyBorder="1" applyAlignment="1">
      <alignment vertical="center"/>
    </xf>
    <xf numFmtId="1" fontId="36" fillId="0" borderId="0" xfId="0" applyNumberFormat="1" applyFont="1" applyAlignment="1">
      <alignment vertical="center"/>
    </xf>
    <xf numFmtId="0" fontId="32" fillId="4" borderId="0" xfId="0" applyFont="1" applyFill="1" applyAlignment="1">
      <alignment vertical="center"/>
    </xf>
    <xf numFmtId="1" fontId="36" fillId="0" borderId="0" xfId="0" applyNumberFormat="1" applyFont="1" applyFill="1" applyAlignment="1">
      <alignment vertical="center"/>
    </xf>
    <xf numFmtId="49" fontId="36" fillId="0" borderId="0" xfId="0" applyNumberFormat="1" applyFont="1" applyAlignment="1">
      <alignment horizontal="right" vertical="center"/>
    </xf>
    <xf numFmtId="49" fontId="36" fillId="2" borderId="3" xfId="0" applyNumberFormat="1" applyFont="1" applyFill="1" applyBorder="1" applyAlignment="1">
      <alignment horizontal="right" vertical="center"/>
    </xf>
    <xf numFmtId="3" fontId="36" fillId="2" borderId="31" xfId="0" applyNumberFormat="1" applyFont="1" applyFill="1" applyBorder="1" applyAlignment="1">
      <alignment vertical="center"/>
    </xf>
    <xf numFmtId="49" fontId="36" fillId="2" borderId="34" xfId="0" applyNumberFormat="1" applyFont="1" applyFill="1" applyBorder="1" applyAlignment="1">
      <alignment horizontal="right" vertical="center"/>
    </xf>
    <xf numFmtId="1" fontId="36" fillId="2" borderId="31" xfId="0" applyNumberFormat="1" applyFont="1" applyFill="1" applyBorder="1" applyAlignment="1">
      <alignment vertical="center"/>
    </xf>
    <xf numFmtId="0" fontId="36" fillId="2" borderId="31" xfId="0" applyFont="1" applyFill="1" applyBorder="1" applyAlignment="1">
      <alignment vertical="center"/>
    </xf>
    <xf numFmtId="0" fontId="115" fillId="0" borderId="0" xfId="0" applyFont="1" applyBorder="1" applyAlignment="1">
      <alignment horizontal="center" vertical="center"/>
    </xf>
    <xf numFmtId="0" fontId="88" fillId="0" borderId="0" xfId="0" applyFont="1" applyAlignment="1">
      <alignment horizontal="left"/>
    </xf>
    <xf numFmtId="165" fontId="115" fillId="0" borderId="0" xfId="1" applyFont="1" applyBorder="1" applyAlignment="1">
      <alignment horizontal="left"/>
    </xf>
    <xf numFmtId="165" fontId="137" fillId="0" borderId="0" xfId="1" applyFont="1" applyBorder="1" applyAlignment="1">
      <alignment horizontal="left"/>
    </xf>
    <xf numFmtId="0" fontId="137" fillId="0" borderId="0" xfId="0" applyFont="1" applyBorder="1"/>
    <xf numFmtId="0" fontId="0" fillId="0" borderId="0" xfId="0" applyAlignment="1">
      <alignment horizontal="left"/>
    </xf>
    <xf numFmtId="0" fontId="138" fillId="0" borderId="0" xfId="0" applyFont="1" applyAlignment="1">
      <alignment horizontal="left"/>
    </xf>
    <xf numFmtId="0" fontId="97" fillId="0" borderId="0" xfId="0" applyFont="1" applyBorder="1" applyAlignment="1">
      <alignment vertical="center"/>
    </xf>
    <xf numFmtId="0" fontId="46" fillId="0" borderId="0" xfId="0" applyFont="1" applyBorder="1" applyAlignment="1">
      <alignment horizontal="center" vertical="center"/>
    </xf>
    <xf numFmtId="0" fontId="115" fillId="0" borderId="0" xfId="0" applyFont="1" applyAlignment="1">
      <alignment horizontal="left" vertical="center"/>
    </xf>
    <xf numFmtId="0" fontId="88" fillId="0" borderId="0" xfId="0" applyFont="1" applyAlignment="1">
      <alignment horizontal="left" vertical="center"/>
    </xf>
    <xf numFmtId="0" fontId="119" fillId="0" borderId="15" xfId="0" applyFont="1" applyBorder="1" applyAlignment="1">
      <alignment vertical="center"/>
    </xf>
    <xf numFmtId="0" fontId="139" fillId="0" borderId="0" xfId="0" applyFont="1" applyBorder="1"/>
    <xf numFmtId="0" fontId="114" fillId="0" borderId="0" xfId="0" applyFont="1" applyBorder="1"/>
    <xf numFmtId="0" fontId="119" fillId="0" borderId="2" xfId="0" applyNumberFormat="1" applyFont="1" applyBorder="1" applyAlignment="1"/>
    <xf numFmtId="0" fontId="119" fillId="0" borderId="2" xfId="0" applyFont="1" applyBorder="1" applyAlignment="1"/>
    <xf numFmtId="0" fontId="119" fillId="0" borderId="2" xfId="0" applyNumberFormat="1" applyFont="1" applyBorder="1" applyAlignment="1">
      <alignment vertical="center"/>
    </xf>
    <xf numFmtId="0" fontId="119" fillId="0" borderId="2" xfId="0" applyFont="1" applyBorder="1" applyAlignment="1">
      <alignment vertical="center"/>
    </xf>
    <xf numFmtId="3" fontId="17" fillId="2" borderId="3" xfId="0" applyNumberFormat="1" applyFont="1" applyFill="1" applyBorder="1" applyAlignment="1" applyProtection="1">
      <alignment vertical="center"/>
      <protection locked="0"/>
    </xf>
    <xf numFmtId="49" fontId="38" fillId="0" borderId="3" xfId="0" applyNumberFormat="1" applyFont="1" applyBorder="1" applyAlignment="1">
      <alignment vertical="center"/>
    </xf>
    <xf numFmtId="0" fontId="84" fillId="0" borderId="2" xfId="0" applyNumberFormat="1" applyFont="1" applyFill="1" applyBorder="1" applyAlignment="1">
      <alignment vertical="center"/>
    </xf>
    <xf numFmtId="0" fontId="84" fillId="0" borderId="32" xfId="0" applyNumberFormat="1" applyFont="1" applyFill="1" applyBorder="1" applyAlignment="1">
      <alignment vertical="center"/>
    </xf>
    <xf numFmtId="0" fontId="84" fillId="0" borderId="2" xfId="0" applyNumberFormat="1" applyFont="1" applyBorder="1" applyAlignment="1">
      <alignment vertical="center"/>
    </xf>
    <xf numFmtId="0" fontId="84" fillId="0" borderId="32" xfId="0" applyNumberFormat="1" applyFont="1" applyBorder="1" applyAlignment="1">
      <alignment vertical="center"/>
    </xf>
    <xf numFmtId="0" fontId="81" fillId="0" borderId="0" xfId="0" applyNumberFormat="1" applyFont="1" applyAlignment="1">
      <alignment vertical="center"/>
    </xf>
    <xf numFmtId="0" fontId="80" fillId="0" borderId="2" xfId="0" applyNumberFormat="1" applyFont="1" applyBorder="1" applyAlignment="1">
      <alignment vertical="center"/>
    </xf>
    <xf numFmtId="0" fontId="80" fillId="0" borderId="32" xfId="0" applyNumberFormat="1" applyFont="1" applyBorder="1" applyAlignment="1">
      <alignment vertical="center"/>
    </xf>
    <xf numFmtId="0" fontId="101" fillId="0" borderId="2" xfId="0" applyNumberFormat="1" applyFont="1" applyBorder="1" applyAlignment="1">
      <alignment horizontal="left" vertical="center"/>
    </xf>
    <xf numFmtId="0" fontId="114" fillId="0" borderId="0" xfId="0" applyNumberFormat="1" applyFont="1"/>
    <xf numFmtId="0" fontId="81" fillId="0" borderId="0" xfId="0" applyNumberFormat="1" applyFont="1"/>
    <xf numFmtId="0" fontId="15" fillId="0" borderId="0" xfId="0" applyNumberFormat="1" applyFont="1" applyBorder="1" applyAlignment="1"/>
    <xf numFmtId="0" fontId="97" fillId="0" borderId="0" xfId="0" applyNumberFormat="1" applyFont="1" applyBorder="1"/>
    <xf numFmtId="0" fontId="115" fillId="0" borderId="0" xfId="0" applyNumberFormat="1" applyFont="1" applyBorder="1"/>
    <xf numFmtId="0" fontId="97" fillId="0" borderId="0" xfId="0" applyNumberFormat="1" applyFont="1" applyBorder="1" applyAlignment="1">
      <alignment vertical="center"/>
    </xf>
    <xf numFmtId="0" fontId="115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1" fontId="36" fillId="0" borderId="0" xfId="0" applyNumberFormat="1" applyFont="1" applyFill="1" applyBorder="1" applyAlignment="1">
      <alignment horizontal="right" vertical="center"/>
    </xf>
    <xf numFmtId="0" fontId="76" fillId="0" borderId="0" xfId="0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29" xfId="0" applyFont="1" applyFill="1" applyBorder="1" applyAlignment="1">
      <alignment horizontal="center" vertical="center"/>
    </xf>
    <xf numFmtId="1" fontId="36" fillId="3" borderId="31" xfId="0" applyNumberFormat="1" applyFont="1" applyFill="1" applyBorder="1" applyAlignment="1">
      <alignment vertical="center"/>
    </xf>
    <xf numFmtId="0" fontId="40" fillId="0" borderId="29" xfId="0" applyFont="1" applyFill="1" applyBorder="1" applyAlignment="1">
      <alignment vertical="center"/>
    </xf>
    <xf numFmtId="0" fontId="40" fillId="0" borderId="5" xfId="0" applyFont="1" applyBorder="1" applyAlignment="1">
      <alignment vertical="center"/>
    </xf>
    <xf numFmtId="1" fontId="40" fillId="0" borderId="48" xfId="0" applyNumberFormat="1" applyFont="1" applyBorder="1" applyAlignment="1">
      <alignment vertical="center"/>
    </xf>
    <xf numFmtId="0" fontId="40" fillId="0" borderId="50" xfId="0" applyFont="1" applyBorder="1" applyAlignment="1">
      <alignment vertical="center"/>
    </xf>
    <xf numFmtId="1" fontId="40" fillId="0" borderId="83" xfId="0" applyNumberFormat="1" applyFont="1" applyBorder="1" applyAlignment="1">
      <alignment vertical="center"/>
    </xf>
    <xf numFmtId="0" fontId="40" fillId="0" borderId="67" xfId="0" applyFont="1" applyBorder="1" applyAlignment="1">
      <alignment vertical="center"/>
    </xf>
    <xf numFmtId="1" fontId="40" fillId="0" borderId="68" xfId="0" applyNumberFormat="1" applyFont="1" applyBorder="1" applyAlignment="1">
      <alignment vertical="center"/>
    </xf>
    <xf numFmtId="0" fontId="142" fillId="0" borderId="82" xfId="0" applyFont="1" applyFill="1" applyBorder="1" applyAlignment="1">
      <alignment vertical="center"/>
    </xf>
    <xf numFmtId="0" fontId="142" fillId="0" borderId="66" xfId="0" applyFont="1" applyFill="1" applyBorder="1" applyAlignment="1">
      <alignment vertical="center"/>
    </xf>
    <xf numFmtId="0" fontId="2" fillId="0" borderId="15" xfId="0" applyNumberFormat="1" applyFont="1" applyFill="1" applyBorder="1" applyAlignment="1">
      <alignment vertical="center"/>
    </xf>
    <xf numFmtId="3" fontId="17" fillId="2" borderId="34" xfId="0" applyNumberFormat="1" applyFont="1" applyFill="1" applyBorder="1"/>
    <xf numFmtId="0" fontId="2" fillId="0" borderId="33" xfId="0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horizontal="left" vertical="center"/>
    </xf>
    <xf numFmtId="0" fontId="2" fillId="0" borderId="32" xfId="0" applyFont="1" applyFill="1" applyBorder="1" applyAlignment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left" vertical="center"/>
    </xf>
    <xf numFmtId="49" fontId="2" fillId="0" borderId="24" xfId="0" applyNumberFormat="1" applyFont="1" applyFill="1" applyBorder="1" applyAlignment="1">
      <alignment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49" fontId="21" fillId="0" borderId="31" xfId="0" applyNumberFormat="1" applyFont="1" applyFill="1" applyBorder="1" applyAlignment="1">
      <alignment vertical="center"/>
    </xf>
    <xf numFmtId="49" fontId="55" fillId="0" borderId="31" xfId="0" applyNumberFormat="1" applyFont="1" applyFill="1" applyBorder="1" applyAlignment="1">
      <alignment vertical="center"/>
    </xf>
    <xf numFmtId="49" fontId="11" fillId="0" borderId="31" xfId="0" applyNumberFormat="1" applyFont="1" applyFill="1" applyBorder="1" applyAlignment="1">
      <alignment vertical="center"/>
    </xf>
    <xf numFmtId="49" fontId="57" fillId="0" borderId="31" xfId="0" applyNumberFormat="1" applyFont="1" applyFill="1" applyBorder="1" applyAlignment="1">
      <alignment vertical="center"/>
    </xf>
    <xf numFmtId="181" fontId="143" fillId="0" borderId="31" xfId="0" applyNumberFormat="1" applyFont="1" applyBorder="1" applyAlignment="1">
      <alignment vertical="center"/>
    </xf>
    <xf numFmtId="0" fontId="69" fillId="2" borderId="31" xfId="0" applyNumberFormat="1" applyFont="1" applyFill="1" applyBorder="1" applyAlignment="1" applyProtection="1">
      <alignment vertical="center"/>
    </xf>
    <xf numFmtId="0" fontId="2" fillId="2" borderId="32" xfId="0" applyFont="1" applyFill="1" applyBorder="1" applyAlignment="1" applyProtection="1">
      <alignment vertical="center"/>
    </xf>
    <xf numFmtId="3" fontId="2" fillId="2" borderId="32" xfId="0" applyNumberFormat="1" applyFont="1" applyFill="1" applyBorder="1" applyAlignment="1" applyProtection="1">
      <alignment vertical="center"/>
    </xf>
    <xf numFmtId="49" fontId="13" fillId="0" borderId="31" xfId="0" applyNumberFormat="1" applyFont="1" applyBorder="1" applyAlignment="1">
      <alignment vertical="center"/>
    </xf>
    <xf numFmtId="49" fontId="13" fillId="2" borderId="31" xfId="0" applyNumberFormat="1" applyFont="1" applyFill="1" applyBorder="1" applyAlignment="1">
      <alignment vertical="center"/>
    </xf>
    <xf numFmtId="49" fontId="36" fillId="2" borderId="31" xfId="0" applyNumberFormat="1" applyFont="1" applyFill="1" applyBorder="1" applyAlignment="1">
      <alignment vertical="center"/>
    </xf>
    <xf numFmtId="3" fontId="132" fillId="2" borderId="3" xfId="0" applyNumberFormat="1" applyFont="1" applyFill="1" applyBorder="1" applyAlignment="1">
      <alignment vertical="center"/>
    </xf>
    <xf numFmtId="3" fontId="131" fillId="2" borderId="3" xfId="0" applyNumberFormat="1" applyFont="1" applyFill="1" applyBorder="1" applyAlignment="1">
      <alignment vertical="center"/>
    </xf>
    <xf numFmtId="3" fontId="30" fillId="2" borderId="3" xfId="0" applyNumberFormat="1" applyFont="1" applyFill="1" applyBorder="1" applyAlignment="1" applyProtection="1">
      <alignment vertical="center"/>
      <protection locked="0"/>
    </xf>
    <xf numFmtId="49" fontId="36" fillId="2" borderId="33" xfId="0" applyNumberFormat="1" applyFont="1" applyFill="1" applyBorder="1" applyAlignment="1">
      <alignment vertical="center"/>
    </xf>
    <xf numFmtId="49" fontId="36" fillId="2" borderId="24" xfId="0" applyNumberFormat="1" applyFont="1" applyFill="1" applyBorder="1" applyAlignment="1">
      <alignment vertical="center"/>
    </xf>
    <xf numFmtId="1" fontId="133" fillId="2" borderId="3" xfId="0" applyNumberFormat="1" applyFont="1" applyFill="1" applyBorder="1" applyAlignment="1" applyProtection="1">
      <alignment vertical="center"/>
      <protection locked="0"/>
    </xf>
    <xf numFmtId="49" fontId="17" fillId="2" borderId="24" xfId="0" applyNumberFormat="1" applyFont="1" applyFill="1" applyBorder="1" applyAlignment="1">
      <alignment vertical="center"/>
    </xf>
    <xf numFmtId="3" fontId="17" fillId="2" borderId="3" xfId="0" applyNumberFormat="1" applyFont="1" applyFill="1" applyBorder="1" applyAlignment="1">
      <alignment vertical="center"/>
    </xf>
    <xf numFmtId="1" fontId="133" fillId="12" borderId="33" xfId="0" applyNumberFormat="1" applyFont="1" applyFill="1" applyBorder="1" applyAlignment="1" applyProtection="1">
      <alignment vertical="center"/>
      <protection locked="0"/>
    </xf>
    <xf numFmtId="49" fontId="17" fillId="13" borderId="0" xfId="0" applyNumberFormat="1" applyFont="1" applyFill="1" applyAlignment="1">
      <alignment vertical="center"/>
    </xf>
    <xf numFmtId="49" fontId="18" fillId="13" borderId="0" xfId="0" applyNumberFormat="1" applyFont="1" applyFill="1" applyAlignment="1">
      <alignment horizontal="right" vertical="center"/>
    </xf>
    <xf numFmtId="49" fontId="78" fillId="13" borderId="0" xfId="0" applyNumberFormat="1" applyFont="1" applyFill="1" applyAlignment="1">
      <alignment vertical="center"/>
    </xf>
    <xf numFmtId="0" fontId="17" fillId="13" borderId="0" xfId="0" applyFont="1" applyFill="1" applyAlignment="1">
      <alignment vertical="center"/>
    </xf>
    <xf numFmtId="4" fontId="133" fillId="0" borderId="33" xfId="0" applyNumberFormat="1" applyFont="1" applyFill="1" applyBorder="1" applyAlignment="1" applyProtection="1">
      <alignment horizontal="right" vertical="center"/>
      <protection locked="0"/>
    </xf>
    <xf numFmtId="4" fontId="17" fillId="0" borderId="3" xfId="0" applyNumberFormat="1" applyFont="1" applyFill="1" applyBorder="1" applyAlignment="1">
      <alignment horizontal="right" vertical="center"/>
    </xf>
    <xf numFmtId="4" fontId="36" fillId="0" borderId="3" xfId="0" applyNumberFormat="1" applyFont="1" applyFill="1" applyBorder="1" applyAlignment="1">
      <alignment horizontal="right" vertical="center"/>
    </xf>
    <xf numFmtId="4" fontId="36" fillId="2" borderId="3" xfId="0" applyNumberFormat="1" applyFont="1" applyFill="1" applyBorder="1" applyAlignment="1">
      <alignment horizontal="right" vertical="center"/>
    </xf>
    <xf numFmtId="4" fontId="135" fillId="0" borderId="3" xfId="0" applyNumberFormat="1" applyFont="1" applyFill="1" applyBorder="1" applyAlignment="1">
      <alignment horizontal="right" vertical="center"/>
    </xf>
    <xf numFmtId="4" fontId="13" fillId="2" borderId="3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49" fontId="90" fillId="0" borderId="0" xfId="0" applyNumberFormat="1" applyFont="1" applyBorder="1" applyAlignment="1">
      <alignment vertical="center"/>
    </xf>
    <xf numFmtId="0" fontId="60" fillId="0" borderId="0" xfId="0" applyFont="1" applyBorder="1" applyAlignment="1">
      <alignment vertical="center"/>
    </xf>
    <xf numFmtId="49" fontId="90" fillId="0" borderId="0" xfId="0" applyNumberFormat="1" applyFont="1" applyBorder="1" applyAlignment="1">
      <alignment horizontal="right" vertical="center"/>
    </xf>
    <xf numFmtId="0" fontId="90" fillId="0" borderId="0" xfId="0" applyFont="1" applyBorder="1" applyAlignment="1">
      <alignment horizontal="right" vertical="center"/>
    </xf>
    <xf numFmtId="0" fontId="90" fillId="0" borderId="0" xfId="0" applyNumberFormat="1" applyFont="1" applyBorder="1" applyAlignment="1">
      <alignment vertical="center"/>
    </xf>
    <xf numFmtId="0" fontId="60" fillId="0" borderId="0" xfId="0" applyNumberFormat="1" applyFont="1" applyBorder="1" applyAlignment="1">
      <alignment vertical="center"/>
    </xf>
    <xf numFmtId="0" fontId="90" fillId="0" borderId="0" xfId="0" applyNumberFormat="1" applyFont="1" applyBorder="1" applyAlignment="1">
      <alignment horizontal="right" vertical="center"/>
    </xf>
    <xf numFmtId="0" fontId="90" fillId="2" borderId="31" xfId="0" applyFont="1" applyFill="1" applyBorder="1" applyAlignment="1">
      <alignment vertical="center"/>
    </xf>
    <xf numFmtId="0" fontId="90" fillId="2" borderId="32" xfId="0" applyFont="1" applyFill="1" applyBorder="1" applyAlignment="1">
      <alignment vertical="center"/>
    </xf>
    <xf numFmtId="0" fontId="90" fillId="2" borderId="34" xfId="0" applyFont="1" applyFill="1" applyBorder="1" applyAlignment="1">
      <alignment vertical="center"/>
    </xf>
    <xf numFmtId="49" fontId="90" fillId="0" borderId="0" xfId="0" applyNumberFormat="1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90" fillId="0" borderId="0" xfId="0" applyFont="1" applyBorder="1" applyAlignment="1">
      <alignment horizontal="left" vertical="center"/>
    </xf>
    <xf numFmtId="1" fontId="90" fillId="0" borderId="0" xfId="0" applyNumberFormat="1" applyFont="1" applyBorder="1" applyAlignment="1">
      <alignment horizontal="right" vertical="center"/>
    </xf>
    <xf numFmtId="0" fontId="90" fillId="0" borderId="31" xfId="0" applyFont="1" applyBorder="1" applyAlignment="1">
      <alignment vertical="center"/>
    </xf>
    <xf numFmtId="0" fontId="90" fillId="0" borderId="32" xfId="0" applyFont="1" applyBorder="1" applyAlignment="1">
      <alignment vertical="center"/>
    </xf>
    <xf numFmtId="0" fontId="144" fillId="0" borderId="0" xfId="0" applyFont="1" applyBorder="1" applyAlignment="1">
      <alignment vertical="center"/>
    </xf>
    <xf numFmtId="0" fontId="90" fillId="0" borderId="0" xfId="0" applyFont="1" applyBorder="1" applyAlignment="1">
      <alignment vertical="top" wrapText="1"/>
    </xf>
    <xf numFmtId="0" fontId="36" fillId="2" borderId="29" xfId="0" applyFont="1" applyFill="1" applyBorder="1" applyAlignment="1">
      <alignment vertical="center"/>
    </xf>
    <xf numFmtId="0" fontId="36" fillId="2" borderId="3" xfId="0" applyFont="1" applyFill="1" applyBorder="1" applyAlignment="1">
      <alignment vertical="center"/>
    </xf>
    <xf numFmtId="0" fontId="90" fillId="0" borderId="0" xfId="0" applyFont="1" applyBorder="1" applyAlignment="1">
      <alignment horizontal="left" vertical="top" wrapText="1"/>
    </xf>
    <xf numFmtId="0" fontId="90" fillId="0" borderId="3" xfId="0" applyFont="1" applyBorder="1" applyAlignment="1">
      <alignment vertical="center"/>
    </xf>
    <xf numFmtId="0" fontId="90" fillId="14" borderId="3" xfId="0" applyFont="1" applyFill="1" applyBorder="1" applyAlignment="1">
      <alignment vertical="center"/>
    </xf>
    <xf numFmtId="0" fontId="90" fillId="0" borderId="3" xfId="0" applyFont="1" applyFill="1" applyBorder="1" applyAlignment="1">
      <alignment vertical="center"/>
    </xf>
    <xf numFmtId="0" fontId="90" fillId="14" borderId="3" xfId="0" applyFont="1" applyFill="1" applyBorder="1" applyAlignment="1">
      <alignment horizontal="center" vertical="center"/>
    </xf>
    <xf numFmtId="0" fontId="90" fillId="0" borderId="2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84" fillId="0" borderId="0" xfId="0" applyNumberFormat="1" applyFont="1" applyFill="1" applyBorder="1" applyAlignment="1">
      <alignment horizontal="center" vertical="center"/>
    </xf>
    <xf numFmtId="182" fontId="84" fillId="0" borderId="0" xfId="0" applyNumberFormat="1" applyFont="1" applyFill="1" applyBorder="1" applyAlignment="1">
      <alignment horizontal="right" vertical="center"/>
    </xf>
    <xf numFmtId="0" fontId="84" fillId="0" borderId="0" xfId="0" applyNumberFormat="1" applyFont="1" applyFill="1" applyBorder="1" applyAlignment="1">
      <alignment horizontal="right" vertical="center"/>
    </xf>
    <xf numFmtId="49" fontId="8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vertical="center"/>
    </xf>
    <xf numFmtId="49" fontId="36" fillId="15" borderId="31" xfId="0" applyNumberFormat="1" applyFont="1" applyFill="1" applyBorder="1" applyAlignment="1">
      <alignment vertical="center"/>
    </xf>
    <xf numFmtId="1" fontId="37" fillId="15" borderId="2" xfId="0" applyNumberFormat="1" applyFont="1" applyFill="1" applyBorder="1" applyAlignment="1" applyProtection="1">
      <alignment vertical="center"/>
      <protection locked="0"/>
    </xf>
    <xf numFmtId="1" fontId="37" fillId="15" borderId="6" xfId="0" applyNumberFormat="1" applyFont="1" applyFill="1" applyBorder="1" applyAlignment="1" applyProtection="1">
      <alignment vertical="center"/>
      <protection locked="0"/>
    </xf>
    <xf numFmtId="49" fontId="36" fillId="15" borderId="3" xfId="0" applyNumberFormat="1" applyFont="1" applyFill="1" applyBorder="1" applyAlignment="1">
      <alignment vertical="center"/>
    </xf>
    <xf numFmtId="3" fontId="17" fillId="5" borderId="31" xfId="0" applyNumberFormat="1" applyFont="1" applyFill="1" applyBorder="1" applyAlignment="1" applyProtection="1">
      <alignment vertical="center"/>
      <protection locked="0"/>
    </xf>
    <xf numFmtId="49" fontId="84" fillId="0" borderId="94" xfId="0" applyNumberFormat="1" applyFont="1" applyFill="1" applyBorder="1" applyAlignment="1">
      <alignment vertical="center"/>
    </xf>
    <xf numFmtId="49" fontId="84" fillId="0" borderId="50" xfId="0" applyNumberFormat="1" applyFont="1" applyFill="1" applyBorder="1" applyAlignment="1">
      <alignment vertical="center"/>
    </xf>
    <xf numFmtId="182" fontId="84" fillId="0" borderId="50" xfId="0" applyNumberFormat="1" applyFont="1" applyFill="1" applyBorder="1" applyAlignment="1">
      <alignment vertical="center"/>
    </xf>
    <xf numFmtId="182" fontId="84" fillId="0" borderId="87" xfId="0" applyNumberFormat="1" applyFont="1" applyFill="1" applyBorder="1" applyAlignment="1">
      <alignment vertical="center"/>
    </xf>
    <xf numFmtId="49" fontId="84" fillId="0" borderId="24" xfId="0" applyNumberFormat="1" applyFont="1" applyFill="1" applyBorder="1" applyAlignment="1">
      <alignment vertical="center"/>
    </xf>
    <xf numFmtId="49" fontId="84" fillId="0" borderId="29" xfId="0" applyNumberFormat="1" applyFont="1" applyFill="1" applyBorder="1" applyAlignment="1">
      <alignment vertical="center"/>
    </xf>
    <xf numFmtId="0" fontId="84" fillId="0" borderId="1" xfId="0" applyFont="1" applyFill="1" applyBorder="1" applyAlignment="1">
      <alignment horizontal="center" vertical="center"/>
    </xf>
    <xf numFmtId="49" fontId="84" fillId="0" borderId="1" xfId="0" applyNumberFormat="1" applyFont="1" applyFill="1" applyBorder="1" applyAlignment="1">
      <alignment vertical="center"/>
    </xf>
    <xf numFmtId="182" fontId="84" fillId="0" borderId="1" xfId="0" applyNumberFormat="1" applyFont="1" applyFill="1" applyBorder="1" applyAlignment="1">
      <alignment vertical="center"/>
    </xf>
    <xf numFmtId="182" fontId="84" fillId="0" borderId="5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49" fontId="84" fillId="0" borderId="0" xfId="0" applyNumberFormat="1" applyFont="1" applyFill="1" applyBorder="1" applyAlignment="1">
      <alignment horizontal="right" vertical="center"/>
    </xf>
    <xf numFmtId="3" fontId="1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14" fillId="16" borderId="29" xfId="0" applyFont="1" applyFill="1" applyBorder="1"/>
    <xf numFmtId="0" fontId="0" fillId="16" borderId="1" xfId="0" applyFill="1" applyBorder="1"/>
    <xf numFmtId="0" fontId="90" fillId="16" borderId="24" xfId="0" applyFont="1" applyFill="1" applyBorder="1"/>
    <xf numFmtId="0" fontId="0" fillId="16" borderId="2" xfId="0" applyFill="1" applyBorder="1"/>
    <xf numFmtId="0" fontId="90" fillId="16" borderId="31" xfId="0" applyFont="1" applyFill="1" applyBorder="1"/>
    <xf numFmtId="0" fontId="0" fillId="16" borderId="32" xfId="0" applyFill="1" applyBorder="1"/>
    <xf numFmtId="0" fontId="90" fillId="16" borderId="3" xfId="0" applyFont="1" applyFill="1" applyBorder="1" applyAlignment="1">
      <alignment horizontal="center"/>
    </xf>
    <xf numFmtId="0" fontId="90" fillId="17" borderId="31" xfId="0" applyFont="1" applyFill="1" applyBorder="1"/>
    <xf numFmtId="0" fontId="0" fillId="17" borderId="32" xfId="0" applyFill="1" applyBorder="1"/>
    <xf numFmtId="0" fontId="90" fillId="17" borderId="3" xfId="0" applyFont="1" applyFill="1" applyBorder="1" applyAlignment="1">
      <alignment horizontal="center"/>
    </xf>
    <xf numFmtId="0" fontId="90" fillId="18" borderId="29" xfId="0" applyFont="1" applyFill="1" applyBorder="1"/>
    <xf numFmtId="0" fontId="0" fillId="18" borderId="1" xfId="0" applyFill="1" applyBorder="1"/>
    <xf numFmtId="0" fontId="90" fillId="18" borderId="24" xfId="0" applyFont="1" applyFill="1" applyBorder="1"/>
    <xf numFmtId="0" fontId="0" fillId="18" borderId="2" xfId="0" applyFill="1" applyBorder="1"/>
    <xf numFmtId="0" fontId="90" fillId="18" borderId="31" xfId="0" applyFont="1" applyFill="1" applyBorder="1"/>
    <xf numFmtId="0" fontId="0" fillId="18" borderId="32" xfId="0" applyFill="1" applyBorder="1"/>
    <xf numFmtId="0" fontId="90" fillId="18" borderId="3" xfId="0" applyFont="1" applyFill="1" applyBorder="1" applyAlignment="1">
      <alignment horizontal="center"/>
    </xf>
    <xf numFmtId="0" fontId="90" fillId="19" borderId="29" xfId="0" applyFont="1" applyFill="1" applyBorder="1"/>
    <xf numFmtId="0" fontId="0" fillId="19" borderId="1" xfId="0" applyFill="1" applyBorder="1"/>
    <xf numFmtId="0" fontId="90" fillId="19" borderId="24" xfId="0" applyFont="1" applyFill="1" applyBorder="1"/>
    <xf numFmtId="0" fontId="0" fillId="19" borderId="2" xfId="0" applyFill="1" applyBorder="1"/>
    <xf numFmtId="0" fontId="90" fillId="19" borderId="31" xfId="0" applyFont="1" applyFill="1" applyBorder="1"/>
    <xf numFmtId="0" fontId="0" fillId="19" borderId="32" xfId="0" applyFill="1" applyBorder="1"/>
    <xf numFmtId="0" fontId="90" fillId="19" borderId="3" xfId="0" applyFont="1" applyFill="1" applyBorder="1" applyAlignment="1">
      <alignment horizontal="center"/>
    </xf>
    <xf numFmtId="0" fontId="90" fillId="14" borderId="29" xfId="0" applyFont="1" applyFill="1" applyBorder="1"/>
    <xf numFmtId="0" fontId="0" fillId="14" borderId="1" xfId="0" applyFill="1" applyBorder="1"/>
    <xf numFmtId="0" fontId="90" fillId="14" borderId="24" xfId="0" applyFont="1" applyFill="1" applyBorder="1"/>
    <xf numFmtId="0" fontId="0" fillId="14" borderId="2" xfId="0" applyFill="1" applyBorder="1"/>
    <xf numFmtId="0" fontId="90" fillId="21" borderId="29" xfId="0" applyFont="1" applyFill="1" applyBorder="1"/>
    <xf numFmtId="0" fontId="0" fillId="21" borderId="1" xfId="0" applyFill="1" applyBorder="1"/>
    <xf numFmtId="0" fontId="90" fillId="21" borderId="24" xfId="0" applyFont="1" applyFill="1" applyBorder="1"/>
    <xf numFmtId="0" fontId="0" fillId="21" borderId="2" xfId="0" applyFill="1" applyBorder="1"/>
    <xf numFmtId="0" fontId="149" fillId="0" borderId="3" xfId="0" applyFont="1" applyBorder="1"/>
    <xf numFmtId="0" fontId="150" fillId="0" borderId="3" xfId="0" applyFont="1" applyBorder="1"/>
    <xf numFmtId="0" fontId="0" fillId="20" borderId="3" xfId="0" applyFill="1" applyBorder="1" applyAlignment="1">
      <alignment horizontal="center"/>
    </xf>
    <xf numFmtId="0" fontId="90" fillId="20" borderId="31" xfId="0" applyFont="1" applyFill="1" applyBorder="1"/>
    <xf numFmtId="0" fontId="0" fillId="20" borderId="32" xfId="0" applyFill="1" applyBorder="1"/>
    <xf numFmtId="1" fontId="10" fillId="0" borderId="6" xfId="0" applyNumberFormat="1" applyFont="1" applyBorder="1" applyAlignment="1">
      <alignment horizontal="center" vertical="center"/>
    </xf>
    <xf numFmtId="49" fontId="2" fillId="0" borderId="48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horizontal="left" vertical="center"/>
    </xf>
    <xf numFmtId="0" fontId="57" fillId="13" borderId="3" xfId="0" applyFont="1" applyFill="1" applyBorder="1" applyAlignment="1" applyProtection="1">
      <alignment vertical="center"/>
      <protection locked="0"/>
    </xf>
    <xf numFmtId="0" fontId="57" fillId="0" borderId="95" xfId="0" applyFont="1" applyFill="1" applyBorder="1" applyAlignment="1" applyProtection="1">
      <alignment vertical="center"/>
      <protection locked="0"/>
    </xf>
    <xf numFmtId="0" fontId="151" fillId="0" borderId="29" xfId="0" applyFont="1" applyBorder="1" applyAlignment="1">
      <alignment vertical="center"/>
    </xf>
    <xf numFmtId="49" fontId="57" fillId="0" borderId="0" xfId="0" applyNumberFormat="1" applyFont="1" applyFill="1" applyBorder="1" applyAlignment="1">
      <alignment vertical="center"/>
    </xf>
    <xf numFmtId="172" fontId="7" fillId="0" borderId="0" xfId="1" applyNumberFormat="1" applyFont="1" applyBorder="1" applyAlignment="1">
      <alignment vertical="center"/>
    </xf>
    <xf numFmtId="0" fontId="66" fillId="0" borderId="54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53" xfId="0" applyFont="1" applyBorder="1" applyAlignment="1">
      <alignment vertical="center"/>
    </xf>
    <xf numFmtId="168" fontId="7" fillId="0" borderId="0" xfId="1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0" fillId="16" borderId="3" xfId="0" applyNumberFormat="1" applyFill="1" applyBorder="1" applyAlignment="1">
      <alignment horizontal="right" vertical="center"/>
    </xf>
    <xf numFmtId="3" fontId="0" fillId="16" borderId="34" xfId="0" applyNumberFormat="1" applyFill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17" borderId="3" xfId="0" applyNumberFormat="1" applyFill="1" applyBorder="1" applyAlignment="1">
      <alignment horizontal="right" vertical="center"/>
    </xf>
    <xf numFmtId="3" fontId="0" fillId="18" borderId="3" xfId="0" applyNumberFormat="1" applyFill="1" applyBorder="1" applyAlignment="1">
      <alignment horizontal="right" vertical="center"/>
    </xf>
    <xf numFmtId="3" fontId="0" fillId="18" borderId="34" xfId="0" applyNumberFormat="1" applyFill="1" applyBorder="1" applyAlignment="1">
      <alignment horizontal="right" vertical="center"/>
    </xf>
    <xf numFmtId="3" fontId="0" fillId="19" borderId="3" xfId="0" applyNumberFormat="1" applyFill="1" applyBorder="1" applyAlignment="1">
      <alignment horizontal="right" vertical="center"/>
    </xf>
    <xf numFmtId="3" fontId="0" fillId="19" borderId="34" xfId="0" applyNumberFormat="1" applyFill="1" applyBorder="1" applyAlignment="1">
      <alignment horizontal="right" vertical="center"/>
    </xf>
    <xf numFmtId="3" fontId="0" fillId="0" borderId="0" xfId="0" applyNumberFormat="1"/>
    <xf numFmtId="3" fontId="0" fillId="20" borderId="3" xfId="0" applyNumberFormat="1" applyFill="1" applyBorder="1"/>
    <xf numFmtId="3" fontId="0" fillId="20" borderId="34" xfId="0" applyNumberFormat="1" applyFill="1" applyBorder="1"/>
    <xf numFmtId="176" fontId="90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52" fillId="0" borderId="0" xfId="0" applyFont="1" applyAlignment="1">
      <alignment vertical="center"/>
    </xf>
    <xf numFmtId="49" fontId="152" fillId="0" borderId="0" xfId="0" applyNumberFormat="1" applyFont="1" applyAlignment="1">
      <alignment horizontal="right" vertical="center"/>
    </xf>
    <xf numFmtId="0" fontId="76" fillId="24" borderId="124" xfId="0" applyFont="1" applyFill="1" applyBorder="1"/>
    <xf numFmtId="0" fontId="76" fillId="23" borderId="124" xfId="0" quotePrefix="1" applyFont="1" applyFill="1" applyBorder="1"/>
    <xf numFmtId="0" fontId="140" fillId="22" borderId="89" xfId="0" applyFont="1" applyFill="1" applyBorder="1" applyAlignment="1">
      <alignment horizontal="center"/>
    </xf>
    <xf numFmtId="0" fontId="140" fillId="22" borderId="57" xfId="0" applyFont="1" applyFill="1" applyBorder="1" applyAlignment="1">
      <alignment horizontal="center"/>
    </xf>
    <xf numFmtId="49" fontId="17" fillId="2" borderId="29" xfId="0" applyNumberFormat="1" applyFont="1" applyFill="1" applyBorder="1" applyAlignment="1">
      <alignment horizontal="left" wrapText="1"/>
    </xf>
    <xf numFmtId="49" fontId="17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32" fillId="0" borderId="31" xfId="0" applyNumberFormat="1" applyFont="1" applyBorder="1" applyAlignment="1">
      <alignment horizontal="center" vertical="center"/>
    </xf>
    <xf numFmtId="49" fontId="32" fillId="0" borderId="32" xfId="0" applyNumberFormat="1" applyFont="1" applyBorder="1" applyAlignment="1">
      <alignment horizontal="center" vertical="center"/>
    </xf>
    <xf numFmtId="49" fontId="32" fillId="0" borderId="34" xfId="0" applyNumberFormat="1" applyFont="1" applyBorder="1" applyAlignment="1">
      <alignment horizontal="center" vertical="center"/>
    </xf>
    <xf numFmtId="49" fontId="75" fillId="2" borderId="0" xfId="0" applyNumberFormat="1" applyFont="1" applyFill="1" applyBorder="1" applyAlignment="1">
      <alignment horizontal="center" vertical="center"/>
    </xf>
    <xf numFmtId="49" fontId="17" fillId="2" borderId="31" xfId="0" applyNumberFormat="1" applyFont="1" applyFill="1" applyBorder="1" applyAlignment="1">
      <alignment horizontal="left" wrapText="1"/>
    </xf>
    <xf numFmtId="49" fontId="17" fillId="2" borderId="32" xfId="0" applyNumberFormat="1" applyFont="1" applyFill="1" applyBorder="1" applyAlignment="1">
      <alignment horizontal="left" wrapText="1"/>
    </xf>
    <xf numFmtId="49" fontId="17" fillId="2" borderId="34" xfId="0" applyNumberFormat="1" applyFont="1" applyFill="1" applyBorder="1" applyAlignment="1">
      <alignment horizontal="left" wrapText="1"/>
    </xf>
    <xf numFmtId="0" fontId="38" fillId="2" borderId="48" xfId="0" applyFont="1" applyFill="1" applyBorder="1" applyAlignment="1">
      <alignment horizontal="center" vertical="center" wrapText="1"/>
    </xf>
    <xf numFmtId="0" fontId="38" fillId="2" borderId="81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145" fillId="0" borderId="82" xfId="0" applyFont="1" applyBorder="1" applyAlignment="1">
      <alignment horizontal="left" vertical="center" wrapText="1"/>
    </xf>
    <xf numFmtId="0" fontId="145" fillId="0" borderId="50" xfId="0" applyFont="1" applyBorder="1" applyAlignment="1">
      <alignment horizontal="left" vertical="center" wrapText="1"/>
    </xf>
    <xf numFmtId="0" fontId="145" fillId="0" borderId="83" xfId="0" applyFont="1" applyBorder="1" applyAlignment="1">
      <alignment horizontal="left" vertical="center" wrapText="1"/>
    </xf>
    <xf numFmtId="0" fontId="145" fillId="0" borderId="64" xfId="0" applyFont="1" applyBorder="1" applyAlignment="1">
      <alignment horizontal="left" vertical="center" wrapText="1"/>
    </xf>
    <xf numFmtId="0" fontId="145" fillId="0" borderId="0" xfId="0" applyFont="1" applyBorder="1" applyAlignment="1">
      <alignment horizontal="left" vertical="center" wrapText="1"/>
    </xf>
    <xf numFmtId="0" fontId="145" fillId="0" borderId="49" xfId="0" applyFont="1" applyBorder="1" applyAlignment="1">
      <alignment horizontal="left" vertical="center" wrapText="1"/>
    </xf>
    <xf numFmtId="0" fontId="145" fillId="0" borderId="66" xfId="0" applyFont="1" applyBorder="1" applyAlignment="1">
      <alignment horizontal="left" vertical="center" wrapText="1"/>
    </xf>
    <xf numFmtId="0" fontId="145" fillId="0" borderId="67" xfId="0" applyFont="1" applyBorder="1" applyAlignment="1">
      <alignment horizontal="left" vertical="center" wrapText="1"/>
    </xf>
    <xf numFmtId="0" fontId="145" fillId="0" borderId="68" xfId="0" applyFont="1" applyBorder="1" applyAlignment="1">
      <alignment horizontal="left" vertical="center" wrapText="1"/>
    </xf>
    <xf numFmtId="0" fontId="146" fillId="0" borderId="82" xfId="0" applyFont="1" applyBorder="1" applyAlignment="1">
      <alignment horizontal="center" vertical="center"/>
    </xf>
    <xf numFmtId="0" fontId="146" fillId="0" borderId="50" xfId="0" applyFont="1" applyBorder="1" applyAlignment="1">
      <alignment horizontal="center" vertical="center"/>
    </xf>
    <xf numFmtId="0" fontId="146" fillId="0" borderId="83" xfId="0" applyFont="1" applyBorder="1" applyAlignment="1">
      <alignment horizontal="center" vertical="center"/>
    </xf>
    <xf numFmtId="0" fontId="146" fillId="0" borderId="66" xfId="0" applyFont="1" applyBorder="1" applyAlignment="1">
      <alignment horizontal="center" vertical="center"/>
    </xf>
    <xf numFmtId="0" fontId="146" fillId="0" borderId="67" xfId="0" applyFont="1" applyBorder="1" applyAlignment="1">
      <alignment horizontal="center" vertical="center"/>
    </xf>
    <xf numFmtId="0" fontId="146" fillId="0" borderId="68" xfId="0" applyFont="1" applyBorder="1" applyAlignment="1">
      <alignment horizontal="center" vertical="center"/>
    </xf>
    <xf numFmtId="0" fontId="145" fillId="0" borderId="82" xfId="0" applyFont="1" applyBorder="1" applyAlignment="1">
      <alignment horizontal="left" vertical="center"/>
    </xf>
    <xf numFmtId="0" fontId="145" fillId="0" borderId="50" xfId="0" applyFont="1" applyBorder="1" applyAlignment="1">
      <alignment horizontal="left" vertical="center"/>
    </xf>
    <xf numFmtId="0" fontId="145" fillId="0" borderId="83" xfId="0" applyFont="1" applyBorder="1" applyAlignment="1">
      <alignment horizontal="left" vertical="center"/>
    </xf>
    <xf numFmtId="0" fontId="145" fillId="0" borderId="66" xfId="0" applyFont="1" applyBorder="1" applyAlignment="1">
      <alignment horizontal="left" vertical="center"/>
    </xf>
    <xf numFmtId="0" fontId="145" fillId="0" borderId="67" xfId="0" applyFont="1" applyBorder="1" applyAlignment="1">
      <alignment horizontal="left" vertical="center"/>
    </xf>
    <xf numFmtId="0" fontId="145" fillId="0" borderId="68" xfId="0" applyFont="1" applyBorder="1" applyAlignment="1">
      <alignment horizontal="left" vertical="center"/>
    </xf>
    <xf numFmtId="49" fontId="17" fillId="2" borderId="3" xfId="0" applyNumberFormat="1" applyFont="1" applyFill="1" applyBorder="1" applyAlignment="1">
      <alignment horizontal="center" vertical="center"/>
    </xf>
    <xf numFmtId="168" fontId="22" fillId="7" borderId="0" xfId="0" applyNumberFormat="1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7" fillId="0" borderId="32" xfId="0" applyFont="1" applyBorder="1" applyAlignment="1">
      <alignment horizontal="center" wrapText="1"/>
    </xf>
    <xf numFmtId="0" fontId="37" fillId="0" borderId="34" xfId="0" applyFont="1" applyBorder="1" applyAlignment="1">
      <alignment horizontal="center" wrapText="1"/>
    </xf>
    <xf numFmtId="0" fontId="134" fillId="0" borderId="31" xfId="0" applyFont="1" applyBorder="1" applyAlignment="1">
      <alignment horizontal="center" wrapText="1"/>
    </xf>
    <xf numFmtId="0" fontId="134" fillId="0" borderId="34" xfId="0" applyFont="1" applyBorder="1" applyAlignment="1">
      <alignment horizontal="center" wrapText="1"/>
    </xf>
    <xf numFmtId="49" fontId="17" fillId="2" borderId="29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49" fontId="17" fillId="2" borderId="5" xfId="0" applyNumberFormat="1" applyFont="1" applyFill="1" applyBorder="1" applyAlignment="1">
      <alignment horizontal="left" vertical="center"/>
    </xf>
    <xf numFmtId="49" fontId="17" fillId="2" borderId="24" xfId="0" applyNumberFormat="1" applyFont="1" applyFill="1" applyBorder="1" applyAlignment="1">
      <alignment horizontal="left" vertical="center"/>
    </xf>
    <xf numFmtId="49" fontId="17" fillId="2" borderId="2" xfId="0" applyNumberFormat="1" applyFont="1" applyFill="1" applyBorder="1" applyAlignment="1">
      <alignment horizontal="left" vertical="center"/>
    </xf>
    <xf numFmtId="49" fontId="17" fillId="2" borderId="6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152" fillId="0" borderId="0" xfId="0" applyFont="1" applyAlignment="1">
      <alignment horizontal="left" vertical="center"/>
    </xf>
    <xf numFmtId="0" fontId="70" fillId="0" borderId="67" xfId="0" applyFont="1" applyBorder="1" applyAlignment="1">
      <alignment horizontal="left" vertical="center"/>
    </xf>
    <xf numFmtId="0" fontId="107" fillId="0" borderId="31" xfId="0" applyFont="1" applyBorder="1" applyAlignment="1">
      <alignment horizontal="left" vertical="center"/>
    </xf>
    <xf numFmtId="0" fontId="107" fillId="0" borderId="32" xfId="0" applyFont="1" applyBorder="1" applyAlignment="1">
      <alignment horizontal="left" vertical="center"/>
    </xf>
    <xf numFmtId="0" fontId="107" fillId="0" borderId="34" xfId="0" applyFont="1" applyBorder="1" applyAlignment="1">
      <alignment horizontal="left" vertical="center"/>
    </xf>
    <xf numFmtId="172" fontId="101" fillId="0" borderId="32" xfId="0" applyNumberFormat="1" applyFont="1" applyBorder="1" applyAlignment="1" applyProtection="1">
      <alignment horizontal="right" vertical="center"/>
      <protection locked="0"/>
    </xf>
    <xf numFmtId="172" fontId="101" fillId="0" borderId="80" xfId="0" applyNumberFormat="1" applyFont="1" applyBorder="1" applyAlignment="1" applyProtection="1">
      <alignment horizontal="right" vertical="center"/>
      <protection locked="0"/>
    </xf>
    <xf numFmtId="0" fontId="101" fillId="0" borderId="73" xfId="0" applyFont="1" applyBorder="1" applyAlignment="1">
      <alignment horizontal="center" vertical="center"/>
    </xf>
    <xf numFmtId="0" fontId="101" fillId="0" borderId="74" xfId="0" applyFont="1" applyBorder="1" applyAlignment="1">
      <alignment horizontal="center" vertical="center"/>
    </xf>
    <xf numFmtId="0" fontId="101" fillId="0" borderId="48" xfId="0" applyFont="1" applyBorder="1" applyAlignment="1">
      <alignment horizontal="center" vertical="center"/>
    </xf>
    <xf numFmtId="0" fontId="101" fillId="0" borderId="33" xfId="0" applyFont="1" applyBorder="1" applyAlignment="1">
      <alignment horizontal="center" vertical="center"/>
    </xf>
    <xf numFmtId="0" fontId="65" fillId="0" borderId="32" xfId="0" applyFont="1" applyBorder="1" applyAlignment="1" applyProtection="1">
      <alignment horizontal="right" vertical="center"/>
      <protection locked="0"/>
    </xf>
    <xf numFmtId="0" fontId="65" fillId="0" borderId="80" xfId="0" applyFont="1" applyBorder="1" applyAlignment="1" applyProtection="1">
      <alignment horizontal="right" vertical="center"/>
      <protection locked="0"/>
    </xf>
    <xf numFmtId="0" fontId="101" fillId="0" borderId="29" xfId="0" applyFont="1" applyBorder="1" applyAlignment="1">
      <alignment horizontal="center" vertical="center"/>
    </xf>
    <xf numFmtId="0" fontId="101" fillId="0" borderId="24" xfId="0" applyFont="1" applyBorder="1" applyAlignment="1">
      <alignment horizontal="center" vertical="center"/>
    </xf>
    <xf numFmtId="0" fontId="101" fillId="0" borderId="54" xfId="0" applyFont="1" applyBorder="1" applyAlignment="1">
      <alignment horizontal="left" vertical="center"/>
    </xf>
    <xf numFmtId="0" fontId="101" fillId="0" borderId="55" xfId="0" applyFont="1" applyBorder="1" applyAlignment="1">
      <alignment horizontal="left" vertical="center"/>
    </xf>
    <xf numFmtId="0" fontId="101" fillId="0" borderId="53" xfId="0" applyFont="1" applyBorder="1" applyAlignment="1">
      <alignment horizontal="left" vertical="center"/>
    </xf>
    <xf numFmtId="181" fontId="101" fillId="0" borderId="55" xfId="0" applyNumberFormat="1" applyFont="1" applyBorder="1" applyAlignment="1" applyProtection="1">
      <alignment horizontal="right" vertical="center"/>
      <protection locked="0"/>
    </xf>
    <xf numFmtId="181" fontId="101" fillId="0" borderId="65" xfId="0" applyNumberFormat="1" applyFont="1" applyBorder="1" applyAlignment="1" applyProtection="1">
      <alignment horizontal="right" vertical="center"/>
      <protection locked="0"/>
    </xf>
    <xf numFmtId="181" fontId="101" fillId="0" borderId="32" xfId="0" applyNumberFormat="1" applyFont="1" applyBorder="1" applyAlignment="1" applyProtection="1">
      <alignment horizontal="right" vertical="center"/>
      <protection locked="0"/>
    </xf>
    <xf numFmtId="181" fontId="101" fillId="0" borderId="80" xfId="0" applyNumberFormat="1" applyFont="1" applyBorder="1" applyAlignment="1" applyProtection="1">
      <alignment horizontal="right" vertical="center"/>
      <protection locked="0"/>
    </xf>
    <xf numFmtId="181" fontId="101" fillId="0" borderId="1" xfId="0" applyNumberFormat="1" applyFont="1" applyBorder="1" applyAlignment="1" applyProtection="1">
      <alignment horizontal="right" vertical="center"/>
      <protection locked="0"/>
    </xf>
    <xf numFmtId="181" fontId="101" fillId="0" borderId="61" xfId="0" applyNumberFormat="1" applyFont="1" applyBorder="1" applyAlignment="1" applyProtection="1">
      <alignment horizontal="right" vertical="center"/>
      <protection locked="0"/>
    </xf>
    <xf numFmtId="181" fontId="101" fillId="0" borderId="2" xfId="0" applyNumberFormat="1" applyFont="1" applyBorder="1" applyAlignment="1" applyProtection="1">
      <alignment horizontal="right" vertical="center"/>
      <protection locked="0"/>
    </xf>
    <xf numFmtId="181" fontId="101" fillId="0" borderId="63" xfId="0" applyNumberFormat="1" applyFont="1" applyBorder="1" applyAlignment="1" applyProtection="1">
      <alignment horizontal="right" vertical="center"/>
      <protection locked="0"/>
    </xf>
    <xf numFmtId="0" fontId="101" fillId="0" borderId="31" xfId="0" applyFont="1" applyBorder="1" applyAlignment="1">
      <alignment horizontal="left" vertical="center"/>
    </xf>
    <xf numFmtId="0" fontId="101" fillId="0" borderId="32" xfId="0" applyFont="1" applyBorder="1" applyAlignment="1">
      <alignment horizontal="left" vertical="center"/>
    </xf>
    <xf numFmtId="0" fontId="101" fillId="0" borderId="34" xfId="0" applyFont="1" applyBorder="1" applyAlignment="1">
      <alignment horizontal="left" vertical="center"/>
    </xf>
    <xf numFmtId="0" fontId="101" fillId="0" borderId="88" xfId="0" applyFont="1" applyBorder="1" applyAlignment="1">
      <alignment horizontal="center" vertical="center"/>
    </xf>
    <xf numFmtId="0" fontId="107" fillId="0" borderId="29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center"/>
    </xf>
    <xf numFmtId="0" fontId="107" fillId="0" borderId="5" xfId="0" applyFont="1" applyBorder="1" applyAlignment="1">
      <alignment horizontal="left" vertical="center"/>
    </xf>
    <xf numFmtId="0" fontId="101" fillId="0" borderId="90" xfId="0" applyFont="1" applyBorder="1" applyAlignment="1">
      <alignment horizontal="center" vertical="center"/>
    </xf>
    <xf numFmtId="172" fontId="117" fillId="0" borderId="32" xfId="0" applyNumberFormat="1" applyFont="1" applyBorder="1" applyAlignment="1" applyProtection="1">
      <alignment horizontal="right" vertical="center"/>
      <protection locked="0"/>
    </xf>
    <xf numFmtId="172" fontId="117" fillId="0" borderId="80" xfId="0" applyNumberFormat="1" applyFont="1" applyBorder="1" applyAlignment="1" applyProtection="1">
      <alignment horizontal="right" vertical="center"/>
      <protection locked="0"/>
    </xf>
    <xf numFmtId="172" fontId="101" fillId="0" borderId="1" xfId="0" applyNumberFormat="1" applyFont="1" applyBorder="1" applyAlignment="1" applyProtection="1">
      <alignment horizontal="right" vertical="center"/>
      <protection locked="0"/>
    </xf>
    <xf numFmtId="172" fontId="101" fillId="0" borderId="61" xfId="0" applyNumberFormat="1" applyFont="1" applyBorder="1" applyAlignment="1" applyProtection="1">
      <alignment horizontal="right" vertical="center"/>
      <protection locked="0"/>
    </xf>
    <xf numFmtId="172" fontId="101" fillId="0" borderId="67" xfId="0" applyNumberFormat="1" applyFont="1" applyBorder="1" applyAlignment="1" applyProtection="1">
      <alignment horizontal="right" vertical="center"/>
      <protection locked="0"/>
    </xf>
    <xf numFmtId="172" fontId="101" fillId="0" borderId="68" xfId="0" applyNumberFormat="1" applyFont="1" applyBorder="1" applyAlignment="1" applyProtection="1">
      <alignment horizontal="right" vertical="center"/>
      <protection locked="0"/>
    </xf>
    <xf numFmtId="0" fontId="107" fillId="0" borderId="77" xfId="0" applyFont="1" applyBorder="1" applyAlignment="1">
      <alignment horizontal="left" vertical="center"/>
    </xf>
    <xf numFmtId="0" fontId="107" fillId="0" borderId="67" xfId="0" applyFont="1" applyBorder="1" applyAlignment="1">
      <alignment horizontal="left" vertical="center"/>
    </xf>
    <xf numFmtId="0" fontId="107" fillId="0" borderId="78" xfId="0" applyFont="1" applyBorder="1" applyAlignment="1">
      <alignment horizontal="left" vertical="center"/>
    </xf>
    <xf numFmtId="172" fontId="101" fillId="0" borderId="2" xfId="0" applyNumberFormat="1" applyFont="1" applyBorder="1" applyAlignment="1" applyProtection="1">
      <alignment horizontal="right" vertical="center"/>
      <protection locked="0"/>
    </xf>
    <xf numFmtId="172" fontId="101" fillId="0" borderId="63" xfId="0" applyNumberFormat="1" applyFont="1" applyBorder="1" applyAlignment="1" applyProtection="1">
      <alignment horizontal="right" vertical="center"/>
      <protection locked="0"/>
    </xf>
    <xf numFmtId="181" fontId="101" fillId="0" borderId="0" xfId="0" applyNumberFormat="1" applyFont="1" applyBorder="1" applyAlignment="1" applyProtection="1">
      <alignment horizontal="right" vertical="center"/>
      <protection locked="0"/>
    </xf>
    <xf numFmtId="181" fontId="101" fillId="0" borderId="49" xfId="0" applyNumberFormat="1" applyFont="1" applyBorder="1" applyAlignment="1" applyProtection="1">
      <alignment horizontal="right" vertical="center"/>
      <protection locked="0"/>
    </xf>
    <xf numFmtId="0" fontId="101" fillId="0" borderId="48" xfId="0" applyFont="1" applyBorder="1" applyAlignment="1">
      <alignment horizontal="left" vertical="center"/>
    </xf>
    <xf numFmtId="0" fontId="101" fillId="0" borderId="33" xfId="0" applyFont="1" applyBorder="1" applyAlignment="1">
      <alignment horizontal="left" vertical="center"/>
    </xf>
    <xf numFmtId="0" fontId="101" fillId="0" borderId="84" xfId="0" applyFont="1" applyBorder="1" applyAlignment="1">
      <alignment horizontal="center" vertical="center"/>
    </xf>
    <xf numFmtId="0" fontId="101" fillId="0" borderId="18" xfId="0" applyFont="1" applyBorder="1" applyAlignment="1">
      <alignment horizontal="center" vertical="center"/>
    </xf>
    <xf numFmtId="0" fontId="101" fillId="0" borderId="81" xfId="0" applyFont="1" applyBorder="1" applyAlignment="1">
      <alignment horizontal="center" vertical="center"/>
    </xf>
    <xf numFmtId="181" fontId="65" fillId="0" borderId="32" xfId="0" applyNumberFormat="1" applyFont="1" applyBorder="1" applyAlignment="1" applyProtection="1">
      <alignment horizontal="right" vertical="center"/>
      <protection locked="0"/>
    </xf>
    <xf numFmtId="181" fontId="65" fillId="0" borderId="80" xfId="0" applyNumberFormat="1" applyFont="1" applyBorder="1" applyAlignment="1" applyProtection="1">
      <alignment horizontal="right" vertical="center"/>
      <protection locked="0"/>
    </xf>
    <xf numFmtId="0" fontId="101" fillId="0" borderId="77" xfId="0" applyFont="1" applyBorder="1" applyAlignment="1">
      <alignment horizontal="center" vertical="center"/>
    </xf>
    <xf numFmtId="0" fontId="101" fillId="0" borderId="3" xfId="0" applyFont="1" applyBorder="1" applyAlignment="1">
      <alignment horizontal="center" vertical="center"/>
    </xf>
    <xf numFmtId="172" fontId="101" fillId="0" borderId="0" xfId="0" applyNumberFormat="1" applyFont="1" applyBorder="1" applyAlignment="1" applyProtection="1">
      <alignment horizontal="right" vertical="center"/>
      <protection locked="0"/>
    </xf>
    <xf numFmtId="172" fontId="101" fillId="0" borderId="49" xfId="0" applyNumberFormat="1" applyFont="1" applyBorder="1" applyAlignment="1" applyProtection="1">
      <alignment horizontal="right" vertical="center"/>
      <protection locked="0"/>
    </xf>
    <xf numFmtId="181" fontId="101" fillId="0" borderId="67" xfId="0" applyNumberFormat="1" applyFont="1" applyBorder="1" applyAlignment="1" applyProtection="1">
      <alignment horizontal="right" vertical="center"/>
      <protection locked="0"/>
    </xf>
    <xf numFmtId="181" fontId="101" fillId="0" borderId="68" xfId="0" applyNumberFormat="1" applyFont="1" applyBorder="1" applyAlignment="1" applyProtection="1">
      <alignment horizontal="right" vertical="center"/>
      <protection locked="0"/>
    </xf>
    <xf numFmtId="181" fontId="101" fillId="0" borderId="29" xfId="0" applyNumberFormat="1" applyFont="1" applyBorder="1" applyAlignment="1" applyProtection="1">
      <alignment horizontal="center" vertical="center"/>
      <protection locked="0"/>
    </xf>
    <xf numFmtId="181" fontId="101" fillId="0" borderId="1" xfId="0" applyNumberFormat="1" applyFont="1" applyBorder="1" applyAlignment="1" applyProtection="1">
      <alignment horizontal="center" vertical="center"/>
      <protection locked="0"/>
    </xf>
    <xf numFmtId="181" fontId="101" fillId="0" borderId="5" xfId="0" applyNumberFormat="1" applyFont="1" applyBorder="1" applyAlignment="1" applyProtection="1">
      <alignment horizontal="center" vertical="center"/>
      <protection locked="0"/>
    </xf>
    <xf numFmtId="181" fontId="101" fillId="0" borderId="24" xfId="0" applyNumberFormat="1" applyFont="1" applyBorder="1" applyAlignment="1" applyProtection="1">
      <alignment horizontal="center" vertical="center"/>
      <protection locked="0"/>
    </xf>
    <xf numFmtId="181" fontId="101" fillId="0" borderId="2" xfId="0" applyNumberFormat="1" applyFont="1" applyBorder="1" applyAlignment="1" applyProtection="1">
      <alignment horizontal="center" vertical="center"/>
      <protection locked="0"/>
    </xf>
    <xf numFmtId="181" fontId="101" fillId="0" borderId="6" xfId="0" applyNumberFormat="1" applyFont="1" applyBorder="1" applyAlignment="1" applyProtection="1">
      <alignment horizontal="center" vertical="center"/>
      <protection locked="0"/>
    </xf>
    <xf numFmtId="180" fontId="101" fillId="0" borderId="89" xfId="0" applyNumberFormat="1" applyFont="1" applyBorder="1" applyAlignment="1" applyProtection="1">
      <alignment horizontal="right" vertical="center"/>
      <protection locked="0"/>
    </xf>
    <xf numFmtId="180" fontId="101" fillId="0" borderId="56" xfId="0" applyNumberFormat="1" applyFont="1" applyBorder="1" applyAlignment="1" applyProtection="1">
      <alignment horizontal="right" vertical="center"/>
      <protection locked="0"/>
    </xf>
    <xf numFmtId="180" fontId="101" fillId="0" borderId="57" xfId="0" applyNumberFormat="1" applyFont="1" applyBorder="1" applyAlignment="1" applyProtection="1">
      <alignment horizontal="right" vertical="center"/>
      <protection locked="0"/>
    </xf>
    <xf numFmtId="181" fontId="65" fillId="0" borderId="3" xfId="0" applyNumberFormat="1" applyFont="1" applyBorder="1" applyAlignment="1" applyProtection="1">
      <alignment horizontal="right" vertical="center"/>
      <protection locked="0"/>
    </xf>
    <xf numFmtId="181" fontId="65" fillId="0" borderId="91" xfId="0" applyNumberFormat="1" applyFont="1" applyBorder="1" applyAlignment="1" applyProtection="1">
      <alignment horizontal="right" vertical="center"/>
      <protection locked="0"/>
    </xf>
    <xf numFmtId="3" fontId="101" fillId="12" borderId="3" xfId="0" applyNumberFormat="1" applyFont="1" applyFill="1" applyBorder="1" applyAlignment="1">
      <alignment horizontal="right" vertical="center"/>
    </xf>
    <xf numFmtId="181" fontId="65" fillId="0" borderId="3" xfId="0" applyNumberFormat="1" applyFont="1" applyBorder="1" applyAlignment="1">
      <alignment horizontal="right" vertical="center"/>
    </xf>
    <xf numFmtId="181" fontId="65" fillId="0" borderId="91" xfId="0" applyNumberFormat="1" applyFont="1" applyBorder="1" applyAlignment="1">
      <alignment horizontal="right" vertical="center"/>
    </xf>
    <xf numFmtId="0" fontId="65" fillId="0" borderId="73" xfId="0" applyFont="1" applyBorder="1" applyAlignment="1">
      <alignment horizontal="center" vertical="center"/>
    </xf>
    <xf numFmtId="0" fontId="65" fillId="0" borderId="74" xfId="0" applyFont="1" applyBorder="1" applyAlignment="1">
      <alignment horizontal="center" vertical="center"/>
    </xf>
    <xf numFmtId="0" fontId="65" fillId="0" borderId="48" xfId="0" applyFont="1" applyBorder="1" applyAlignment="1">
      <alignment horizontal="center" vertical="center"/>
    </xf>
    <xf numFmtId="0" fontId="65" fillId="0" borderId="33" xfId="0" applyFont="1" applyBorder="1" applyAlignment="1">
      <alignment horizontal="center" vertical="center"/>
    </xf>
    <xf numFmtId="181" fontId="65" fillId="0" borderId="1" xfId="0" applyNumberFormat="1" applyFont="1" applyBorder="1" applyAlignment="1" applyProtection="1">
      <alignment horizontal="right" vertical="center"/>
      <protection locked="0"/>
    </xf>
    <xf numFmtId="181" fontId="65" fillId="0" borderId="61" xfId="0" applyNumberFormat="1" applyFont="1" applyBorder="1" applyAlignment="1" applyProtection="1">
      <alignment horizontal="right" vertical="center"/>
      <protection locked="0"/>
    </xf>
    <xf numFmtId="181" fontId="65" fillId="0" borderId="2" xfId="0" applyNumberFormat="1" applyFont="1" applyBorder="1" applyAlignment="1" applyProtection="1">
      <alignment horizontal="right" vertical="center"/>
      <protection locked="0"/>
    </xf>
    <xf numFmtId="181" fontId="65" fillId="0" borderId="63" xfId="0" applyNumberFormat="1" applyFont="1" applyBorder="1" applyAlignment="1" applyProtection="1">
      <alignment horizontal="right" vertical="center"/>
      <protection locked="0"/>
    </xf>
    <xf numFmtId="0" fontId="101" fillId="0" borderId="72" xfId="0" applyFont="1" applyBorder="1" applyAlignment="1">
      <alignment horizontal="center" vertical="center"/>
    </xf>
    <xf numFmtId="3" fontId="111" fillId="2" borderId="62" xfId="0" applyNumberFormat="1" applyFont="1" applyFill="1" applyBorder="1" applyAlignment="1">
      <alignment horizontal="center" vertical="center"/>
    </xf>
    <xf numFmtId="3" fontId="111" fillId="2" borderId="2" xfId="0" applyNumberFormat="1" applyFont="1" applyFill="1" applyBorder="1" applyAlignment="1">
      <alignment horizontal="center" vertical="center"/>
    </xf>
    <xf numFmtId="3" fontId="109" fillId="0" borderId="3" xfId="0" applyNumberFormat="1" applyFont="1" applyBorder="1" applyAlignment="1" applyProtection="1">
      <alignment horizontal="right" vertical="center"/>
      <protection locked="0"/>
    </xf>
    <xf numFmtId="3" fontId="109" fillId="0" borderId="3" xfId="0" applyNumberFormat="1" applyFont="1" applyBorder="1" applyAlignment="1">
      <alignment horizontal="right" vertical="center"/>
    </xf>
    <xf numFmtId="186" fontId="101" fillId="0" borderId="3" xfId="0" applyNumberFormat="1" applyFont="1" applyBorder="1" applyAlignment="1" applyProtection="1">
      <alignment horizontal="right" vertical="center"/>
      <protection locked="0"/>
    </xf>
    <xf numFmtId="186" fontId="101" fillId="0" borderId="48" xfId="0" applyNumberFormat="1" applyFont="1" applyBorder="1" applyAlignment="1" applyProtection="1">
      <alignment horizontal="right" vertical="center"/>
      <protection locked="0"/>
    </xf>
    <xf numFmtId="186" fontId="101" fillId="0" borderId="92" xfId="0" applyNumberFormat="1" applyFont="1" applyBorder="1" applyAlignment="1" applyProtection="1">
      <alignment horizontal="right" vertical="center"/>
      <protection locked="0"/>
    </xf>
    <xf numFmtId="181" fontId="65" fillId="0" borderId="33" xfId="0" applyNumberFormat="1" applyFont="1" applyBorder="1" applyAlignment="1" applyProtection="1">
      <alignment horizontal="right" vertical="center"/>
      <protection locked="0"/>
    </xf>
    <xf numFmtId="181" fontId="65" fillId="0" borderId="93" xfId="0" applyNumberFormat="1" applyFont="1" applyBorder="1" applyAlignment="1" applyProtection="1">
      <alignment horizontal="right" vertical="center"/>
      <protection locked="0"/>
    </xf>
    <xf numFmtId="3" fontId="101" fillId="0" borderId="3" xfId="0" applyNumberFormat="1" applyFont="1" applyBorder="1" applyAlignment="1">
      <alignment horizontal="center" vertical="center"/>
    </xf>
    <xf numFmtId="3" fontId="101" fillId="0" borderId="3" xfId="0" applyNumberFormat="1" applyFont="1" applyBorder="1" applyAlignment="1" applyProtection="1">
      <alignment horizontal="right" vertical="center"/>
      <protection locked="0"/>
    </xf>
    <xf numFmtId="3" fontId="101" fillId="0" borderId="3" xfId="0" applyNumberFormat="1" applyFont="1" applyBorder="1" applyAlignment="1">
      <alignment horizontal="right" vertical="center"/>
    </xf>
    <xf numFmtId="0" fontId="101" fillId="0" borderId="94" xfId="0" applyFont="1" applyBorder="1" applyAlignment="1">
      <alignment horizontal="center" vertical="center"/>
    </xf>
    <xf numFmtId="0" fontId="101" fillId="0" borderId="50" xfId="0" applyFont="1" applyBorder="1" applyAlignment="1">
      <alignment horizontal="center" vertical="center"/>
    </xf>
    <xf numFmtId="0" fontId="101" fillId="0" borderId="87" xfId="0" applyFont="1" applyBorder="1" applyAlignment="1">
      <alignment horizontal="center" vertical="center"/>
    </xf>
    <xf numFmtId="0" fontId="101" fillId="0" borderId="67" xfId="0" applyFont="1" applyBorder="1" applyAlignment="1">
      <alignment horizontal="center" vertical="center"/>
    </xf>
    <xf numFmtId="0" fontId="101" fillId="0" borderId="78" xfId="0" applyFont="1" applyBorder="1" applyAlignment="1">
      <alignment horizontal="center" vertical="center"/>
    </xf>
    <xf numFmtId="181" fontId="101" fillId="0" borderId="3" xfId="0" applyNumberFormat="1" applyFont="1" applyBorder="1" applyAlignment="1" applyProtection="1">
      <alignment horizontal="right" vertical="center"/>
      <protection locked="0"/>
    </xf>
    <xf numFmtId="181" fontId="101" fillId="0" borderId="91" xfId="0" applyNumberFormat="1" applyFont="1" applyBorder="1" applyAlignment="1" applyProtection="1">
      <alignment horizontal="right" vertical="center"/>
      <protection locked="0"/>
    </xf>
    <xf numFmtId="172" fontId="65" fillId="0" borderId="3" xfId="0" applyNumberFormat="1" applyFont="1" applyBorder="1" applyAlignment="1" applyProtection="1">
      <alignment horizontal="right" vertical="center"/>
      <protection locked="0"/>
    </xf>
    <xf numFmtId="172" fontId="65" fillId="0" borderId="91" xfId="0" applyNumberFormat="1" applyFont="1" applyBorder="1" applyAlignment="1" applyProtection="1">
      <alignment horizontal="right" vertical="center"/>
      <protection locked="0"/>
    </xf>
    <xf numFmtId="0" fontId="90" fillId="21" borderId="48" xfId="0" applyFont="1" applyFill="1" applyBorder="1" applyAlignment="1">
      <alignment horizontal="center" vertical="center"/>
    </xf>
    <xf numFmtId="0" fontId="90" fillId="21" borderId="33" xfId="0" applyFont="1" applyFill="1" applyBorder="1" applyAlignment="1">
      <alignment horizontal="center" vertical="center"/>
    </xf>
    <xf numFmtId="3" fontId="0" fillId="21" borderId="48" xfId="0" applyNumberFormat="1" applyFill="1" applyBorder="1" applyAlignment="1">
      <alignment horizontal="right" vertical="center"/>
    </xf>
    <xf numFmtId="3" fontId="0" fillId="21" borderId="33" xfId="0" applyNumberFormat="1" applyFill="1" applyBorder="1" applyAlignment="1">
      <alignment horizontal="right" vertical="center"/>
    </xf>
    <xf numFmtId="3" fontId="0" fillId="21" borderId="5" xfId="0" applyNumberFormat="1" applyFill="1" applyBorder="1" applyAlignment="1">
      <alignment horizontal="right" vertical="center"/>
    </xf>
    <xf numFmtId="3" fontId="0" fillId="21" borderId="6" xfId="0" applyNumberFormat="1" applyFill="1" applyBorder="1" applyAlignment="1">
      <alignment horizontal="right" vertical="center"/>
    </xf>
    <xf numFmtId="0" fontId="148" fillId="0" borderId="31" xfId="0" applyFont="1" applyBorder="1" applyAlignment="1">
      <alignment horizontal="center" wrapText="1"/>
    </xf>
    <xf numFmtId="0" fontId="148" fillId="0" borderId="34" xfId="0" applyFont="1" applyBorder="1" applyAlignment="1">
      <alignment horizontal="center" wrapText="1"/>
    </xf>
    <xf numFmtId="0" fontId="0" fillId="19" borderId="48" xfId="0" applyFill="1" applyBorder="1" applyAlignment="1">
      <alignment horizontal="center" vertical="center"/>
    </xf>
    <xf numFmtId="0" fontId="0" fillId="19" borderId="33" xfId="0" applyFill="1" applyBorder="1" applyAlignment="1">
      <alignment horizontal="center" vertical="center"/>
    </xf>
    <xf numFmtId="3" fontId="0" fillId="19" borderId="48" xfId="0" applyNumberFormat="1" applyFill="1" applyBorder="1" applyAlignment="1">
      <alignment horizontal="right" vertical="center"/>
    </xf>
    <xf numFmtId="3" fontId="0" fillId="19" borderId="33" xfId="0" applyNumberFormat="1" applyFill="1" applyBorder="1" applyAlignment="1">
      <alignment horizontal="right" vertical="center"/>
    </xf>
    <xf numFmtId="3" fontId="0" fillId="19" borderId="5" xfId="0" applyNumberFormat="1" applyFill="1" applyBorder="1" applyAlignment="1">
      <alignment horizontal="right" vertical="center"/>
    </xf>
    <xf numFmtId="3" fontId="0" fillId="19" borderId="6" xfId="0" applyNumberFormat="1" applyFill="1" applyBorder="1" applyAlignment="1">
      <alignment horizontal="right" vertical="center"/>
    </xf>
    <xf numFmtId="0" fontId="90" fillId="14" borderId="48" xfId="0" applyFont="1" applyFill="1" applyBorder="1" applyAlignment="1">
      <alignment horizontal="center" vertical="center"/>
    </xf>
    <xf numFmtId="0" fontId="90" fillId="14" borderId="33" xfId="0" applyFont="1" applyFill="1" applyBorder="1" applyAlignment="1">
      <alignment horizontal="center" vertical="center"/>
    </xf>
    <xf numFmtId="3" fontId="0" fillId="14" borderId="48" xfId="0" applyNumberFormat="1" applyFill="1" applyBorder="1" applyAlignment="1">
      <alignment horizontal="right" vertical="center"/>
    </xf>
    <xf numFmtId="3" fontId="0" fillId="14" borderId="33" xfId="0" applyNumberFormat="1" applyFill="1" applyBorder="1" applyAlignment="1">
      <alignment horizontal="right" vertical="center"/>
    </xf>
    <xf numFmtId="3" fontId="0" fillId="14" borderId="5" xfId="0" applyNumberFormat="1" applyFill="1" applyBorder="1" applyAlignment="1">
      <alignment horizontal="right" vertical="center"/>
    </xf>
    <xf numFmtId="3" fontId="0" fillId="14" borderId="6" xfId="0" applyNumberFormat="1" applyFill="1" applyBorder="1" applyAlignment="1">
      <alignment horizontal="right" vertical="center"/>
    </xf>
    <xf numFmtId="0" fontId="0" fillId="16" borderId="48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3" fontId="0" fillId="16" borderId="48" xfId="0" applyNumberFormat="1" applyFill="1" applyBorder="1" applyAlignment="1">
      <alignment horizontal="right" vertical="center"/>
    </xf>
    <xf numFmtId="3" fontId="0" fillId="16" borderId="33" xfId="0" applyNumberFormat="1" applyFill="1" applyBorder="1" applyAlignment="1">
      <alignment horizontal="right" vertical="center"/>
    </xf>
    <xf numFmtId="3" fontId="0" fillId="16" borderId="5" xfId="0" applyNumberFormat="1" applyFill="1" applyBorder="1" applyAlignment="1">
      <alignment horizontal="right" vertical="center"/>
    </xf>
    <xf numFmtId="3" fontId="0" fillId="16" borderId="6" xfId="0" applyNumberFormat="1" applyFill="1" applyBorder="1" applyAlignment="1">
      <alignment horizontal="right" vertical="center"/>
    </xf>
    <xf numFmtId="0" fontId="0" fillId="18" borderId="48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/>
    </xf>
    <xf numFmtId="3" fontId="0" fillId="18" borderId="48" xfId="0" applyNumberFormat="1" applyFill="1" applyBorder="1" applyAlignment="1">
      <alignment horizontal="right" vertical="center"/>
    </xf>
    <xf numFmtId="3" fontId="0" fillId="18" borderId="33" xfId="0" applyNumberFormat="1" applyFill="1" applyBorder="1" applyAlignment="1">
      <alignment horizontal="right" vertical="center"/>
    </xf>
    <xf numFmtId="2" fontId="48" fillId="8" borderId="3" xfId="0" applyNumberFormat="1" applyFont="1" applyFill="1" applyBorder="1" applyAlignment="1">
      <alignment horizontal="right" vertical="center"/>
    </xf>
    <xf numFmtId="2" fontId="48" fillId="8" borderId="31" xfId="0" applyNumberFormat="1" applyFont="1" applyFill="1" applyBorder="1" applyAlignment="1">
      <alignment horizontal="right" vertical="center"/>
    </xf>
    <xf numFmtId="10" fontId="48" fillId="8" borderId="3" xfId="0" applyNumberFormat="1" applyFont="1" applyFill="1" applyBorder="1" applyAlignment="1">
      <alignment horizontal="right" vertical="center"/>
    </xf>
    <xf numFmtId="10" fontId="48" fillId="8" borderId="31" xfId="0" applyNumberFormat="1" applyFont="1" applyFill="1" applyBorder="1" applyAlignment="1">
      <alignment horizontal="right" vertical="center"/>
    </xf>
    <xf numFmtId="49" fontId="36" fillId="0" borderId="31" xfId="0" applyNumberFormat="1" applyFont="1" applyBorder="1" applyAlignment="1">
      <alignment horizontal="left" vertical="center"/>
    </xf>
    <xf numFmtId="49" fontId="36" fillId="0" borderId="34" xfId="0" applyNumberFormat="1" applyFont="1" applyBorder="1" applyAlignment="1">
      <alignment horizontal="left" vertical="center"/>
    </xf>
    <xf numFmtId="49" fontId="17" fillId="2" borderId="31" xfId="0" applyNumberFormat="1" applyFont="1" applyFill="1" applyBorder="1" applyAlignment="1">
      <alignment horizontal="center" vertical="center"/>
    </xf>
    <xf numFmtId="49" fontId="17" fillId="2" borderId="32" xfId="0" applyNumberFormat="1" applyFont="1" applyFill="1" applyBorder="1" applyAlignment="1">
      <alignment horizontal="center" vertical="center"/>
    </xf>
    <xf numFmtId="49" fontId="17" fillId="2" borderId="34" xfId="0" applyNumberFormat="1" applyFont="1" applyFill="1" applyBorder="1" applyAlignment="1">
      <alignment horizontal="center" vertical="center"/>
    </xf>
    <xf numFmtId="49" fontId="36" fillId="2" borderId="31" xfId="0" applyNumberFormat="1" applyFont="1" applyFill="1" applyBorder="1" applyAlignment="1">
      <alignment horizontal="center" vertical="center"/>
    </xf>
    <xf numFmtId="49" fontId="36" fillId="2" borderId="32" xfId="0" applyNumberFormat="1" applyFont="1" applyFill="1" applyBorder="1" applyAlignment="1">
      <alignment horizontal="center" vertical="center"/>
    </xf>
    <xf numFmtId="49" fontId="36" fillId="2" borderId="5" xfId="0" applyNumberFormat="1" applyFont="1" applyFill="1" applyBorder="1" applyAlignment="1">
      <alignment horizontal="center" vertical="center"/>
    </xf>
    <xf numFmtId="49" fontId="34" fillId="0" borderId="32" xfId="0" applyNumberFormat="1" applyFont="1" applyBorder="1" applyAlignment="1">
      <alignment horizontal="right" vertical="center"/>
    </xf>
    <xf numFmtId="49" fontId="34" fillId="0" borderId="34" xfId="0" applyNumberFormat="1" applyFont="1" applyBorder="1" applyAlignment="1">
      <alignment horizontal="right" vertical="center"/>
    </xf>
    <xf numFmtId="0" fontId="34" fillId="0" borderId="3" xfId="0" applyFont="1" applyBorder="1" applyAlignment="1">
      <alignment horizontal="left" vertical="center" wrapText="1"/>
    </xf>
    <xf numFmtId="168" fontId="34" fillId="0" borderId="0" xfId="0" applyNumberFormat="1" applyFont="1" applyFill="1" applyAlignment="1">
      <alignment horizontal="right" vertical="center"/>
    </xf>
    <xf numFmtId="1" fontId="48" fillId="7" borderId="3" xfId="0" applyNumberFormat="1" applyFont="1" applyFill="1" applyBorder="1" applyAlignment="1">
      <alignment horizontal="right" vertical="center"/>
    </xf>
    <xf numFmtId="0" fontId="36" fillId="2" borderId="3" xfId="0" applyFont="1" applyFill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10" fontId="48" fillId="7" borderId="3" xfId="0" applyNumberFormat="1" applyFont="1" applyFill="1" applyBorder="1" applyAlignment="1">
      <alignment horizontal="right" vertical="center"/>
    </xf>
    <xf numFmtId="3" fontId="36" fillId="5" borderId="3" xfId="0" applyNumberFormat="1" applyFont="1" applyFill="1" applyBorder="1" applyAlignment="1">
      <alignment horizontal="center" vertical="center"/>
    </xf>
    <xf numFmtId="10" fontId="36" fillId="5" borderId="3" xfId="0" applyNumberFormat="1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 vertical="center"/>
    </xf>
    <xf numFmtId="4" fontId="36" fillId="5" borderId="3" xfId="0" applyNumberFormat="1" applyFont="1" applyFill="1" applyBorder="1" applyAlignment="1">
      <alignment horizontal="center" vertical="center"/>
    </xf>
    <xf numFmtId="3" fontId="63" fillId="8" borderId="3" xfId="0" applyNumberFormat="1" applyFont="1" applyFill="1" applyBorder="1" applyAlignment="1" applyProtection="1">
      <alignment horizontal="center" vertical="center"/>
    </xf>
    <xf numFmtId="165" fontId="61" fillId="2" borderId="31" xfId="1" applyFont="1" applyFill="1" applyBorder="1" applyAlignment="1" applyProtection="1">
      <alignment horizontal="right" vertical="center"/>
    </xf>
    <xf numFmtId="165" fontId="61" fillId="2" borderId="32" xfId="1" applyFont="1" applyFill="1" applyBorder="1" applyAlignment="1" applyProtection="1">
      <alignment horizontal="right" vertical="center"/>
    </xf>
    <xf numFmtId="165" fontId="61" fillId="2" borderId="34" xfId="1" applyFont="1" applyFill="1" applyBorder="1" applyAlignment="1" applyProtection="1">
      <alignment horizontal="right" vertical="center"/>
    </xf>
    <xf numFmtId="3" fontId="0" fillId="0" borderId="31" xfId="0" applyNumberFormat="1" applyFill="1" applyBorder="1" applyAlignment="1" applyProtection="1">
      <alignment horizontal="right" vertical="center"/>
    </xf>
    <xf numFmtId="3" fontId="0" fillId="0" borderId="32" xfId="0" applyNumberFormat="1" applyFill="1" applyBorder="1" applyAlignment="1" applyProtection="1">
      <alignment horizontal="right" vertical="center"/>
    </xf>
    <xf numFmtId="3" fontId="0" fillId="0" borderId="34" xfId="0" applyNumberFormat="1" applyFill="1" applyBorder="1" applyAlignment="1" applyProtection="1">
      <alignment horizontal="right" vertical="center"/>
    </xf>
    <xf numFmtId="0" fontId="57" fillId="13" borderId="32" xfId="0" applyFont="1" applyFill="1" applyBorder="1" applyAlignment="1" applyProtection="1">
      <alignment horizontal="left" vertical="center"/>
      <protection locked="0"/>
    </xf>
    <xf numFmtId="165" fontId="2" fillId="9" borderId="31" xfId="1" applyFont="1" applyFill="1" applyBorder="1" applyAlignment="1" applyProtection="1">
      <alignment horizontal="right" vertical="center"/>
      <protection locked="0"/>
    </xf>
    <xf numFmtId="165" fontId="2" fillId="9" borderId="32" xfId="1" applyFont="1" applyFill="1" applyBorder="1" applyAlignment="1" applyProtection="1">
      <alignment horizontal="right" vertical="center"/>
      <protection locked="0"/>
    </xf>
    <xf numFmtId="165" fontId="2" fillId="9" borderId="34" xfId="1" applyFont="1" applyFill="1" applyBorder="1" applyAlignment="1" applyProtection="1">
      <alignment horizontal="right" vertical="center"/>
      <protection locked="0"/>
    </xf>
    <xf numFmtId="3" fontId="2" fillId="0" borderId="31" xfId="1" applyNumberFormat="1" applyFont="1" applyFill="1" applyBorder="1" applyAlignment="1" applyProtection="1">
      <alignment horizontal="right" vertical="center"/>
      <protection locked="0"/>
    </xf>
    <xf numFmtId="3" fontId="2" fillId="0" borderId="32" xfId="1" applyNumberFormat="1" applyFont="1" applyFill="1" applyBorder="1" applyAlignment="1" applyProtection="1">
      <alignment horizontal="right" vertical="center"/>
      <protection locked="0"/>
    </xf>
    <xf numFmtId="3" fontId="2" fillId="0" borderId="34" xfId="1" applyNumberFormat="1" applyFont="1" applyFill="1" applyBorder="1" applyAlignment="1" applyProtection="1">
      <alignment horizontal="right" vertical="center"/>
      <protection locked="0"/>
    </xf>
    <xf numFmtId="3" fontId="2" fillId="0" borderId="31" xfId="1" applyNumberFormat="1" applyFont="1" applyFill="1" applyBorder="1" applyAlignment="1" applyProtection="1">
      <alignment horizontal="right" vertical="center"/>
    </xf>
    <xf numFmtId="3" fontId="2" fillId="0" borderId="32" xfId="1" applyNumberFormat="1" applyFont="1" applyFill="1" applyBorder="1" applyAlignment="1" applyProtection="1">
      <alignment horizontal="right" vertical="center"/>
    </xf>
    <xf numFmtId="3" fontId="2" fillId="0" borderId="34" xfId="1" applyNumberFormat="1" applyFont="1" applyFill="1" applyBorder="1" applyAlignment="1" applyProtection="1">
      <alignment horizontal="right" vertical="center"/>
    </xf>
    <xf numFmtId="3" fontId="2" fillId="0" borderId="3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3" fontId="2" fillId="0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31" xfId="1" applyNumberFormat="1" applyFont="1" applyFill="1" applyBorder="1" applyAlignment="1" applyProtection="1">
      <alignment horizontal="left" vertical="center" wrapText="1"/>
    </xf>
    <xf numFmtId="0" fontId="2" fillId="0" borderId="32" xfId="1" applyNumberFormat="1" applyFont="1" applyFill="1" applyBorder="1" applyAlignment="1" applyProtection="1">
      <alignment horizontal="left" vertical="center" wrapText="1"/>
    </xf>
    <xf numFmtId="0" fontId="2" fillId="0" borderId="34" xfId="1" applyNumberFormat="1" applyFont="1" applyFill="1" applyBorder="1" applyAlignment="1" applyProtection="1">
      <alignment horizontal="left" vertical="center" wrapText="1"/>
    </xf>
    <xf numFmtId="3" fontId="2" fillId="0" borderId="31" xfId="1" applyNumberFormat="1" applyFont="1" applyFill="1" applyBorder="1" applyAlignment="1" applyProtection="1">
      <alignment horizontal="center" vertical="center"/>
      <protection locked="0"/>
    </xf>
    <xf numFmtId="3" fontId="2" fillId="0" borderId="32" xfId="1" applyNumberFormat="1" applyFont="1" applyFill="1" applyBorder="1" applyAlignment="1" applyProtection="1">
      <alignment horizontal="center" vertical="center"/>
      <protection locked="0"/>
    </xf>
    <xf numFmtId="3" fontId="2" fillId="0" borderId="34" xfId="1" applyNumberFormat="1" applyFont="1" applyFill="1" applyBorder="1" applyAlignment="1" applyProtection="1">
      <alignment horizontal="center" vertical="center"/>
      <protection locked="0"/>
    </xf>
    <xf numFmtId="3" fontId="70" fillId="4" borderId="31" xfId="0" applyNumberFormat="1" applyFont="1" applyFill="1" applyBorder="1" applyAlignment="1" applyProtection="1">
      <alignment horizontal="right" vertical="center"/>
      <protection locked="0"/>
    </xf>
    <xf numFmtId="3" fontId="70" fillId="4" borderId="32" xfId="0" applyNumberFormat="1" applyFont="1" applyFill="1" applyBorder="1" applyAlignment="1" applyProtection="1">
      <alignment horizontal="right" vertical="center"/>
      <protection locked="0"/>
    </xf>
    <xf numFmtId="3" fontId="70" fillId="4" borderId="34" xfId="0" applyNumberFormat="1" applyFont="1" applyFill="1" applyBorder="1" applyAlignment="1" applyProtection="1">
      <alignment horizontal="right" vertical="center"/>
      <protection locked="0"/>
    </xf>
    <xf numFmtId="49" fontId="53" fillId="0" borderId="31" xfId="0" applyNumberFormat="1" applyFont="1" applyFill="1" applyBorder="1" applyAlignment="1" applyProtection="1">
      <alignment horizontal="left" vertical="center"/>
    </xf>
    <xf numFmtId="49" fontId="53" fillId="0" borderId="32" xfId="0" applyNumberFormat="1" applyFont="1" applyFill="1" applyBorder="1" applyAlignment="1" applyProtection="1">
      <alignment horizontal="left" vertical="center"/>
    </xf>
    <xf numFmtId="49" fontId="53" fillId="0" borderId="34" xfId="0" applyNumberFormat="1" applyFont="1" applyFill="1" applyBorder="1" applyAlignment="1" applyProtection="1">
      <alignment horizontal="left" vertical="center"/>
    </xf>
    <xf numFmtId="49" fontId="27" fillId="8" borderId="39" xfId="0" applyNumberFormat="1" applyFont="1" applyFill="1" applyBorder="1" applyAlignment="1" applyProtection="1">
      <alignment horizontal="center" vertical="center"/>
    </xf>
    <xf numFmtId="49" fontId="27" fillId="8" borderId="0" xfId="0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center" vertical="center"/>
    </xf>
    <xf numFmtId="49" fontId="99" fillId="2" borderId="89" xfId="0" applyNumberFormat="1" applyFont="1" applyFill="1" applyBorder="1" applyAlignment="1" applyProtection="1">
      <alignment horizontal="center" vertical="center"/>
    </xf>
    <xf numFmtId="49" fontId="99" fillId="2" borderId="56" xfId="0" applyNumberFormat="1" applyFont="1" applyFill="1" applyBorder="1" applyAlignment="1" applyProtection="1">
      <alignment horizontal="center" vertical="center"/>
    </xf>
    <xf numFmtId="49" fontId="99" fillId="2" borderId="57" xfId="0" applyNumberFormat="1" applyFont="1" applyFill="1" applyBorder="1" applyAlignment="1" applyProtection="1">
      <alignment horizontal="center" vertical="center"/>
    </xf>
    <xf numFmtId="3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61" fillId="8" borderId="3" xfId="1" applyNumberFormat="1" applyFont="1" applyFill="1" applyBorder="1" applyAlignment="1" applyProtection="1">
      <alignment horizontal="left" vertical="center"/>
    </xf>
    <xf numFmtId="3" fontId="53" fillId="8" borderId="3" xfId="1" applyNumberFormat="1" applyFont="1" applyFill="1" applyBorder="1" applyAlignment="1" applyProtection="1">
      <alignment horizontal="center" vertical="center"/>
    </xf>
    <xf numFmtId="3" fontId="2" fillId="0" borderId="31" xfId="1" applyNumberFormat="1" applyFont="1" applyFill="1" applyBorder="1" applyAlignment="1" applyProtection="1">
      <alignment horizontal="center" vertical="center"/>
    </xf>
    <xf numFmtId="3" fontId="2" fillId="0" borderId="32" xfId="1" applyNumberFormat="1" applyFont="1" applyFill="1" applyBorder="1" applyAlignment="1" applyProtection="1">
      <alignment horizontal="center" vertical="center"/>
    </xf>
    <xf numFmtId="3" fontId="2" fillId="0" borderId="34" xfId="1" applyNumberFormat="1" applyFont="1" applyFill="1" applyBorder="1" applyAlignment="1" applyProtection="1">
      <alignment horizontal="center" vertical="center"/>
    </xf>
    <xf numFmtId="3" fontId="53" fillId="8" borderId="3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3" fontId="62" fillId="2" borderId="3" xfId="1" applyNumberFormat="1" applyFont="1" applyFill="1" applyBorder="1" applyAlignment="1" applyProtection="1">
      <alignment horizontal="center" vertical="center"/>
    </xf>
    <xf numFmtId="3" fontId="53" fillId="8" borderId="32" xfId="0" applyNumberFormat="1" applyFont="1" applyFill="1" applyBorder="1" applyAlignment="1" applyProtection="1">
      <alignment horizontal="center" vertical="center"/>
    </xf>
    <xf numFmtId="3" fontId="61" fillId="2" borderId="48" xfId="1" applyNumberFormat="1" applyFont="1" applyFill="1" applyBorder="1" applyAlignment="1" applyProtection="1">
      <alignment horizontal="center" vertical="center"/>
    </xf>
    <xf numFmtId="3" fontId="2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left" vertical="center"/>
    </xf>
    <xf numFmtId="0" fontId="0" fillId="0" borderId="31" xfId="0" applyFill="1" applyBorder="1" applyAlignment="1" applyProtection="1">
      <alignment horizontal="left" vertical="center" wrapText="1"/>
    </xf>
    <xf numFmtId="0" fontId="0" fillId="0" borderId="32" xfId="0" applyFill="1" applyBorder="1" applyAlignment="1" applyProtection="1">
      <alignment horizontal="left" vertical="center" wrapText="1"/>
    </xf>
    <xf numFmtId="0" fontId="0" fillId="0" borderId="34" xfId="0" applyFill="1" applyBorder="1" applyAlignment="1" applyProtection="1">
      <alignment horizontal="left" vertical="center" wrapText="1"/>
    </xf>
    <xf numFmtId="0" fontId="0" fillId="0" borderId="3" xfId="0" applyFill="1" applyBorder="1" applyAlignment="1" applyProtection="1">
      <alignment horizontal="left" vertical="center" wrapText="1"/>
    </xf>
    <xf numFmtId="0" fontId="0" fillId="0" borderId="31" xfId="0" applyFill="1" applyBorder="1" applyAlignment="1" applyProtection="1">
      <alignment horizontal="left" vertical="center"/>
    </xf>
    <xf numFmtId="0" fontId="0" fillId="0" borderId="32" xfId="0" applyFill="1" applyBorder="1" applyAlignment="1" applyProtection="1">
      <alignment horizontal="left" vertical="center"/>
    </xf>
    <xf numFmtId="0" fontId="0" fillId="0" borderId="34" xfId="0" applyFill="1" applyBorder="1" applyAlignment="1" applyProtection="1">
      <alignment horizontal="left" vertical="center"/>
    </xf>
    <xf numFmtId="3" fontId="61" fillId="2" borderId="31" xfId="1" applyNumberFormat="1" applyFont="1" applyFill="1" applyBorder="1" applyAlignment="1" applyProtection="1">
      <alignment horizontal="right" vertical="center"/>
    </xf>
    <xf numFmtId="3" fontId="61" fillId="2" borderId="32" xfId="1" applyNumberFormat="1" applyFont="1" applyFill="1" applyBorder="1" applyAlignment="1" applyProtection="1">
      <alignment horizontal="right" vertical="center"/>
    </xf>
    <xf numFmtId="3" fontId="61" fillId="2" borderId="34" xfId="1" applyNumberFormat="1" applyFont="1" applyFill="1" applyBorder="1" applyAlignment="1" applyProtection="1">
      <alignment horizontal="right" vertical="center"/>
    </xf>
    <xf numFmtId="176" fontId="72" fillId="2" borderId="32" xfId="0" applyNumberFormat="1" applyFont="1" applyFill="1" applyBorder="1" applyAlignment="1" applyProtection="1">
      <alignment horizontal="center" vertical="center"/>
    </xf>
    <xf numFmtId="176" fontId="72" fillId="2" borderId="2" xfId="0" applyNumberFormat="1" applyFont="1" applyFill="1" applyBorder="1" applyAlignment="1" applyProtection="1">
      <alignment horizontal="center" vertical="center"/>
    </xf>
    <xf numFmtId="49" fontId="60" fillId="0" borderId="3" xfId="0" applyNumberFormat="1" applyFont="1" applyBorder="1" applyAlignment="1">
      <alignment vertical="center"/>
    </xf>
    <xf numFmtId="0" fontId="60" fillId="0" borderId="3" xfId="0" applyNumberFormat="1" applyFont="1" applyBorder="1" applyAlignment="1">
      <alignment vertical="center"/>
    </xf>
    <xf numFmtId="1" fontId="90" fillId="0" borderId="31" xfId="0" applyNumberFormat="1" applyFont="1" applyBorder="1" applyAlignment="1">
      <alignment horizontal="right" vertical="center"/>
    </xf>
    <xf numFmtId="0" fontId="90" fillId="0" borderId="32" xfId="0" applyNumberFormat="1" applyFont="1" applyBorder="1" applyAlignment="1">
      <alignment horizontal="right" vertical="center"/>
    </xf>
    <xf numFmtId="0" fontId="90" fillId="0" borderId="34" xfId="0" applyNumberFormat="1" applyFont="1" applyBorder="1" applyAlignment="1">
      <alignment horizontal="right" vertical="center"/>
    </xf>
    <xf numFmtId="3" fontId="90" fillId="0" borderId="31" xfId="0" applyNumberFormat="1" applyFont="1" applyBorder="1" applyAlignment="1">
      <alignment horizontal="right" vertical="center"/>
    </xf>
    <xf numFmtId="189" fontId="90" fillId="14" borderId="24" xfId="0" applyNumberFormat="1" applyFont="1" applyFill="1" applyBorder="1" applyAlignment="1">
      <alignment horizontal="right" vertical="center"/>
    </xf>
    <xf numFmtId="189" fontId="90" fillId="14" borderId="2" xfId="0" applyNumberFormat="1" applyFont="1" applyFill="1" applyBorder="1" applyAlignment="1">
      <alignment horizontal="right" vertical="center"/>
    </xf>
    <xf numFmtId="189" fontId="90" fillId="14" borderId="6" xfId="0" applyNumberFormat="1" applyFont="1" applyFill="1" applyBorder="1" applyAlignment="1">
      <alignment horizontal="right" vertical="center"/>
    </xf>
    <xf numFmtId="0" fontId="90" fillId="14" borderId="3" xfId="0" applyFont="1" applyFill="1" applyBorder="1" applyAlignment="1">
      <alignment horizontal="center" vertical="center"/>
    </xf>
    <xf numFmtId="0" fontId="90" fillId="14" borderId="31" xfId="0" applyNumberFormat="1" applyFont="1" applyFill="1" applyBorder="1" applyAlignment="1">
      <alignment horizontal="center" vertical="center"/>
    </xf>
    <xf numFmtId="0" fontId="90" fillId="14" borderId="32" xfId="0" applyNumberFormat="1" applyFont="1" applyFill="1" applyBorder="1" applyAlignment="1">
      <alignment horizontal="center" vertical="center"/>
    </xf>
    <xf numFmtId="0" fontId="90" fillId="14" borderId="34" xfId="0" applyNumberFormat="1" applyFont="1" applyFill="1" applyBorder="1" applyAlignment="1">
      <alignment horizontal="center" vertical="center"/>
    </xf>
    <xf numFmtId="14" fontId="90" fillId="14" borderId="31" xfId="0" applyNumberFormat="1" applyFont="1" applyFill="1" applyBorder="1" applyAlignment="1">
      <alignment horizontal="center" vertical="center"/>
    </xf>
    <xf numFmtId="14" fontId="90" fillId="14" borderId="32" xfId="0" applyNumberFormat="1" applyFont="1" applyFill="1" applyBorder="1" applyAlignment="1">
      <alignment horizontal="center" vertical="center"/>
    </xf>
    <xf numFmtId="14" fontId="90" fillId="14" borderId="34" xfId="0" applyNumberFormat="1" applyFont="1" applyFill="1" applyBorder="1" applyAlignment="1">
      <alignment horizontal="center" vertical="center"/>
    </xf>
    <xf numFmtId="49" fontId="90" fillId="0" borderId="31" xfId="0" applyNumberFormat="1" applyFont="1" applyBorder="1" applyAlignment="1">
      <alignment horizontal="center" vertical="center"/>
    </xf>
    <xf numFmtId="0" fontId="90" fillId="0" borderId="32" xfId="0" applyNumberFormat="1" applyFont="1" applyBorder="1" applyAlignment="1">
      <alignment horizontal="center" vertical="center"/>
    </xf>
    <xf numFmtId="0" fontId="90" fillId="0" borderId="34" xfId="0" applyNumberFormat="1" applyFont="1" applyBorder="1" applyAlignment="1">
      <alignment horizontal="center" vertical="center"/>
    </xf>
    <xf numFmtId="0" fontId="90" fillId="0" borderId="0" xfId="0" applyNumberFormat="1" applyFont="1" applyBorder="1" applyAlignment="1">
      <alignment horizontal="center" vertical="center"/>
    </xf>
    <xf numFmtId="1" fontId="90" fillId="14" borderId="24" xfId="0" applyNumberFormat="1" applyFont="1" applyFill="1" applyBorder="1" applyAlignment="1">
      <alignment horizontal="right" vertical="center"/>
    </xf>
    <xf numFmtId="0" fontId="90" fillId="14" borderId="2" xfId="0" applyNumberFormat="1" applyFont="1" applyFill="1" applyBorder="1" applyAlignment="1">
      <alignment horizontal="right" vertical="center"/>
    </xf>
    <xf numFmtId="0" fontId="90" fillId="14" borderId="6" xfId="0" applyNumberFormat="1" applyFont="1" applyFill="1" applyBorder="1" applyAlignment="1">
      <alignment horizontal="right" vertical="center"/>
    </xf>
    <xf numFmtId="0" fontId="90" fillId="0" borderId="0" xfId="0" applyFont="1" applyBorder="1" applyAlignment="1">
      <alignment horizontal="left" vertical="top" wrapText="1"/>
    </xf>
    <xf numFmtId="0" fontId="90" fillId="14" borderId="31" xfId="0" applyFont="1" applyFill="1" applyBorder="1" applyAlignment="1">
      <alignment horizontal="center" vertical="center"/>
    </xf>
    <xf numFmtId="0" fontId="90" fillId="14" borderId="32" xfId="0" applyFont="1" applyFill="1" applyBorder="1" applyAlignment="1">
      <alignment horizontal="center" vertical="center"/>
    </xf>
    <xf numFmtId="0" fontId="90" fillId="14" borderId="34" xfId="0" applyFont="1" applyFill="1" applyBorder="1" applyAlignment="1">
      <alignment horizontal="center" vertical="center"/>
    </xf>
    <xf numFmtId="1" fontId="60" fillId="0" borderId="3" xfId="0" applyNumberFormat="1" applyFont="1" applyBorder="1" applyAlignment="1">
      <alignment vertical="center"/>
    </xf>
    <xf numFmtId="49" fontId="90" fillId="0" borderId="32" xfId="0" applyNumberFormat="1" applyFont="1" applyBorder="1" applyAlignment="1">
      <alignment horizontal="center" vertical="center"/>
    </xf>
    <xf numFmtId="49" fontId="90" fillId="0" borderId="34" xfId="0" applyNumberFormat="1" applyFont="1" applyBorder="1" applyAlignment="1">
      <alignment horizontal="center" vertical="center"/>
    </xf>
    <xf numFmtId="3" fontId="90" fillId="14" borderId="3" xfId="0" applyNumberFormat="1" applyFont="1" applyFill="1" applyBorder="1" applyAlignment="1">
      <alignment horizontal="right" vertical="center"/>
    </xf>
    <xf numFmtId="3" fontId="90" fillId="0" borderId="3" xfId="0" applyNumberFormat="1" applyFont="1" applyBorder="1" applyAlignment="1">
      <alignment horizontal="right" vertical="center"/>
    </xf>
    <xf numFmtId="49" fontId="90" fillId="0" borderId="3" xfId="0" applyNumberFormat="1" applyFont="1" applyBorder="1" applyAlignment="1">
      <alignment horizontal="center" vertical="center"/>
    </xf>
    <xf numFmtId="0" fontId="90" fillId="0" borderId="3" xfId="0" applyNumberFormat="1" applyFont="1" applyBorder="1" applyAlignment="1">
      <alignment horizontal="center" vertical="center"/>
    </xf>
    <xf numFmtId="49" fontId="90" fillId="0" borderId="3" xfId="0" applyNumberFormat="1" applyFont="1" applyBorder="1" applyAlignment="1">
      <alignment horizontal="left" vertical="center"/>
    </xf>
    <xf numFmtId="0" fontId="90" fillId="0" borderId="3" xfId="0" applyNumberFormat="1" applyFont="1" applyBorder="1" applyAlignment="1">
      <alignment horizontal="left" vertical="center"/>
    </xf>
    <xf numFmtId="3" fontId="90" fillId="0" borderId="32" xfId="0" applyNumberFormat="1" applyFont="1" applyBorder="1" applyAlignment="1">
      <alignment horizontal="right" vertical="center"/>
    </xf>
    <xf numFmtId="3" fontId="90" fillId="0" borderId="34" xfId="0" applyNumberFormat="1" applyFont="1" applyBorder="1" applyAlignment="1">
      <alignment horizontal="right" vertical="center"/>
    </xf>
    <xf numFmtId="0" fontId="90" fillId="2" borderId="3" xfId="0" applyFont="1" applyFill="1" applyBorder="1" applyAlignment="1">
      <alignment horizontal="center" vertical="center"/>
    </xf>
    <xf numFmtId="0" fontId="90" fillId="14" borderId="3" xfId="0" applyFont="1" applyFill="1" applyBorder="1" applyAlignment="1">
      <alignment horizontal="left" vertical="center"/>
    </xf>
    <xf numFmtId="0" fontId="90" fillId="0" borderId="32" xfId="0" applyFont="1" applyBorder="1" applyAlignment="1">
      <alignment horizontal="right" vertical="center"/>
    </xf>
    <xf numFmtId="0" fontId="90" fillId="0" borderId="34" xfId="0" applyFont="1" applyBorder="1" applyAlignment="1">
      <alignment horizontal="right" vertical="center"/>
    </xf>
    <xf numFmtId="3" fontId="90" fillId="14" borderId="33" xfId="0" applyNumberFormat="1" applyFont="1" applyFill="1" applyBorder="1" applyAlignment="1">
      <alignment horizontal="right" vertical="center"/>
    </xf>
    <xf numFmtId="0" fontId="90" fillId="14" borderId="31" xfId="0" applyFont="1" applyFill="1" applyBorder="1" applyAlignment="1">
      <alignment horizontal="left" vertical="center"/>
    </xf>
    <xf numFmtId="0" fontId="90" fillId="14" borderId="32" xfId="0" applyFont="1" applyFill="1" applyBorder="1" applyAlignment="1">
      <alignment horizontal="left" vertical="center"/>
    </xf>
    <xf numFmtId="0" fontId="90" fillId="14" borderId="34" xfId="0" applyFont="1" applyFill="1" applyBorder="1" applyAlignment="1">
      <alignment horizontal="left" vertical="center"/>
    </xf>
    <xf numFmtId="1" fontId="90" fillId="14" borderId="33" xfId="0" applyNumberFormat="1" applyFont="1" applyFill="1" applyBorder="1" applyAlignment="1">
      <alignment horizontal="right" vertical="center"/>
    </xf>
    <xf numFmtId="0" fontId="90" fillId="14" borderId="33" xfId="0" applyFont="1" applyFill="1" applyBorder="1" applyAlignment="1">
      <alignment horizontal="right" vertical="center"/>
    </xf>
    <xf numFmtId="0" fontId="13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1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90" fillId="2" borderId="31" xfId="0" applyFont="1" applyFill="1" applyBorder="1" applyAlignment="1">
      <alignment horizontal="center" vertical="center"/>
    </xf>
    <xf numFmtId="0" fontId="90" fillId="2" borderId="32" xfId="0" applyFont="1" applyFill="1" applyBorder="1" applyAlignment="1">
      <alignment horizontal="center" vertical="center"/>
    </xf>
    <xf numFmtId="0" fontId="90" fillId="2" borderId="34" xfId="0" applyFont="1" applyFill="1" applyBorder="1" applyAlignment="1">
      <alignment horizontal="center" vertical="center"/>
    </xf>
    <xf numFmtId="3" fontId="90" fillId="0" borderId="31" xfId="0" applyNumberFormat="1" applyFont="1" applyFill="1" applyBorder="1" applyAlignment="1">
      <alignment horizontal="right" vertical="center"/>
    </xf>
    <xf numFmtId="3" fontId="90" fillId="0" borderId="32" xfId="0" applyNumberFormat="1" applyFont="1" applyFill="1" applyBorder="1" applyAlignment="1">
      <alignment horizontal="right" vertical="center"/>
    </xf>
    <xf numFmtId="3" fontId="90" fillId="0" borderId="34" xfId="0" applyNumberFormat="1" applyFont="1" applyFill="1" applyBorder="1" applyAlignment="1">
      <alignment horizontal="right" vertical="center"/>
    </xf>
    <xf numFmtId="49" fontId="90" fillId="0" borderId="0" xfId="0" applyNumberFormat="1" applyFont="1" applyBorder="1" applyAlignment="1">
      <alignment horizontal="center" vertical="center"/>
    </xf>
    <xf numFmtId="3" fontId="90" fillId="14" borderId="24" xfId="0" applyNumberFormat="1" applyFont="1" applyFill="1" applyBorder="1" applyAlignment="1">
      <alignment horizontal="right" vertical="center"/>
    </xf>
    <xf numFmtId="3" fontId="90" fillId="14" borderId="2" xfId="0" applyNumberFormat="1" applyFont="1" applyFill="1" applyBorder="1" applyAlignment="1">
      <alignment horizontal="right" vertical="center"/>
    </xf>
    <xf numFmtId="3" fontId="90" fillId="14" borderId="6" xfId="0" applyNumberFormat="1" applyFont="1" applyFill="1" applyBorder="1" applyAlignment="1">
      <alignment horizontal="right" vertical="center"/>
    </xf>
    <xf numFmtId="3" fontId="90" fillId="14" borderId="31" xfId="0" applyNumberFormat="1" applyFont="1" applyFill="1" applyBorder="1" applyAlignment="1">
      <alignment horizontal="right" vertical="center"/>
    </xf>
    <xf numFmtId="3" fontId="90" fillId="14" borderId="32" xfId="0" applyNumberFormat="1" applyFont="1" applyFill="1" applyBorder="1" applyAlignment="1">
      <alignment horizontal="right" vertical="center"/>
    </xf>
    <xf numFmtId="3" fontId="90" fillId="14" borderId="34" xfId="0" applyNumberFormat="1" applyFont="1" applyFill="1" applyBorder="1" applyAlignment="1">
      <alignment horizontal="right" vertical="center"/>
    </xf>
    <xf numFmtId="0" fontId="90" fillId="14" borderId="3" xfId="0" applyNumberFormat="1" applyFont="1" applyFill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0" fontId="90" fillId="0" borderId="3" xfId="0" applyFont="1" applyBorder="1" applyAlignment="1">
      <alignment horizontal="left" vertical="center"/>
    </xf>
    <xf numFmtId="1" fontId="90" fillId="0" borderId="3" xfId="0" applyNumberFormat="1" applyFont="1" applyBorder="1" applyAlignment="1">
      <alignment horizontal="center" vertical="center"/>
    </xf>
    <xf numFmtId="49" fontId="2" fillId="0" borderId="7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3" fontId="84" fillId="0" borderId="3" xfId="0" applyNumberFormat="1" applyFont="1" applyBorder="1" applyAlignment="1">
      <alignment horizontal="right" vertical="center"/>
    </xf>
    <xf numFmtId="3" fontId="84" fillId="0" borderId="91" xfId="0" applyNumberFormat="1" applyFont="1" applyBorder="1" applyAlignment="1">
      <alignment horizontal="right" vertical="center"/>
    </xf>
    <xf numFmtId="49" fontId="84" fillId="0" borderId="3" xfId="0" applyNumberFormat="1" applyFont="1" applyBorder="1" applyAlignment="1">
      <alignment horizontal="center" vertical="center"/>
    </xf>
    <xf numFmtId="49" fontId="84" fillId="0" borderId="31" xfId="0" applyNumberFormat="1" applyFont="1" applyBorder="1" applyAlignment="1">
      <alignment horizontal="center" vertical="center"/>
    </xf>
    <xf numFmtId="49" fontId="84" fillId="0" borderId="32" xfId="0" applyNumberFormat="1" applyFont="1" applyBorder="1" applyAlignment="1">
      <alignment horizontal="center" vertical="center"/>
    </xf>
    <xf numFmtId="49" fontId="84" fillId="0" borderId="34" xfId="0" applyNumberFormat="1" applyFont="1" applyBorder="1" applyAlignment="1">
      <alignment horizontal="center" vertical="center"/>
    </xf>
    <xf numFmtId="49" fontId="83" fillId="0" borderId="0" xfId="0" applyNumberFormat="1" applyFont="1" applyBorder="1" applyAlignment="1">
      <alignment horizontal="left" vertical="center"/>
    </xf>
    <xf numFmtId="49" fontId="84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89" xfId="0" applyNumberFormat="1" applyFont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center"/>
    </xf>
    <xf numFmtId="0" fontId="84" fillId="0" borderId="99" xfId="0" applyFont="1" applyBorder="1" applyAlignment="1">
      <alignment horizontal="center" vertical="center"/>
    </xf>
    <xf numFmtId="0" fontId="84" fillId="0" borderId="56" xfId="0" applyFont="1" applyBorder="1" applyAlignment="1">
      <alignment horizontal="center" vertical="center"/>
    </xf>
    <xf numFmtId="2" fontId="84" fillId="0" borderId="76" xfId="0" applyNumberFormat="1" applyFont="1" applyBorder="1" applyAlignment="1">
      <alignment horizontal="right" vertical="center"/>
    </xf>
    <xf numFmtId="0" fontId="84" fillId="0" borderId="86" xfId="0" applyFont="1" applyBorder="1" applyAlignment="1">
      <alignment horizontal="center" vertical="center"/>
    </xf>
    <xf numFmtId="2" fontId="84" fillId="0" borderId="96" xfId="0" applyNumberFormat="1" applyFont="1" applyBorder="1" applyAlignment="1">
      <alignment horizontal="right" vertical="center"/>
    </xf>
    <xf numFmtId="1" fontId="84" fillId="0" borderId="0" xfId="0" applyNumberFormat="1" applyFont="1" applyBorder="1" applyAlignment="1">
      <alignment horizontal="right" vertical="center"/>
    </xf>
    <xf numFmtId="2" fontId="84" fillId="0" borderId="3" xfId="0" applyNumberFormat="1" applyFont="1" applyBorder="1" applyAlignment="1">
      <alignment horizontal="right" vertical="center"/>
    </xf>
    <xf numFmtId="182" fontId="84" fillId="0" borderId="0" xfId="0" applyNumberFormat="1" applyFont="1" applyBorder="1" applyAlignment="1">
      <alignment horizontal="right" vertical="center"/>
    </xf>
    <xf numFmtId="0" fontId="84" fillId="0" borderId="57" xfId="0" applyFont="1" applyBorder="1" applyAlignment="1">
      <alignment horizontal="center" vertical="center"/>
    </xf>
    <xf numFmtId="2" fontId="84" fillId="0" borderId="91" xfId="0" applyNumberFormat="1" applyFont="1" applyBorder="1" applyAlignment="1">
      <alignment horizontal="right" vertical="center"/>
    </xf>
    <xf numFmtId="49" fontId="2" fillId="0" borderId="75" xfId="0" applyNumberFormat="1" applyFont="1" applyBorder="1" applyAlignment="1">
      <alignment horizontal="center" vertical="center"/>
    </xf>
    <xf numFmtId="49" fontId="2" fillId="0" borderId="76" xfId="0" applyNumberFormat="1" applyFont="1" applyBorder="1" applyAlignment="1">
      <alignment horizontal="center" vertical="center"/>
    </xf>
    <xf numFmtId="49" fontId="84" fillId="0" borderId="76" xfId="0" applyNumberFormat="1" applyFont="1" applyBorder="1" applyAlignment="1">
      <alignment horizontal="center" vertical="center"/>
    </xf>
    <xf numFmtId="49" fontId="84" fillId="0" borderId="54" xfId="0" applyNumberFormat="1" applyFont="1" applyBorder="1" applyAlignment="1">
      <alignment horizontal="center" vertical="center"/>
    </xf>
    <xf numFmtId="49" fontId="84" fillId="0" borderId="55" xfId="0" applyNumberFormat="1" applyFont="1" applyBorder="1" applyAlignment="1">
      <alignment horizontal="center" vertical="center"/>
    </xf>
    <xf numFmtId="49" fontId="84" fillId="0" borderId="53" xfId="0" applyNumberFormat="1" applyFont="1" applyBorder="1" applyAlignment="1">
      <alignment horizontal="center" vertical="center"/>
    </xf>
    <xf numFmtId="49" fontId="83" fillId="0" borderId="3" xfId="0" applyNumberFormat="1" applyFont="1" applyBorder="1" applyAlignment="1">
      <alignment horizontal="left" vertical="center"/>
    </xf>
    <xf numFmtId="49" fontId="2" fillId="0" borderId="74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84" fillId="0" borderId="33" xfId="0" applyNumberFormat="1" applyFont="1" applyBorder="1" applyAlignment="1">
      <alignment horizontal="center" vertical="center"/>
    </xf>
    <xf numFmtId="186" fontId="84" fillId="0" borderId="33" xfId="0" applyNumberFormat="1" applyFont="1" applyBorder="1" applyAlignment="1">
      <alignment horizontal="right" vertical="center"/>
    </xf>
    <xf numFmtId="186" fontId="84" fillId="0" borderId="93" xfId="0" applyNumberFormat="1" applyFont="1" applyBorder="1" applyAlignment="1">
      <alignment horizontal="right" vertical="center"/>
    </xf>
    <xf numFmtId="49" fontId="3" fillId="0" borderId="82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66" xfId="0" applyNumberFormat="1" applyFont="1" applyBorder="1" applyAlignment="1">
      <alignment horizontal="center" vertical="center" wrapText="1"/>
    </xf>
    <xf numFmtId="49" fontId="3" fillId="0" borderId="67" xfId="0" applyNumberFormat="1" applyFont="1" applyBorder="1" applyAlignment="1">
      <alignment horizontal="center" vertical="center" wrapText="1"/>
    </xf>
    <xf numFmtId="0" fontId="83" fillId="0" borderId="94" xfId="0" applyFont="1" applyBorder="1" applyAlignment="1">
      <alignment horizontal="center" vertical="center"/>
    </xf>
    <xf numFmtId="0" fontId="83" fillId="0" borderId="50" xfId="0" applyFont="1" applyBorder="1" applyAlignment="1">
      <alignment horizontal="center" vertical="center"/>
    </xf>
    <xf numFmtId="0" fontId="83" fillId="0" borderId="77" xfId="0" applyFont="1" applyBorder="1" applyAlignment="1">
      <alignment horizontal="center" vertical="center"/>
    </xf>
    <xf numFmtId="0" fontId="83" fillId="0" borderId="67" xfId="0" applyFont="1" applyBorder="1" applyAlignment="1">
      <alignment horizontal="center" vertical="center"/>
    </xf>
    <xf numFmtId="0" fontId="83" fillId="0" borderId="94" xfId="0" applyFont="1" applyBorder="1" applyAlignment="1">
      <alignment horizontal="center" vertical="center" wrapText="1"/>
    </xf>
    <xf numFmtId="0" fontId="83" fillId="0" borderId="50" xfId="0" applyFont="1" applyBorder="1" applyAlignment="1">
      <alignment horizontal="center" vertical="center" wrapText="1"/>
    </xf>
    <xf numFmtId="0" fontId="83" fillId="0" borderId="83" xfId="0" applyFont="1" applyBorder="1" applyAlignment="1">
      <alignment horizontal="center" vertical="center" wrapText="1"/>
    </xf>
    <xf numFmtId="0" fontId="83" fillId="0" borderId="77" xfId="0" applyFont="1" applyBorder="1" applyAlignment="1">
      <alignment horizontal="center" vertical="center" wrapText="1"/>
    </xf>
    <xf numFmtId="0" fontId="83" fillId="0" borderId="67" xfId="0" applyFont="1" applyBorder="1" applyAlignment="1">
      <alignment horizontal="center" vertical="center" wrapText="1"/>
    </xf>
    <xf numFmtId="0" fontId="83" fillId="0" borderId="68" xfId="0" applyFont="1" applyBorder="1" applyAlignment="1">
      <alignment horizontal="center" vertical="center" wrapText="1"/>
    </xf>
    <xf numFmtId="0" fontId="83" fillId="0" borderId="87" xfId="0" applyFont="1" applyBorder="1" applyAlignment="1">
      <alignment horizontal="center" vertical="center" wrapText="1"/>
    </xf>
    <xf numFmtId="0" fontId="83" fillId="0" borderId="78" xfId="0" applyFont="1" applyBorder="1" applyAlignment="1">
      <alignment horizontal="center" vertical="center" wrapText="1"/>
    </xf>
    <xf numFmtId="49" fontId="84" fillId="0" borderId="0" xfId="0" applyNumberFormat="1" applyFont="1" applyBorder="1" applyAlignment="1">
      <alignment horizontal="left" vertical="center"/>
    </xf>
    <xf numFmtId="49" fontId="84" fillId="0" borderId="3" xfId="0" applyNumberFormat="1" applyFont="1" applyBorder="1" applyAlignment="1">
      <alignment horizontal="left" vertical="center"/>
    </xf>
    <xf numFmtId="49" fontId="84" fillId="0" borderId="76" xfId="0" applyNumberFormat="1" applyFont="1" applyBorder="1" applyAlignment="1">
      <alignment horizontal="left" vertical="center"/>
    </xf>
    <xf numFmtId="3" fontId="84" fillId="0" borderId="76" xfId="0" applyNumberFormat="1" applyFont="1" applyBorder="1" applyAlignment="1">
      <alignment horizontal="right" vertical="center"/>
    </xf>
    <xf numFmtId="3" fontId="84" fillId="0" borderId="96" xfId="0" applyNumberFormat="1" applyFont="1" applyBorder="1" applyAlignment="1">
      <alignment horizontal="right" vertical="center"/>
    </xf>
    <xf numFmtId="49" fontId="83" fillId="0" borderId="31" xfId="0" applyNumberFormat="1" applyFont="1" applyBorder="1" applyAlignment="1">
      <alignment horizontal="left" vertical="center" wrapText="1"/>
    </xf>
    <xf numFmtId="49" fontId="83" fillId="0" borderId="32" xfId="0" applyNumberFormat="1" applyFont="1" applyBorder="1" applyAlignment="1">
      <alignment horizontal="left" vertical="center" wrapText="1"/>
    </xf>
    <xf numFmtId="49" fontId="83" fillId="0" borderId="34" xfId="0" applyNumberFormat="1" applyFont="1" applyBorder="1" applyAlignment="1">
      <alignment horizontal="left" vertical="center" wrapText="1"/>
    </xf>
    <xf numFmtId="49" fontId="91" fillId="0" borderId="3" xfId="0" applyNumberFormat="1" applyFont="1" applyBorder="1" applyAlignment="1">
      <alignment horizontal="left" vertical="center"/>
    </xf>
    <xf numFmtId="0" fontId="84" fillId="0" borderId="76" xfId="0" applyNumberFormat="1" applyFont="1" applyBorder="1" applyAlignment="1">
      <alignment horizontal="center" vertical="center"/>
    </xf>
    <xf numFmtId="0" fontId="84" fillId="0" borderId="3" xfId="0" applyNumberFormat="1" applyFont="1" applyBorder="1" applyAlignment="1">
      <alignment horizontal="center" vertical="center"/>
    </xf>
    <xf numFmtId="49" fontId="120" fillId="0" borderId="3" xfId="0" applyNumberFormat="1" applyFont="1" applyBorder="1" applyAlignment="1">
      <alignment horizontal="left" vertical="center"/>
    </xf>
    <xf numFmtId="187" fontId="84" fillId="0" borderId="33" xfId="0" applyNumberFormat="1" applyFont="1" applyBorder="1" applyAlignment="1">
      <alignment horizontal="right" vertical="center"/>
    </xf>
    <xf numFmtId="0" fontId="83" fillId="0" borderId="94" xfId="0" applyFont="1" applyBorder="1" applyAlignment="1">
      <alignment horizontal="center" vertical="center" textRotation="90"/>
    </xf>
    <xf numFmtId="0" fontId="83" fillId="0" borderId="87" xfId="0" applyFont="1" applyBorder="1" applyAlignment="1">
      <alignment horizontal="center" vertical="center" textRotation="90"/>
    </xf>
    <xf numFmtId="0" fontId="83" fillId="0" borderId="77" xfId="0" applyFont="1" applyBorder="1" applyAlignment="1">
      <alignment horizontal="center" vertical="center" textRotation="90"/>
    </xf>
    <xf numFmtId="0" fontId="83" fillId="0" borderId="78" xfId="0" applyFont="1" applyBorder="1" applyAlignment="1">
      <alignment horizontal="center" vertical="center" textRotation="90"/>
    </xf>
    <xf numFmtId="0" fontId="83" fillId="0" borderId="87" xfId="0" applyFont="1" applyBorder="1" applyAlignment="1">
      <alignment horizontal="center" vertical="center"/>
    </xf>
    <xf numFmtId="0" fontId="83" fillId="0" borderId="78" xfId="0" applyFont="1" applyBorder="1" applyAlignment="1">
      <alignment horizontal="center" vertical="center"/>
    </xf>
    <xf numFmtId="49" fontId="83" fillId="0" borderId="33" xfId="0" applyNumberFormat="1" applyFont="1" applyBorder="1" applyAlignment="1">
      <alignment horizontal="left" vertical="center"/>
    </xf>
    <xf numFmtId="187" fontId="84" fillId="0" borderId="93" xfId="0" applyNumberFormat="1" applyFont="1" applyBorder="1" applyAlignment="1">
      <alignment horizontal="right" vertical="center"/>
    </xf>
    <xf numFmtId="49" fontId="86" fillId="0" borderId="31" xfId="0" applyNumberFormat="1" applyFont="1" applyBorder="1" applyAlignment="1">
      <alignment horizontal="left" vertical="center" wrapText="1"/>
    </xf>
    <xf numFmtId="49" fontId="86" fillId="0" borderId="32" xfId="0" applyNumberFormat="1" applyFont="1" applyBorder="1" applyAlignment="1">
      <alignment horizontal="left" vertical="center" wrapText="1"/>
    </xf>
    <xf numFmtId="49" fontId="86" fillId="0" borderId="34" xfId="0" applyNumberFormat="1" applyFont="1" applyBorder="1" applyAlignment="1">
      <alignment horizontal="left" vertical="center" wrapText="1"/>
    </xf>
    <xf numFmtId="0" fontId="83" fillId="0" borderId="54" xfId="0" applyFont="1" applyBorder="1" applyAlignment="1">
      <alignment horizontal="center" vertical="center"/>
    </xf>
    <xf numFmtId="0" fontId="83" fillId="0" borderId="55" xfId="0" applyFont="1" applyBorder="1" applyAlignment="1">
      <alignment horizontal="center" vertical="center"/>
    </xf>
    <xf numFmtId="0" fontId="83" fillId="0" borderId="53" xfId="0" applyFont="1" applyBorder="1" applyAlignment="1">
      <alignment horizontal="center" vertical="center"/>
    </xf>
    <xf numFmtId="0" fontId="83" fillId="0" borderId="70" xfId="0" applyFont="1" applyBorder="1" applyAlignment="1">
      <alignment horizontal="center" vertical="center"/>
    </xf>
    <xf numFmtId="0" fontId="83" fillId="0" borderId="58" xfId="0" applyFont="1" applyBorder="1" applyAlignment="1">
      <alignment horizontal="center" vertical="center"/>
    </xf>
    <xf numFmtId="0" fontId="83" fillId="0" borderId="71" xfId="0" applyFont="1" applyBorder="1" applyAlignment="1">
      <alignment horizontal="center" vertical="center"/>
    </xf>
    <xf numFmtId="0" fontId="83" fillId="0" borderId="2" xfId="0" applyFont="1" applyBorder="1" applyAlignment="1">
      <alignment horizontal="left" vertical="center"/>
    </xf>
    <xf numFmtId="49" fontId="89" fillId="0" borderId="0" xfId="0" applyNumberFormat="1" applyFont="1" applyAlignment="1">
      <alignment horizontal="center" vertical="center"/>
    </xf>
    <xf numFmtId="0" fontId="87" fillId="0" borderId="2" xfId="0" applyFont="1" applyBorder="1" applyAlignment="1">
      <alignment horizontal="center" vertical="center"/>
    </xf>
    <xf numFmtId="0" fontId="84" fillId="0" borderId="29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4" fillId="0" borderId="5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121" fillId="0" borderId="0" xfId="0" applyFont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81" fillId="0" borderId="2" xfId="0" applyNumberFormat="1" applyFont="1" applyFill="1" applyBorder="1" applyAlignment="1">
      <alignment horizontal="left" vertical="center"/>
    </xf>
    <xf numFmtId="0" fontId="80" fillId="0" borderId="1" xfId="0" applyFont="1" applyBorder="1" applyAlignment="1">
      <alignment horizontal="center" vertical="center"/>
    </xf>
    <xf numFmtId="0" fontId="81" fillId="0" borderId="2" xfId="0" applyFont="1" applyFill="1" applyBorder="1" applyAlignment="1">
      <alignment horizontal="left" vertical="center"/>
    </xf>
    <xf numFmtId="0" fontId="83" fillId="0" borderId="50" xfId="0" applyFont="1" applyBorder="1" applyAlignment="1">
      <alignment horizontal="center" vertical="center" textRotation="90"/>
    </xf>
    <xf numFmtId="0" fontId="83" fillId="0" borderId="67" xfId="0" applyFont="1" applyBorder="1" applyAlignment="1">
      <alignment horizontal="center" vertical="center" textRotation="90"/>
    </xf>
    <xf numFmtId="49" fontId="84" fillId="0" borderId="24" xfId="0" applyNumberFormat="1" applyFont="1" applyBorder="1" applyAlignment="1">
      <alignment horizontal="center" vertical="center"/>
    </xf>
    <xf numFmtId="49" fontId="84" fillId="0" borderId="2" xfId="0" applyNumberFormat="1" applyFont="1" applyBorder="1" applyAlignment="1">
      <alignment horizontal="center" vertical="center"/>
    </xf>
    <xf numFmtId="49" fontId="84" fillId="0" borderId="6" xfId="0" applyNumberFormat="1" applyFont="1" applyBorder="1" applyAlignment="1">
      <alignment horizontal="center" vertical="center"/>
    </xf>
    <xf numFmtId="0" fontId="84" fillId="0" borderId="0" xfId="0" applyNumberFormat="1" applyFont="1" applyBorder="1" applyAlignment="1">
      <alignment horizontal="right" vertical="center"/>
    </xf>
    <xf numFmtId="0" fontId="8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188" fontId="122" fillId="0" borderId="50" xfId="0" applyNumberFormat="1" applyFont="1" applyBorder="1" applyAlignment="1">
      <alignment horizontal="center" vertical="center"/>
    </xf>
    <xf numFmtId="188" fontId="122" fillId="0" borderId="5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87" fillId="0" borderId="0" xfId="0" applyFont="1" applyFill="1" applyAlignment="1">
      <alignment horizontal="center" vertical="center"/>
    </xf>
    <xf numFmtId="3" fontId="84" fillId="0" borderId="76" xfId="0" applyNumberFormat="1" applyFont="1" applyFill="1" applyBorder="1" applyAlignment="1">
      <alignment horizontal="right" vertical="center"/>
    </xf>
    <xf numFmtId="3" fontId="84" fillId="0" borderId="96" xfId="0" applyNumberFormat="1" applyFont="1" applyFill="1" applyBorder="1" applyAlignment="1">
      <alignment horizontal="right" vertical="center"/>
    </xf>
    <xf numFmtId="49" fontId="2" fillId="0" borderId="7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4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49" fontId="2" fillId="0" borderId="75" xfId="0" applyNumberFormat="1" applyFont="1" applyFill="1" applyBorder="1" applyAlignment="1">
      <alignment horizontal="center" vertical="center"/>
    </xf>
    <xf numFmtId="49" fontId="2" fillId="0" borderId="76" xfId="0" applyNumberFormat="1" applyFont="1" applyFill="1" applyBorder="1" applyAlignment="1">
      <alignment horizontal="center" vertical="center"/>
    </xf>
    <xf numFmtId="49" fontId="84" fillId="0" borderId="31" xfId="0" applyNumberFormat="1" applyFont="1" applyFill="1" applyBorder="1" applyAlignment="1">
      <alignment horizontal="center" vertical="center"/>
    </xf>
    <xf numFmtId="49" fontId="84" fillId="0" borderId="32" xfId="0" applyNumberFormat="1" applyFont="1" applyFill="1" applyBorder="1" applyAlignment="1">
      <alignment horizontal="center" vertical="center"/>
    </xf>
    <xf numFmtId="49" fontId="84" fillId="0" borderId="34" xfId="0" applyNumberFormat="1" applyFont="1" applyFill="1" applyBorder="1" applyAlignment="1">
      <alignment horizontal="center" vertical="center"/>
    </xf>
    <xf numFmtId="49" fontId="84" fillId="0" borderId="3" xfId="0" applyNumberFormat="1" applyFont="1" applyFill="1" applyBorder="1" applyAlignment="1">
      <alignment horizontal="center" vertical="center"/>
    </xf>
    <xf numFmtId="3" fontId="84" fillId="0" borderId="3" xfId="0" applyNumberFormat="1" applyFont="1" applyFill="1" applyBorder="1" applyAlignment="1">
      <alignment horizontal="right" vertical="center"/>
    </xf>
    <xf numFmtId="49" fontId="84" fillId="0" borderId="54" xfId="0" applyNumberFormat="1" applyFont="1" applyFill="1" applyBorder="1" applyAlignment="1">
      <alignment horizontal="center" vertical="center"/>
    </xf>
    <xf numFmtId="49" fontId="84" fillId="0" borderId="55" xfId="0" applyNumberFormat="1" applyFont="1" applyFill="1" applyBorder="1" applyAlignment="1">
      <alignment horizontal="center" vertical="center"/>
    </xf>
    <xf numFmtId="49" fontId="84" fillId="0" borderId="53" xfId="0" applyNumberFormat="1" applyFont="1" applyFill="1" applyBorder="1" applyAlignment="1">
      <alignment horizontal="center" vertical="center"/>
    </xf>
    <xf numFmtId="49" fontId="84" fillId="0" borderId="76" xfId="0" applyNumberFormat="1" applyFont="1" applyFill="1" applyBorder="1" applyAlignment="1">
      <alignment horizontal="center" vertical="center"/>
    </xf>
    <xf numFmtId="186" fontId="84" fillId="0" borderId="0" xfId="0" applyNumberFormat="1" applyFont="1" applyFill="1" applyBorder="1" applyAlignment="1">
      <alignment horizontal="right" vertical="center"/>
    </xf>
    <xf numFmtId="186" fontId="84" fillId="0" borderId="97" xfId="0" applyNumberFormat="1" applyFont="1" applyFill="1" applyBorder="1" applyAlignment="1">
      <alignment horizontal="right" vertical="center"/>
    </xf>
    <xf numFmtId="186" fontId="84" fillId="0" borderId="98" xfId="0" applyNumberFormat="1" applyFont="1" applyFill="1" applyBorder="1" applyAlignment="1">
      <alignment horizontal="right" vertical="center"/>
    </xf>
    <xf numFmtId="3" fontId="84" fillId="0" borderId="91" xfId="0" applyNumberFormat="1" applyFont="1" applyFill="1" applyBorder="1" applyAlignment="1">
      <alignment horizontal="right" vertical="center"/>
    </xf>
    <xf numFmtId="49" fontId="84" fillId="0" borderId="0" xfId="0" applyNumberFormat="1" applyFont="1" applyFill="1" applyBorder="1" applyAlignment="1">
      <alignment horizontal="center" vertical="center"/>
    </xf>
    <xf numFmtId="49" fontId="2" fillId="0" borderId="69" xfId="0" applyNumberFormat="1" applyFont="1" applyFill="1" applyBorder="1" applyAlignment="1">
      <alignment horizontal="center" vertical="center"/>
    </xf>
    <xf numFmtId="49" fontId="2" fillId="0" borderId="97" xfId="0" applyNumberFormat="1" applyFont="1" applyFill="1" applyBorder="1" applyAlignment="1">
      <alignment horizontal="center" vertical="center"/>
    </xf>
    <xf numFmtId="49" fontId="84" fillId="0" borderId="70" xfId="0" applyNumberFormat="1" applyFont="1" applyFill="1" applyBorder="1" applyAlignment="1">
      <alignment horizontal="center" vertical="center"/>
    </xf>
    <xf numFmtId="49" fontId="84" fillId="0" borderId="58" xfId="0" applyNumberFormat="1" applyFont="1" applyFill="1" applyBorder="1" applyAlignment="1">
      <alignment horizontal="center" vertical="center"/>
    </xf>
    <xf numFmtId="49" fontId="84" fillId="0" borderId="71" xfId="0" applyNumberFormat="1" applyFont="1" applyFill="1" applyBorder="1" applyAlignment="1">
      <alignment horizontal="center" vertical="center"/>
    </xf>
    <xf numFmtId="49" fontId="84" fillId="0" borderId="97" xfId="0" applyNumberFormat="1" applyFont="1" applyFill="1" applyBorder="1" applyAlignment="1">
      <alignment horizontal="center" vertical="center"/>
    </xf>
    <xf numFmtId="49" fontId="2" fillId="0" borderId="89" xfId="0" applyNumberFormat="1" applyFont="1" applyFill="1" applyBorder="1" applyAlignment="1">
      <alignment horizontal="center" vertical="center"/>
    </xf>
    <xf numFmtId="49" fontId="2" fillId="0" borderId="56" xfId="0" applyNumberFormat="1" applyFont="1" applyFill="1" applyBorder="1" applyAlignment="1">
      <alignment horizontal="center" vertical="center"/>
    </xf>
    <xf numFmtId="0" fontId="84" fillId="0" borderId="99" xfId="0" applyFont="1" applyFill="1" applyBorder="1" applyAlignment="1">
      <alignment horizontal="center" vertical="center"/>
    </xf>
    <xf numFmtId="0" fontId="84" fillId="0" borderId="56" xfId="0" applyFont="1" applyFill="1" applyBorder="1" applyAlignment="1">
      <alignment horizontal="center" vertical="center"/>
    </xf>
    <xf numFmtId="0" fontId="84" fillId="0" borderId="86" xfId="0" applyFont="1" applyFill="1" applyBorder="1" applyAlignment="1">
      <alignment horizontal="center" vertical="center"/>
    </xf>
    <xf numFmtId="182" fontId="84" fillId="0" borderId="0" xfId="0" applyNumberFormat="1" applyFont="1" applyFill="1" applyBorder="1" applyAlignment="1">
      <alignment horizontal="right" vertical="center"/>
    </xf>
    <xf numFmtId="0" fontId="84" fillId="0" borderId="57" xfId="0" applyFont="1" applyFill="1" applyBorder="1" applyAlignment="1">
      <alignment horizontal="center" vertical="center"/>
    </xf>
    <xf numFmtId="49" fontId="84" fillId="0" borderId="0" xfId="0" applyNumberFormat="1" applyFont="1" applyFill="1" applyBorder="1" applyAlignment="1">
      <alignment horizontal="left" vertical="center"/>
    </xf>
    <xf numFmtId="3" fontId="84" fillId="0" borderId="97" xfId="0" applyNumberFormat="1" applyFont="1" applyFill="1" applyBorder="1" applyAlignment="1">
      <alignment horizontal="right" vertical="center"/>
    </xf>
    <xf numFmtId="3" fontId="84" fillId="0" borderId="98" xfId="0" applyNumberFormat="1" applyFont="1" applyFill="1" applyBorder="1" applyAlignment="1">
      <alignment horizontal="right" vertical="center"/>
    </xf>
    <xf numFmtId="0" fontId="84" fillId="0" borderId="0" xfId="0" applyNumberFormat="1" applyFont="1" applyFill="1" applyBorder="1" applyAlignment="1">
      <alignment horizontal="right" vertical="center"/>
    </xf>
    <xf numFmtId="49" fontId="84" fillId="0" borderId="32" xfId="0" applyNumberFormat="1" applyFont="1" applyFill="1" applyBorder="1" applyAlignment="1">
      <alignment horizontal="left" vertical="center" wrapText="1"/>
    </xf>
    <xf numFmtId="49" fontId="84" fillId="0" borderId="34" xfId="0" applyNumberFormat="1" applyFont="1" applyFill="1" applyBorder="1" applyAlignment="1">
      <alignment horizontal="left" vertical="center" wrapText="1"/>
    </xf>
    <xf numFmtId="49" fontId="83" fillId="0" borderId="32" xfId="0" applyNumberFormat="1" applyFont="1" applyFill="1" applyBorder="1" applyAlignment="1">
      <alignment horizontal="left" vertical="center" wrapText="1"/>
    </xf>
    <xf numFmtId="49" fontId="83" fillId="0" borderId="34" xfId="0" applyNumberFormat="1" applyFont="1" applyFill="1" applyBorder="1" applyAlignment="1">
      <alignment horizontal="left" vertical="center" wrapText="1"/>
    </xf>
    <xf numFmtId="49" fontId="80" fillId="0" borderId="32" xfId="0" applyNumberFormat="1" applyFont="1" applyFill="1" applyBorder="1" applyAlignment="1">
      <alignment horizontal="left" vertical="center" wrapText="1"/>
    </xf>
    <xf numFmtId="49" fontId="80" fillId="0" borderId="34" xfId="0" applyNumberFormat="1" applyFont="1" applyFill="1" applyBorder="1" applyAlignment="1">
      <alignment horizontal="left" vertical="center" wrapText="1"/>
    </xf>
    <xf numFmtId="49" fontId="91" fillId="0" borderId="70" xfId="0" applyNumberFormat="1" applyFont="1" applyFill="1" applyBorder="1" applyAlignment="1">
      <alignment horizontal="left" vertical="center" wrapText="1"/>
    </xf>
    <xf numFmtId="49" fontId="84" fillId="0" borderId="58" xfId="0" applyNumberFormat="1" applyFont="1" applyFill="1" applyBorder="1" applyAlignment="1">
      <alignment horizontal="left" vertical="center" wrapText="1"/>
    </xf>
    <xf numFmtId="49" fontId="84" fillId="0" borderId="71" xfId="0" applyNumberFormat="1" applyFont="1" applyFill="1" applyBorder="1" applyAlignment="1">
      <alignment horizontal="left" vertical="center" wrapText="1"/>
    </xf>
    <xf numFmtId="49" fontId="87" fillId="0" borderId="0" xfId="0" applyNumberFormat="1" applyFont="1" applyFill="1" applyAlignment="1">
      <alignment horizontal="center" vertical="center"/>
    </xf>
    <xf numFmtId="49" fontId="83" fillId="0" borderId="31" xfId="0" applyNumberFormat="1" applyFont="1" applyFill="1" applyBorder="1" applyAlignment="1">
      <alignment horizontal="left" vertical="center" wrapText="1"/>
    </xf>
    <xf numFmtId="0" fontId="87" fillId="0" borderId="2" xfId="0" applyFont="1" applyFill="1" applyBorder="1" applyAlignment="1">
      <alignment horizontal="center" vertical="center"/>
    </xf>
    <xf numFmtId="49" fontId="2" fillId="0" borderId="7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51" xfId="0" applyNumberFormat="1" applyFont="1" applyFill="1" applyBorder="1" applyAlignment="1">
      <alignment horizontal="left" vertical="center" wrapText="1"/>
    </xf>
    <xf numFmtId="49" fontId="2" fillId="0" borderId="32" xfId="0" applyNumberFormat="1" applyFont="1" applyFill="1" applyBorder="1" applyAlignment="1">
      <alignment horizontal="left" vertical="center" wrapText="1"/>
    </xf>
    <xf numFmtId="49" fontId="2" fillId="0" borderId="34" xfId="0" applyNumberFormat="1" applyFont="1" applyFill="1" applyBorder="1" applyAlignment="1">
      <alignment horizontal="left" vertical="center" wrapText="1"/>
    </xf>
    <xf numFmtId="49" fontId="83" fillId="0" borderId="0" xfId="0" applyNumberFormat="1" applyFont="1" applyFill="1" applyBorder="1" applyAlignment="1">
      <alignment horizontal="left" vertical="center"/>
    </xf>
    <xf numFmtId="3" fontId="84" fillId="0" borderId="33" xfId="0" applyNumberFormat="1" applyFont="1" applyFill="1" applyBorder="1" applyAlignment="1">
      <alignment horizontal="right" vertical="center"/>
    </xf>
    <xf numFmtId="3" fontId="84" fillId="0" borderId="93" xfId="0" applyNumberFormat="1" applyFont="1" applyFill="1" applyBorder="1" applyAlignment="1">
      <alignment horizontal="right" vertical="center"/>
    </xf>
    <xf numFmtId="49" fontId="2" fillId="0" borderId="74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49" fontId="84" fillId="0" borderId="24" xfId="0" applyNumberFormat="1" applyFont="1" applyFill="1" applyBorder="1" applyAlignment="1">
      <alignment horizontal="center" vertical="center"/>
    </xf>
    <xf numFmtId="49" fontId="84" fillId="0" borderId="2" xfId="0" applyNumberFormat="1" applyFont="1" applyFill="1" applyBorder="1" applyAlignment="1">
      <alignment horizontal="center" vertical="center"/>
    </xf>
    <xf numFmtId="49" fontId="84" fillId="0" borderId="6" xfId="0" applyNumberFormat="1" applyFont="1" applyFill="1" applyBorder="1" applyAlignment="1">
      <alignment horizontal="center" vertical="center"/>
    </xf>
    <xf numFmtId="49" fontId="84" fillId="0" borderId="33" xfId="0" applyNumberFormat="1" applyFont="1" applyFill="1" applyBorder="1" applyAlignment="1">
      <alignment horizontal="center" vertical="center"/>
    </xf>
    <xf numFmtId="0" fontId="83" fillId="0" borderId="94" xfId="0" applyFont="1" applyFill="1" applyBorder="1" applyAlignment="1">
      <alignment horizontal="center" vertical="center" wrapText="1"/>
    </xf>
    <xf numFmtId="0" fontId="83" fillId="0" borderId="50" xfId="0" applyFont="1" applyFill="1" applyBorder="1" applyAlignment="1">
      <alignment horizontal="center" vertical="center" wrapText="1"/>
    </xf>
    <xf numFmtId="0" fontId="83" fillId="0" borderId="83" xfId="0" applyFont="1" applyFill="1" applyBorder="1" applyAlignment="1">
      <alignment horizontal="center" vertical="center" wrapText="1"/>
    </xf>
    <xf numFmtId="0" fontId="83" fillId="0" borderId="77" xfId="0" applyFont="1" applyFill="1" applyBorder="1" applyAlignment="1">
      <alignment horizontal="center" vertical="center" wrapText="1"/>
    </xf>
    <xf numFmtId="0" fontId="83" fillId="0" borderId="67" xfId="0" applyFont="1" applyFill="1" applyBorder="1" applyAlignment="1">
      <alignment horizontal="center" vertical="center" wrapText="1"/>
    </xf>
    <xf numFmtId="0" fontId="83" fillId="0" borderId="68" xfId="0" applyFont="1" applyFill="1" applyBorder="1" applyAlignment="1">
      <alignment horizontal="center" vertical="center" wrapText="1"/>
    </xf>
    <xf numFmtId="49" fontId="3" fillId="0" borderId="82" xfId="0" applyNumberFormat="1" applyFont="1" applyFill="1" applyBorder="1" applyAlignment="1">
      <alignment horizontal="center" vertical="center" wrapText="1"/>
    </xf>
    <xf numFmtId="49" fontId="3" fillId="0" borderId="50" xfId="0" applyNumberFormat="1" applyFont="1" applyFill="1" applyBorder="1" applyAlignment="1">
      <alignment horizontal="center" vertical="center" wrapText="1"/>
    </xf>
    <xf numFmtId="49" fontId="3" fillId="0" borderId="66" xfId="0" applyNumberFormat="1" applyFont="1" applyFill="1" applyBorder="1" applyAlignment="1">
      <alignment horizontal="center" vertical="center" wrapText="1"/>
    </xf>
    <xf numFmtId="49" fontId="3" fillId="0" borderId="67" xfId="0" applyNumberFormat="1" applyFont="1" applyFill="1" applyBorder="1" applyAlignment="1">
      <alignment horizontal="center" vertical="center" wrapText="1"/>
    </xf>
    <xf numFmtId="0" fontId="83" fillId="0" borderId="94" xfId="0" applyFont="1" applyFill="1" applyBorder="1" applyAlignment="1">
      <alignment horizontal="center" vertical="center"/>
    </xf>
    <xf numFmtId="0" fontId="83" fillId="0" borderId="50" xfId="0" applyFont="1" applyFill="1" applyBorder="1" applyAlignment="1">
      <alignment horizontal="center" vertical="center"/>
    </xf>
    <xf numFmtId="0" fontId="83" fillId="0" borderId="77" xfId="0" applyFont="1" applyFill="1" applyBorder="1" applyAlignment="1">
      <alignment horizontal="center" vertical="center"/>
    </xf>
    <xf numFmtId="0" fontId="83" fillId="0" borderId="67" xfId="0" applyFont="1" applyFill="1" applyBorder="1" applyAlignment="1">
      <alignment horizontal="center" vertical="center"/>
    </xf>
    <xf numFmtId="0" fontId="83" fillId="0" borderId="94" xfId="0" applyFont="1" applyFill="1" applyBorder="1" applyAlignment="1">
      <alignment horizontal="center" vertical="center" textRotation="90"/>
    </xf>
    <xf numFmtId="0" fontId="83" fillId="0" borderId="50" xfId="0" applyFont="1" applyFill="1" applyBorder="1" applyAlignment="1">
      <alignment horizontal="center" vertical="center" textRotation="90"/>
    </xf>
    <xf numFmtId="0" fontId="83" fillId="0" borderId="87" xfId="0" applyFont="1" applyFill="1" applyBorder="1" applyAlignment="1">
      <alignment horizontal="center" vertical="center" textRotation="90"/>
    </xf>
    <xf numFmtId="0" fontId="83" fillId="0" borderId="77" xfId="0" applyFont="1" applyFill="1" applyBorder="1" applyAlignment="1">
      <alignment horizontal="center" vertical="center" textRotation="90"/>
    </xf>
    <xf numFmtId="0" fontId="83" fillId="0" borderId="67" xfId="0" applyFont="1" applyFill="1" applyBorder="1" applyAlignment="1">
      <alignment horizontal="center" vertical="center" textRotation="90"/>
    </xf>
    <xf numFmtId="0" fontId="83" fillId="0" borderId="78" xfId="0" applyFont="1" applyFill="1" applyBorder="1" applyAlignment="1">
      <alignment horizontal="center" vertical="center" textRotation="90"/>
    </xf>
    <xf numFmtId="0" fontId="83" fillId="0" borderId="87" xfId="0" applyFont="1" applyFill="1" applyBorder="1" applyAlignment="1">
      <alignment horizontal="center" vertical="center" wrapText="1"/>
    </xf>
    <xf numFmtId="0" fontId="83" fillId="0" borderId="78" xfId="0" applyFont="1" applyFill="1" applyBorder="1" applyAlignment="1">
      <alignment horizontal="center" vertical="center" wrapText="1"/>
    </xf>
    <xf numFmtId="0" fontId="81" fillId="0" borderId="2" xfId="0" applyNumberFormat="1" applyFont="1" applyFill="1" applyBorder="1" applyAlignment="1" applyProtection="1">
      <alignment horizontal="left" vertical="center"/>
    </xf>
    <xf numFmtId="0" fontId="80" fillId="0" borderId="1" xfId="0" applyFont="1" applyFill="1" applyBorder="1" applyAlignment="1">
      <alignment horizontal="center" vertical="center"/>
    </xf>
    <xf numFmtId="49" fontId="89" fillId="0" borderId="0" xfId="0" applyNumberFormat="1" applyFont="1" applyFill="1" applyAlignment="1">
      <alignment horizontal="center" vertical="center"/>
    </xf>
    <xf numFmtId="0" fontId="83" fillId="0" borderId="2" xfId="0" applyFont="1" applyFill="1" applyBorder="1" applyAlignment="1">
      <alignment horizontal="left" vertical="center"/>
    </xf>
    <xf numFmtId="0" fontId="80" fillId="0" borderId="2" xfId="0" applyFont="1" applyFill="1" applyBorder="1" applyAlignment="1">
      <alignment horizontal="center" vertical="center"/>
    </xf>
    <xf numFmtId="0" fontId="121" fillId="0" borderId="0" xfId="0" applyFont="1" applyFill="1" applyAlignment="1">
      <alignment horizontal="center" vertical="center"/>
    </xf>
    <xf numFmtId="0" fontId="84" fillId="0" borderId="29" xfId="0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84" fillId="0" borderId="5" xfId="0" applyFont="1" applyFill="1" applyBorder="1" applyAlignment="1">
      <alignment horizontal="center" vertical="center" wrapText="1"/>
    </xf>
    <xf numFmtId="0" fontId="84" fillId="0" borderId="24" xfId="0" applyFont="1" applyFill="1" applyBorder="1" applyAlignment="1">
      <alignment horizontal="center" vertical="center" wrapText="1"/>
    </xf>
    <xf numFmtId="0" fontId="84" fillId="0" borderId="2" xfId="0" applyFont="1" applyFill="1" applyBorder="1" applyAlignment="1">
      <alignment horizontal="center" vertical="center" wrapText="1"/>
    </xf>
    <xf numFmtId="0" fontId="84" fillId="0" borderId="6" xfId="0" applyFont="1" applyFill="1" applyBorder="1" applyAlignment="1">
      <alignment horizontal="center" vertical="center" wrapText="1"/>
    </xf>
    <xf numFmtId="0" fontId="80" fillId="0" borderId="32" xfId="0" applyFont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0" fillId="0" borderId="31" xfId="0" applyFont="1" applyBorder="1" applyAlignment="1">
      <alignment horizontal="center" vertical="center" wrapText="1"/>
    </xf>
    <xf numFmtId="0" fontId="80" fillId="0" borderId="32" xfId="0" applyFont="1" applyBorder="1" applyAlignment="1">
      <alignment horizontal="center" vertical="center" wrapText="1"/>
    </xf>
    <xf numFmtId="0" fontId="80" fillId="0" borderId="34" xfId="0" applyFont="1" applyBorder="1" applyAlignment="1">
      <alignment horizontal="center" vertical="center" wrapText="1"/>
    </xf>
    <xf numFmtId="0" fontId="89" fillId="0" borderId="0" xfId="0" applyFont="1" applyAlignment="1">
      <alignment horizontal="center" vertical="center"/>
    </xf>
    <xf numFmtId="0" fontId="80" fillId="0" borderId="2" xfId="0" applyFont="1" applyBorder="1" applyAlignment="1">
      <alignment horizontal="left" vertical="center"/>
    </xf>
    <xf numFmtId="0" fontId="81" fillId="0" borderId="2" xfId="0" applyNumberFormat="1" applyFont="1" applyBorder="1" applyAlignment="1">
      <alignment horizontal="left" vertical="center"/>
    </xf>
    <xf numFmtId="0" fontId="83" fillId="0" borderId="2" xfId="0" applyNumberFormat="1" applyFont="1" applyBorder="1" applyAlignment="1">
      <alignment horizontal="left" vertical="center"/>
    </xf>
    <xf numFmtId="0" fontId="125" fillId="0" borderId="32" xfId="0" applyFont="1" applyBorder="1" applyAlignment="1">
      <alignment horizontal="center" vertical="center"/>
    </xf>
    <xf numFmtId="0" fontId="125" fillId="0" borderId="34" xfId="0" applyFont="1" applyBorder="1" applyAlignment="1">
      <alignment horizontal="center" vertical="center"/>
    </xf>
    <xf numFmtId="0" fontId="84" fillId="0" borderId="31" xfId="0" applyFont="1" applyBorder="1" applyAlignment="1">
      <alignment horizontal="center" vertical="center" textRotation="90" wrapText="1"/>
    </xf>
    <xf numFmtId="0" fontId="84" fillId="0" borderId="32" xfId="0" applyFont="1" applyBorder="1" applyAlignment="1">
      <alignment horizontal="center" vertical="center" textRotation="90" wrapText="1"/>
    </xf>
    <xf numFmtId="0" fontId="84" fillId="0" borderId="34" xfId="0" applyFont="1" applyBorder="1" applyAlignment="1">
      <alignment horizontal="center" vertical="center" textRotation="90" wrapText="1"/>
    </xf>
    <xf numFmtId="0" fontId="80" fillId="0" borderId="31" xfId="0" applyFont="1" applyBorder="1" applyAlignment="1">
      <alignment horizontal="center" vertical="center" textRotation="90" wrapText="1"/>
    </xf>
    <xf numFmtId="0" fontId="80" fillId="0" borderId="32" xfId="0" applyFont="1" applyBorder="1" applyAlignment="1">
      <alignment horizontal="center" vertical="center" textRotation="90" wrapText="1"/>
    </xf>
    <xf numFmtId="0" fontId="80" fillId="0" borderId="34" xfId="0" applyFont="1" applyBorder="1" applyAlignment="1">
      <alignment horizontal="center" vertical="center" textRotation="90" wrapText="1"/>
    </xf>
    <xf numFmtId="0" fontId="83" fillId="0" borderId="3" xfId="0" applyFont="1" applyBorder="1" applyAlignment="1">
      <alignment horizontal="center" vertical="center"/>
    </xf>
    <xf numFmtId="0" fontId="84" fillId="0" borderId="29" xfId="0" applyFont="1" applyBorder="1" applyAlignment="1">
      <alignment horizontal="center" vertical="center" textRotation="90"/>
    </xf>
    <xf numFmtId="0" fontId="84" fillId="0" borderId="5" xfId="0" applyFont="1" applyBorder="1" applyAlignment="1">
      <alignment horizontal="center" vertical="center" textRotation="90"/>
    </xf>
    <xf numFmtId="0" fontId="84" fillId="0" borderId="24" xfId="0" applyFont="1" applyBorder="1" applyAlignment="1">
      <alignment horizontal="center" vertical="center" textRotation="90"/>
    </xf>
    <xf numFmtId="0" fontId="84" fillId="0" borderId="6" xfId="0" applyFont="1" applyBorder="1" applyAlignment="1">
      <alignment horizontal="center" vertical="center" textRotation="90"/>
    </xf>
    <xf numFmtId="0" fontId="84" fillId="0" borderId="3" xfId="0" applyFont="1" applyBorder="1" applyAlignment="1">
      <alignment horizontal="center" vertical="center"/>
    </xf>
    <xf numFmtId="3" fontId="84" fillId="0" borderId="3" xfId="0" applyNumberFormat="1" applyFont="1" applyBorder="1" applyAlignment="1">
      <alignment horizontal="center" vertical="center"/>
    </xf>
    <xf numFmtId="3" fontId="91" fillId="0" borderId="3" xfId="0" applyNumberFormat="1" applyFont="1" applyBorder="1" applyAlignment="1">
      <alignment horizontal="right" vertical="center"/>
    </xf>
    <xf numFmtId="3" fontId="86" fillId="0" borderId="3" xfId="0" applyNumberFormat="1" applyFont="1" applyBorder="1" applyAlignment="1">
      <alignment horizontal="right" vertical="center"/>
    </xf>
    <xf numFmtId="0" fontId="80" fillId="0" borderId="31" xfId="0" applyFont="1" applyBorder="1" applyAlignment="1">
      <alignment horizontal="center" vertical="center"/>
    </xf>
    <xf numFmtId="0" fontId="80" fillId="0" borderId="34" xfId="0" applyFont="1" applyBorder="1" applyAlignment="1">
      <alignment horizontal="center" vertical="center"/>
    </xf>
    <xf numFmtId="0" fontId="84" fillId="0" borderId="29" xfId="0" applyFont="1" applyBorder="1" applyAlignment="1">
      <alignment horizontal="center" vertical="center" textRotation="90" wrapText="1"/>
    </xf>
    <xf numFmtId="0" fontId="84" fillId="0" borderId="1" xfId="0" applyFont="1" applyBorder="1" applyAlignment="1">
      <alignment horizontal="center" vertical="center" textRotation="90" wrapText="1"/>
    </xf>
    <xf numFmtId="0" fontId="84" fillId="0" borderId="5" xfId="0" applyFont="1" applyBorder="1" applyAlignment="1">
      <alignment horizontal="center" vertical="center" textRotation="90" wrapText="1"/>
    </xf>
    <xf numFmtId="0" fontId="84" fillId="0" borderId="24" xfId="0" applyFont="1" applyBorder="1" applyAlignment="1">
      <alignment horizontal="center" vertical="center" textRotation="90" wrapText="1"/>
    </xf>
    <xf numFmtId="0" fontId="84" fillId="0" borderId="2" xfId="0" applyFont="1" applyBorder="1" applyAlignment="1">
      <alignment horizontal="center" vertical="center" textRotation="90" wrapText="1"/>
    </xf>
    <xf numFmtId="0" fontId="84" fillId="0" borderId="6" xfId="0" applyFont="1" applyBorder="1" applyAlignment="1">
      <alignment horizontal="center" vertical="center" textRotation="90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71" fontId="4" fillId="0" borderId="15" xfId="0" applyNumberFormat="1" applyFont="1" applyBorder="1" applyAlignment="1">
      <alignment horizontal="center" vertical="center"/>
    </xf>
    <xf numFmtId="49" fontId="66" fillId="0" borderId="3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66" fillId="0" borderId="3" xfId="0" applyNumberFormat="1" applyFont="1" applyBorder="1" applyAlignment="1">
      <alignment horizontal="center" vertical="center" wrapText="1"/>
    </xf>
    <xf numFmtId="49" fontId="57" fillId="0" borderId="3" xfId="0" applyNumberFormat="1" applyFont="1" applyBorder="1" applyAlignment="1">
      <alignment horizontal="center" vertical="center" wrapText="1"/>
    </xf>
    <xf numFmtId="49" fontId="57" fillId="0" borderId="31" xfId="0" applyNumberFormat="1" applyFont="1" applyBorder="1" applyAlignment="1">
      <alignment horizontal="center" vertical="center" wrapText="1"/>
    </xf>
    <xf numFmtId="49" fontId="57" fillId="0" borderId="32" xfId="0" applyNumberFormat="1" applyFont="1" applyBorder="1" applyAlignment="1">
      <alignment horizontal="center" vertical="center" wrapText="1"/>
    </xf>
    <xf numFmtId="49" fontId="57" fillId="0" borderId="34" xfId="0" applyNumberFormat="1" applyFont="1" applyBorder="1" applyAlignment="1">
      <alignment horizontal="center" vertical="center" wrapText="1"/>
    </xf>
    <xf numFmtId="49" fontId="66" fillId="0" borderId="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center" vertical="center"/>
    </xf>
    <xf numFmtId="171" fontId="7" fillId="0" borderId="1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right" vertical="center" wrapText="1"/>
    </xf>
    <xf numFmtId="0" fontId="57" fillId="0" borderId="31" xfId="0" applyNumberFormat="1" applyFont="1" applyBorder="1" applyAlignment="1">
      <alignment horizontal="center" vertical="center" wrapText="1"/>
    </xf>
    <xf numFmtId="0" fontId="57" fillId="0" borderId="32" xfId="0" applyNumberFormat="1" applyFont="1" applyBorder="1" applyAlignment="1">
      <alignment horizontal="center" vertical="center" wrapText="1"/>
    </xf>
    <xf numFmtId="0" fontId="57" fillId="0" borderId="34" xfId="0" applyNumberFormat="1" applyFont="1" applyBorder="1" applyAlignment="1">
      <alignment horizontal="center" vertical="center" wrapText="1"/>
    </xf>
    <xf numFmtId="49" fontId="57" fillId="0" borderId="3" xfId="0" applyNumberFormat="1" applyFont="1" applyBorder="1" applyAlignment="1">
      <alignment horizontal="left" vertical="center" wrapText="1"/>
    </xf>
    <xf numFmtId="171" fontId="4" fillId="0" borderId="15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3" fontId="57" fillId="0" borderId="3" xfId="0" applyNumberFormat="1" applyFont="1" applyBorder="1" applyAlignment="1">
      <alignment horizontal="right" vertical="center" wrapText="1"/>
    </xf>
    <xf numFmtId="0" fontId="57" fillId="0" borderId="0" xfId="0" applyFont="1" applyBorder="1" applyAlignment="1">
      <alignment horizontal="center" vertical="center"/>
    </xf>
    <xf numFmtId="49" fontId="66" fillId="0" borderId="31" xfId="0" applyNumberFormat="1" applyFont="1" applyBorder="1" applyAlignment="1">
      <alignment horizontal="center" vertical="center" wrapText="1"/>
    </xf>
    <xf numFmtId="49" fontId="66" fillId="0" borderId="32" xfId="0" applyNumberFormat="1" applyFont="1" applyBorder="1" applyAlignment="1">
      <alignment horizontal="center" vertical="center" wrapText="1"/>
    </xf>
    <xf numFmtId="49" fontId="66" fillId="0" borderId="34" xfId="0" applyNumberFormat="1" applyFont="1" applyBorder="1" applyAlignment="1">
      <alignment horizontal="center" vertical="center" wrapText="1"/>
    </xf>
    <xf numFmtId="49" fontId="57" fillId="0" borderId="31" xfId="0" applyNumberFormat="1" applyFont="1" applyBorder="1" applyAlignment="1">
      <alignment horizontal="left" vertical="center" wrapText="1"/>
    </xf>
    <xf numFmtId="49" fontId="57" fillId="0" borderId="32" xfId="0" applyNumberFormat="1" applyFont="1" applyBorder="1" applyAlignment="1">
      <alignment horizontal="left" vertical="center" wrapText="1"/>
    </xf>
    <xf numFmtId="49" fontId="57" fillId="0" borderId="34" xfId="0" applyNumberFormat="1" applyFont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124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2" fillId="0" borderId="10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textRotation="90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24" xfId="0" applyNumberFormat="1" applyFont="1" applyBorder="1" applyAlignment="1">
      <alignment horizontal="center" vertical="center" textRotation="90" wrapText="1"/>
    </xf>
    <xf numFmtId="49" fontId="3" fillId="0" borderId="2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1" fontId="4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175" fontId="2" fillId="0" borderId="2" xfId="0" applyNumberFormat="1" applyFont="1" applyBorder="1" applyAlignment="1">
      <alignment horizontal="center" vertical="center"/>
    </xf>
    <xf numFmtId="3" fontId="2" fillId="0" borderId="3" xfId="1" applyNumberFormat="1" applyFont="1" applyBorder="1" applyAlignment="1">
      <alignment horizontal="right" vertical="center"/>
    </xf>
    <xf numFmtId="0" fontId="7" fillId="0" borderId="2" xfId="0" applyNumberFormat="1" applyFont="1" applyBorder="1" applyAlignment="1">
      <alignment horizontal="center" vertical="center"/>
    </xf>
    <xf numFmtId="171" fontId="7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" fontId="2" fillId="0" borderId="3" xfId="0" applyNumberFormat="1" applyFont="1" applyBorder="1" applyAlignment="1">
      <alignment horizontal="center" vertical="center"/>
    </xf>
    <xf numFmtId="49" fontId="58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/>
    </xf>
    <xf numFmtId="3" fontId="66" fillId="0" borderId="3" xfId="1" applyNumberFormat="1" applyFont="1" applyBorder="1" applyAlignment="1">
      <alignment horizontal="right" vertical="center"/>
    </xf>
    <xf numFmtId="3" fontId="66" fillId="0" borderId="91" xfId="1" applyNumberFormat="1" applyFont="1" applyBorder="1" applyAlignment="1">
      <alignment horizontal="right" vertical="center"/>
    </xf>
    <xf numFmtId="49" fontId="107" fillId="0" borderId="74" xfId="0" applyNumberFormat="1" applyFont="1" applyBorder="1" applyAlignment="1">
      <alignment horizontal="center" vertical="center"/>
    </xf>
    <xf numFmtId="49" fontId="107" fillId="0" borderId="33" xfId="0" applyNumberFormat="1" applyFont="1" applyBorder="1" applyAlignment="1">
      <alignment horizontal="center" vertical="center"/>
    </xf>
    <xf numFmtId="0" fontId="66" fillId="0" borderId="3" xfId="0" applyFont="1" applyBorder="1" applyAlignment="1">
      <alignment horizontal="justify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3" fontId="2" fillId="0" borderId="3" xfId="1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7" fillId="0" borderId="72" xfId="0" applyNumberFormat="1" applyFont="1" applyBorder="1" applyAlignment="1">
      <alignment horizontal="center" vertical="center"/>
    </xf>
    <xf numFmtId="49" fontId="107" fillId="0" borderId="3" xfId="0" applyNumberFormat="1" applyFont="1" applyBorder="1" applyAlignment="1">
      <alignment horizontal="center" vertical="center"/>
    </xf>
    <xf numFmtId="0" fontId="66" fillId="0" borderId="76" xfId="0" applyFont="1" applyBorder="1" applyAlignment="1">
      <alignment horizontal="justify" vertical="center"/>
    </xf>
    <xf numFmtId="0" fontId="66" fillId="0" borderId="31" xfId="0" applyFont="1" applyBorder="1" applyAlignment="1">
      <alignment horizontal="left" vertical="center" wrapText="1"/>
    </xf>
    <xf numFmtId="0" fontId="66" fillId="0" borderId="32" xfId="0" applyFont="1" applyBorder="1" applyAlignment="1">
      <alignment horizontal="left" vertical="center" wrapText="1"/>
    </xf>
    <xf numFmtId="0" fontId="66" fillId="0" borderId="34" xfId="0" applyFont="1" applyBorder="1" applyAlignment="1">
      <alignment horizontal="left" vertical="center" wrapText="1"/>
    </xf>
    <xf numFmtId="49" fontId="58" fillId="0" borderId="76" xfId="0" applyNumberFormat="1" applyFont="1" applyBorder="1" applyAlignment="1">
      <alignment horizontal="center" vertical="center"/>
    </xf>
    <xf numFmtId="3" fontId="66" fillId="0" borderId="76" xfId="1" applyNumberFormat="1" applyFont="1" applyBorder="1" applyAlignment="1">
      <alignment horizontal="right" vertical="center"/>
    </xf>
    <xf numFmtId="3" fontId="66" fillId="0" borderId="96" xfId="1" applyNumberFormat="1" applyFont="1" applyBorder="1" applyAlignment="1">
      <alignment horizontal="right" vertical="center"/>
    </xf>
    <xf numFmtId="49" fontId="2" fillId="0" borderId="48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66" fillId="0" borderId="3" xfId="0" applyNumberFormat="1" applyFont="1" applyBorder="1" applyAlignment="1">
      <alignment horizontal="justify" vertical="center"/>
    </xf>
    <xf numFmtId="49" fontId="66" fillId="0" borderId="31" xfId="0" applyNumberFormat="1" applyFont="1" applyBorder="1" applyAlignment="1">
      <alignment horizontal="left" vertical="center" wrapText="1"/>
    </xf>
    <xf numFmtId="49" fontId="54" fillId="0" borderId="3" xfId="0" applyNumberFormat="1" applyFont="1" applyBorder="1" applyAlignment="1">
      <alignment horizontal="center" vertical="center"/>
    </xf>
    <xf numFmtId="49" fontId="107" fillId="0" borderId="51" xfId="0" applyNumberFormat="1" applyFont="1" applyBorder="1" applyAlignment="1">
      <alignment horizontal="center" vertical="center"/>
    </xf>
    <xf numFmtId="49" fontId="107" fillId="0" borderId="34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3" fontId="2" fillId="0" borderId="91" xfId="1" applyNumberFormat="1" applyFont="1" applyBorder="1" applyAlignment="1">
      <alignment horizontal="right" vertical="center"/>
    </xf>
    <xf numFmtId="0" fontId="10" fillId="0" borderId="122" xfId="0" applyFont="1" applyBorder="1" applyAlignment="1">
      <alignment horizontal="center" vertical="center"/>
    </xf>
    <xf numFmtId="0" fontId="10" fillId="0" borderId="123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/>
    </xf>
    <xf numFmtId="0" fontId="10" fillId="0" borderId="98" xfId="0" applyFont="1" applyBorder="1" applyAlignment="1">
      <alignment horizontal="center" vertical="center"/>
    </xf>
    <xf numFmtId="0" fontId="10" fillId="0" borderId="91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49" fontId="10" fillId="0" borderId="75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1" fillId="0" borderId="76" xfId="0" applyNumberFormat="1" applyFont="1" applyBorder="1" applyAlignment="1">
      <alignment horizontal="center" vertical="center"/>
    </xf>
    <xf numFmtId="3" fontId="2" fillId="0" borderId="76" xfId="1" applyNumberFormat="1" applyFont="1" applyBorder="1" applyAlignment="1">
      <alignment horizontal="right" vertical="center"/>
    </xf>
    <xf numFmtId="3" fontId="2" fillId="0" borderId="96" xfId="1" applyNumberFormat="1" applyFont="1" applyBorder="1" applyAlignment="1">
      <alignment horizontal="right" vertical="center"/>
    </xf>
    <xf numFmtId="49" fontId="55" fillId="0" borderId="3" xfId="0" applyNumberFormat="1" applyFont="1" applyBorder="1" applyAlignment="1">
      <alignment horizontal="center" vertical="center"/>
    </xf>
    <xf numFmtId="3" fontId="57" fillId="0" borderId="3" xfId="1" applyNumberFormat="1" applyFont="1" applyBorder="1" applyAlignment="1">
      <alignment horizontal="right" vertical="center"/>
    </xf>
    <xf numFmtId="3" fontId="57" fillId="0" borderId="91" xfId="1" applyNumberFormat="1" applyFont="1" applyBorder="1" applyAlignment="1">
      <alignment horizontal="right" vertical="center"/>
    </xf>
    <xf numFmtId="0" fontId="21" fillId="0" borderId="31" xfId="0" applyFont="1" applyBorder="1" applyAlignment="1">
      <alignment horizontal="left" vertical="center" wrapText="1"/>
    </xf>
    <xf numFmtId="0" fontId="21" fillId="0" borderId="32" xfId="0" applyFont="1" applyBorder="1" applyAlignment="1">
      <alignment horizontal="left" vertical="center" wrapText="1"/>
    </xf>
    <xf numFmtId="0" fontId="21" fillId="0" borderId="3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0" fillId="0" borderId="72" xfId="0" applyFont="1" applyBorder="1" applyAlignment="1">
      <alignment horizontal="center" vertical="center"/>
    </xf>
    <xf numFmtId="0" fontId="3" fillId="0" borderId="48" xfId="0" applyFont="1" applyBorder="1" applyAlignment="1">
      <alignment horizontal="justify" vertical="center"/>
    </xf>
    <xf numFmtId="0" fontId="2" fillId="0" borderId="33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71" fontId="7" fillId="0" borderId="2" xfId="0" applyNumberFormat="1" applyFont="1" applyBorder="1" applyAlignment="1">
      <alignment horizontal="left" vertical="center"/>
    </xf>
    <xf numFmtId="171" fontId="7" fillId="0" borderId="2" xfId="0" applyNumberFormat="1" applyFont="1" applyBorder="1" applyAlignment="1">
      <alignment horizontal="center" vertical="center"/>
    </xf>
    <xf numFmtId="171" fontId="7" fillId="0" borderId="2" xfId="1" applyNumberFormat="1" applyFont="1" applyBorder="1" applyAlignment="1">
      <alignment horizontal="left" vertical="center"/>
    </xf>
    <xf numFmtId="49" fontId="107" fillId="0" borderId="75" xfId="0" applyNumberFormat="1" applyFont="1" applyBorder="1" applyAlignment="1">
      <alignment horizontal="center" vertical="center"/>
    </xf>
    <xf numFmtId="49" fontId="107" fillId="0" borderId="76" xfId="0" applyNumberFormat="1" applyFont="1" applyBorder="1" applyAlignment="1">
      <alignment horizontal="center" vertical="center"/>
    </xf>
    <xf numFmtId="49" fontId="2" fillId="0" borderId="73" xfId="0" applyNumberFormat="1" applyFont="1" applyFill="1" applyBorder="1" applyAlignment="1">
      <alignment horizontal="center" vertical="center"/>
    </xf>
    <xf numFmtId="49" fontId="2" fillId="0" borderId="48" xfId="0" applyNumberFormat="1" applyFont="1" applyFill="1" applyBorder="1" applyAlignment="1">
      <alignment horizontal="center" vertical="center"/>
    </xf>
    <xf numFmtId="3" fontId="84" fillId="0" borderId="31" xfId="0" applyNumberFormat="1" applyFont="1" applyFill="1" applyBorder="1" applyAlignment="1">
      <alignment horizontal="right" vertical="center"/>
    </xf>
    <xf numFmtId="3" fontId="84" fillId="0" borderId="32" xfId="0" applyNumberFormat="1" applyFont="1" applyFill="1" applyBorder="1" applyAlignment="1">
      <alignment horizontal="right" vertical="center"/>
    </xf>
    <xf numFmtId="3" fontId="84" fillId="0" borderId="34" xfId="0" applyNumberFormat="1" applyFont="1" applyFill="1" applyBorder="1" applyAlignment="1">
      <alignment horizontal="right" vertical="center"/>
    </xf>
    <xf numFmtId="3" fontId="84" fillId="0" borderId="80" xfId="0" applyNumberFormat="1" applyFont="1" applyFill="1" applyBorder="1" applyAlignment="1">
      <alignment horizontal="right" vertical="center"/>
    </xf>
    <xf numFmtId="49" fontId="2" fillId="0" borderId="122" xfId="0" applyNumberFormat="1" applyFont="1" applyFill="1" applyBorder="1" applyAlignment="1">
      <alignment horizontal="center" vertical="center"/>
    </xf>
    <xf numFmtId="49" fontId="2" fillId="0" borderId="123" xfId="0" applyNumberFormat="1" applyFont="1" applyFill="1" applyBorder="1" applyAlignment="1">
      <alignment horizontal="center" vertical="center"/>
    </xf>
    <xf numFmtId="49" fontId="84" fillId="0" borderId="94" xfId="0" applyNumberFormat="1" applyFont="1" applyFill="1" applyBorder="1" applyAlignment="1">
      <alignment horizontal="center" vertical="center"/>
    </xf>
    <xf numFmtId="49" fontId="84" fillId="0" borderId="50" xfId="0" applyNumberFormat="1" applyFont="1" applyFill="1" applyBorder="1" applyAlignment="1">
      <alignment horizontal="center" vertical="center"/>
    </xf>
    <xf numFmtId="49" fontId="84" fillId="0" borderId="87" xfId="0" applyNumberFormat="1" applyFont="1" applyFill="1" applyBorder="1" applyAlignment="1">
      <alignment horizontal="center" vertical="center"/>
    </xf>
    <xf numFmtId="3" fontId="84" fillId="0" borderId="94" xfId="0" applyNumberFormat="1" applyFont="1" applyFill="1" applyBorder="1" applyAlignment="1">
      <alignment horizontal="right" vertical="center"/>
    </xf>
    <xf numFmtId="3" fontId="84" fillId="0" borderId="50" xfId="0" applyNumberFormat="1" applyFont="1" applyFill="1" applyBorder="1" applyAlignment="1">
      <alignment horizontal="right" vertical="center"/>
    </xf>
    <xf numFmtId="3" fontId="84" fillId="0" borderId="87" xfId="0" applyNumberFormat="1" applyFont="1" applyFill="1" applyBorder="1" applyAlignment="1">
      <alignment horizontal="right" vertical="center"/>
    </xf>
    <xf numFmtId="3" fontId="84" fillId="0" borderId="24" xfId="0" applyNumberFormat="1" applyFont="1" applyFill="1" applyBorder="1" applyAlignment="1">
      <alignment horizontal="right" vertical="center"/>
    </xf>
    <xf numFmtId="3" fontId="84" fillId="0" borderId="2" xfId="0" applyNumberFormat="1" applyFont="1" applyFill="1" applyBorder="1" applyAlignment="1">
      <alignment horizontal="right" vertical="center"/>
    </xf>
    <xf numFmtId="3" fontId="84" fillId="0" borderId="6" xfId="0" applyNumberFormat="1" applyFont="1" applyFill="1" applyBorder="1" applyAlignment="1">
      <alignment horizontal="right" vertical="center"/>
    </xf>
    <xf numFmtId="3" fontId="84" fillId="0" borderId="83" xfId="0" applyNumberFormat="1" applyFont="1" applyFill="1" applyBorder="1" applyAlignment="1">
      <alignment horizontal="right" vertical="center"/>
    </xf>
    <xf numFmtId="3" fontId="84" fillId="0" borderId="63" xfId="0" applyNumberFormat="1" applyFont="1" applyFill="1" applyBorder="1" applyAlignment="1">
      <alignment horizontal="right" vertical="center"/>
    </xf>
    <xf numFmtId="0" fontId="83" fillId="0" borderId="70" xfId="0" applyFont="1" applyFill="1" applyBorder="1" applyAlignment="1">
      <alignment horizontal="center" vertical="center" wrapText="1"/>
    </xf>
    <xf numFmtId="0" fontId="83" fillId="0" borderId="58" xfId="0" applyFont="1" applyFill="1" applyBorder="1" applyAlignment="1">
      <alignment horizontal="center" vertical="center" wrapText="1"/>
    </xf>
    <xf numFmtId="0" fontId="83" fillId="0" borderId="59" xfId="0" applyFont="1" applyFill="1" applyBorder="1" applyAlignment="1">
      <alignment horizontal="center" vertical="center" wrapText="1"/>
    </xf>
    <xf numFmtId="0" fontId="147" fillId="0" borderId="94" xfId="0" applyFont="1" applyFill="1" applyBorder="1" applyAlignment="1">
      <alignment horizontal="center" vertical="center" wrapText="1"/>
    </xf>
    <xf numFmtId="0" fontId="147" fillId="0" borderId="50" xfId="0" applyFont="1" applyFill="1" applyBorder="1" applyAlignment="1">
      <alignment horizontal="center" vertical="center" wrapText="1"/>
    </xf>
    <xf numFmtId="0" fontId="147" fillId="0" borderId="87" xfId="0" applyFont="1" applyFill="1" applyBorder="1" applyAlignment="1">
      <alignment horizontal="center" vertical="center" wrapText="1"/>
    </xf>
    <xf numFmtId="0" fontId="147" fillId="0" borderId="77" xfId="0" applyFont="1" applyFill="1" applyBorder="1" applyAlignment="1">
      <alignment horizontal="center" vertical="center" wrapText="1"/>
    </xf>
    <xf numFmtId="0" fontId="147" fillId="0" borderId="67" xfId="0" applyFont="1" applyFill="1" applyBorder="1" applyAlignment="1">
      <alignment horizontal="center" vertical="center" wrapText="1"/>
    </xf>
    <xf numFmtId="0" fontId="147" fillId="0" borderId="78" xfId="0" applyFont="1" applyFill="1" applyBorder="1" applyAlignment="1">
      <alignment horizontal="center" vertical="center" wrapText="1"/>
    </xf>
    <xf numFmtId="0" fontId="121" fillId="0" borderId="0" xfId="0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left" vertical="center"/>
    </xf>
    <xf numFmtId="167" fontId="2" fillId="0" borderId="32" xfId="1" applyNumberFormat="1" applyFont="1" applyFill="1" applyBorder="1" applyAlignment="1">
      <alignment horizontal="center" vertical="center"/>
    </xf>
    <xf numFmtId="167" fontId="2" fillId="0" borderId="34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164" fontId="2" fillId="0" borderId="32" xfId="1" applyNumberFormat="1" applyFont="1" applyFill="1" applyBorder="1" applyAlignment="1">
      <alignment horizontal="center" vertical="center"/>
    </xf>
    <xf numFmtId="164" fontId="2" fillId="0" borderId="34" xfId="1" applyNumberFormat="1" applyFont="1" applyFill="1" applyBorder="1" applyAlignment="1">
      <alignment horizontal="center" vertical="center"/>
    </xf>
    <xf numFmtId="49" fontId="2" fillId="0" borderId="107" xfId="0" applyNumberFormat="1" applyFont="1" applyFill="1" applyBorder="1" applyAlignment="1">
      <alignment horizontal="center" vertical="center"/>
    </xf>
    <xf numFmtId="49" fontId="2" fillId="0" borderId="111" xfId="0" applyNumberFormat="1" applyFont="1" applyFill="1" applyBorder="1" applyAlignment="1">
      <alignment horizontal="center" vertical="center"/>
    </xf>
    <xf numFmtId="49" fontId="2" fillId="0" borderId="108" xfId="0" applyNumberFormat="1" applyFont="1" applyFill="1" applyBorder="1" applyAlignment="1">
      <alignment horizontal="center" vertical="center"/>
    </xf>
    <xf numFmtId="164" fontId="2" fillId="0" borderId="109" xfId="1" applyNumberFormat="1" applyFont="1" applyFill="1" applyBorder="1" applyAlignment="1">
      <alignment horizontal="center" vertical="center"/>
    </xf>
    <xf numFmtId="164" fontId="2" fillId="0" borderId="110" xfId="1" applyNumberFormat="1" applyFont="1" applyFill="1" applyBorder="1" applyAlignment="1">
      <alignment horizontal="center" vertical="center"/>
    </xf>
    <xf numFmtId="164" fontId="2" fillId="0" borderId="13" xfId="1" applyNumberFormat="1" applyFont="1" applyFill="1" applyBorder="1" applyAlignment="1">
      <alignment horizontal="center" vertical="center"/>
    </xf>
    <xf numFmtId="164" fontId="2" fillId="0" borderId="14" xfId="1" applyNumberFormat="1" applyFont="1" applyFill="1" applyBorder="1" applyAlignment="1">
      <alignment horizontal="center" vertical="center"/>
    </xf>
    <xf numFmtId="164" fontId="2" fillId="0" borderId="35" xfId="1" applyNumberFormat="1" applyFont="1" applyFill="1" applyBorder="1" applyAlignment="1">
      <alignment horizontal="center" vertical="center"/>
    </xf>
    <xf numFmtId="164" fontId="2" fillId="0" borderId="36" xfId="1" applyNumberFormat="1" applyFont="1" applyFill="1" applyBorder="1" applyAlignment="1">
      <alignment horizontal="center" vertical="center"/>
    </xf>
    <xf numFmtId="49" fontId="2" fillId="0" borderId="107" xfId="0" applyNumberFormat="1" applyFont="1" applyFill="1" applyBorder="1" applyAlignment="1">
      <alignment horizontal="left" vertical="center"/>
    </xf>
    <xf numFmtId="49" fontId="2" fillId="0" borderId="111" xfId="0" applyNumberFormat="1" applyFont="1" applyFill="1" applyBorder="1" applyAlignment="1">
      <alignment horizontal="left" vertical="center"/>
    </xf>
    <xf numFmtId="49" fontId="2" fillId="0" borderId="108" xfId="0" applyNumberFormat="1" applyFont="1" applyFill="1" applyBorder="1" applyAlignment="1">
      <alignment horizontal="left" vertical="center"/>
    </xf>
    <xf numFmtId="176" fontId="53" fillId="0" borderId="1" xfId="0" applyNumberFormat="1" applyFont="1" applyFill="1" applyBorder="1" applyAlignment="1">
      <alignment horizontal="center" vertical="center"/>
    </xf>
    <xf numFmtId="176" fontId="53" fillId="0" borderId="5" xfId="0" applyNumberFormat="1" applyFont="1" applyFill="1" applyBorder="1" applyAlignment="1">
      <alignment horizontal="center" vertical="center"/>
    </xf>
    <xf numFmtId="176" fontId="53" fillId="0" borderId="2" xfId="0" applyNumberFormat="1" applyFont="1" applyFill="1" applyBorder="1" applyAlignment="1">
      <alignment horizontal="center" vertical="center"/>
    </xf>
    <xf numFmtId="176" fontId="53" fillId="0" borderId="6" xfId="0" applyNumberFormat="1" applyFont="1" applyFill="1" applyBorder="1" applyAlignment="1">
      <alignment horizontal="center" vertical="center"/>
    </xf>
    <xf numFmtId="0" fontId="2" fillId="0" borderId="112" xfId="0" applyFont="1" applyFill="1" applyBorder="1" applyAlignment="1">
      <alignment horizontal="center" vertical="center"/>
    </xf>
    <xf numFmtId="0" fontId="2" fillId="0" borderId="1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4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1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1" fillId="0" borderId="1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13" xfId="0" applyFont="1" applyFill="1" applyBorder="1" applyAlignment="1">
      <alignment horizontal="center" vertical="center"/>
    </xf>
    <xf numFmtId="0" fontId="2" fillId="0" borderId="115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justify" vertical="center"/>
    </xf>
    <xf numFmtId="0" fontId="36" fillId="0" borderId="32" xfId="0" applyFont="1" applyFill="1" applyBorder="1" applyAlignment="1">
      <alignment horizontal="justify" vertical="center"/>
    </xf>
    <xf numFmtId="0" fontId="36" fillId="0" borderId="34" xfId="0" applyFont="1" applyFill="1" applyBorder="1" applyAlignment="1">
      <alignment horizontal="justify" vertical="center"/>
    </xf>
    <xf numFmtId="177" fontId="10" fillId="0" borderId="31" xfId="1" applyNumberFormat="1" applyFont="1" applyFill="1" applyBorder="1" applyAlignment="1">
      <alignment horizontal="center" vertical="center"/>
    </xf>
    <xf numFmtId="177" fontId="10" fillId="0" borderId="32" xfId="1" applyNumberFormat="1" applyFont="1" applyFill="1" applyBorder="1" applyAlignment="1">
      <alignment horizontal="center" vertical="center"/>
    </xf>
    <xf numFmtId="177" fontId="10" fillId="0" borderId="116" xfId="1" applyNumberFormat="1" applyFont="1" applyFill="1" applyBorder="1" applyAlignment="1">
      <alignment horizontal="center" vertical="center"/>
    </xf>
    <xf numFmtId="177" fontId="10" fillId="0" borderId="117" xfId="1" applyNumberFormat="1" applyFont="1" applyFill="1" applyBorder="1" applyAlignment="1">
      <alignment horizontal="center" vertical="center"/>
    </xf>
    <xf numFmtId="177" fontId="10" fillId="0" borderId="115" xfId="1" applyNumberFormat="1" applyFont="1" applyFill="1" applyBorder="1" applyAlignment="1">
      <alignment horizontal="center" vertical="center"/>
    </xf>
    <xf numFmtId="0" fontId="2" fillId="0" borderId="116" xfId="0" applyFont="1" applyFill="1" applyBorder="1" applyAlignment="1">
      <alignment horizontal="center" vertical="center"/>
    </xf>
    <xf numFmtId="0" fontId="11" fillId="0" borderId="115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116" xfId="0" applyFont="1" applyFill="1" applyBorder="1" applyAlignment="1">
      <alignment horizontal="center" vertical="center"/>
    </xf>
    <xf numFmtId="0" fontId="55" fillId="0" borderId="31" xfId="0" applyFont="1" applyFill="1" applyBorder="1" applyAlignment="1">
      <alignment horizontal="left" vertical="center"/>
    </xf>
    <xf numFmtId="0" fontId="55" fillId="0" borderId="32" xfId="0" applyFont="1" applyFill="1" applyBorder="1" applyAlignment="1">
      <alignment horizontal="left" vertical="center"/>
    </xf>
    <xf numFmtId="0" fontId="55" fillId="0" borderId="34" xfId="0" applyFont="1" applyFill="1" applyBorder="1" applyAlignment="1">
      <alignment horizontal="left" vertical="center"/>
    </xf>
    <xf numFmtId="0" fontId="56" fillId="0" borderId="31" xfId="0" applyFont="1" applyFill="1" applyBorder="1" applyAlignment="1">
      <alignment horizontal="left" vertical="center"/>
    </xf>
    <xf numFmtId="0" fontId="56" fillId="0" borderId="32" xfId="0" applyFont="1" applyFill="1" applyBorder="1" applyAlignment="1">
      <alignment horizontal="left" vertical="center"/>
    </xf>
    <xf numFmtId="0" fontId="56" fillId="0" borderId="34" xfId="0" applyFont="1" applyFill="1" applyBorder="1" applyAlignment="1">
      <alignment horizontal="left" vertical="center"/>
    </xf>
    <xf numFmtId="0" fontId="11" fillId="0" borderId="32" xfId="0" applyFont="1" applyFill="1" applyBorder="1" applyAlignment="1">
      <alignment horizontal="left" vertical="center"/>
    </xf>
    <xf numFmtId="0" fontId="11" fillId="0" borderId="34" xfId="0" applyFont="1" applyFill="1" applyBorder="1" applyAlignment="1">
      <alignment horizontal="left" vertical="center"/>
    </xf>
    <xf numFmtId="0" fontId="11" fillId="0" borderId="32" xfId="0" applyFont="1" applyFill="1" applyBorder="1" applyAlignment="1">
      <alignment horizontal="justify" vertical="center"/>
    </xf>
    <xf numFmtId="0" fontId="11" fillId="0" borderId="34" xfId="0" applyFont="1" applyFill="1" applyBorder="1" applyAlignment="1">
      <alignment horizontal="justify" vertical="center"/>
    </xf>
    <xf numFmtId="0" fontId="55" fillId="0" borderId="31" xfId="0" applyFont="1" applyFill="1" applyBorder="1" applyAlignment="1">
      <alignment horizontal="justify" vertical="center"/>
    </xf>
    <xf numFmtId="0" fontId="55" fillId="0" borderId="32" xfId="0" applyFont="1" applyFill="1" applyBorder="1" applyAlignment="1">
      <alignment horizontal="justify" vertical="center"/>
    </xf>
    <xf numFmtId="0" fontId="55" fillId="0" borderId="34" xfId="0" applyFont="1" applyFill="1" applyBorder="1" applyAlignment="1">
      <alignment horizontal="justify" vertical="center"/>
    </xf>
    <xf numFmtId="168" fontId="2" fillId="0" borderId="20" xfId="1" applyNumberFormat="1" applyFont="1" applyFill="1" applyBorder="1" applyAlignment="1">
      <alignment horizontal="center" vertical="center"/>
    </xf>
    <xf numFmtId="168" fontId="2" fillId="0" borderId="13" xfId="1" applyNumberFormat="1" applyFont="1" applyFill="1" applyBorder="1" applyAlignment="1">
      <alignment horizontal="center" vertical="center"/>
    </xf>
    <xf numFmtId="168" fontId="2" fillId="0" borderId="14" xfId="1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0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8" xfId="0" applyFont="1" applyFill="1" applyBorder="1" applyAlignment="1">
      <alignment horizontal="center" vertical="center" wrapText="1"/>
    </xf>
    <xf numFmtId="0" fontId="2" fillId="0" borderId="10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03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7" xfId="0" applyFont="1" applyFill="1" applyBorder="1" applyAlignment="1">
      <alignment horizontal="center" vertical="center"/>
    </xf>
    <xf numFmtId="0" fontId="2" fillId="0" borderId="109" xfId="0" applyFont="1" applyFill="1" applyBorder="1" applyAlignment="1">
      <alignment horizontal="center" vertical="center"/>
    </xf>
    <xf numFmtId="0" fontId="2" fillId="0" borderId="11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20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18" xfId="0" applyFont="1" applyFill="1" applyBorder="1" applyAlignment="1">
      <alignment horizontal="left" vertical="center" wrapText="1"/>
    </xf>
    <xf numFmtId="0" fontId="11" fillId="0" borderId="102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1" fillId="0" borderId="103" xfId="0" applyFont="1" applyFill="1" applyBorder="1" applyAlignment="1">
      <alignment horizontal="left" vertical="center" wrapText="1"/>
    </xf>
    <xf numFmtId="168" fontId="2" fillId="0" borderId="119" xfId="1" applyNumberFormat="1" applyFont="1" applyFill="1" applyBorder="1" applyAlignment="1">
      <alignment horizontal="center" vertical="center"/>
    </xf>
    <xf numFmtId="168" fontId="2" fillId="0" borderId="109" xfId="1" applyNumberFormat="1" applyFont="1" applyFill="1" applyBorder="1" applyAlignment="1">
      <alignment horizontal="center" vertical="center"/>
    </xf>
    <xf numFmtId="168" fontId="2" fillId="0" borderId="110" xfId="1" applyNumberFormat="1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left" vertical="center"/>
    </xf>
    <xf numFmtId="0" fontId="2" fillId="0" borderId="109" xfId="0" applyFont="1" applyFill="1" applyBorder="1" applyAlignment="1">
      <alignment horizontal="left" vertical="center"/>
    </xf>
    <xf numFmtId="0" fontId="2" fillId="0" borderId="110" xfId="0" applyFont="1" applyFill="1" applyBorder="1" applyAlignment="1">
      <alignment horizontal="left" vertical="center"/>
    </xf>
    <xf numFmtId="174" fontId="7" fillId="0" borderId="13" xfId="0" applyNumberFormat="1" applyFont="1" applyFill="1" applyBorder="1" applyAlignment="1">
      <alignment horizontal="left" vertical="center"/>
    </xf>
    <xf numFmtId="174" fontId="7" fillId="0" borderId="14" xfId="0" applyNumberFormat="1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left" vertical="center"/>
    </xf>
    <xf numFmtId="0" fontId="2" fillId="0" borderId="35" xfId="0" applyFont="1" applyFill="1" applyBorder="1" applyAlignment="1">
      <alignment horizontal="left" vertical="center"/>
    </xf>
    <xf numFmtId="0" fontId="2" fillId="0" borderId="36" xfId="0" applyFont="1" applyFill="1" applyBorder="1" applyAlignment="1">
      <alignment horizontal="left" vertical="center"/>
    </xf>
    <xf numFmtId="168" fontId="2" fillId="0" borderId="121" xfId="1" applyNumberFormat="1" applyFont="1" applyFill="1" applyBorder="1" applyAlignment="1">
      <alignment horizontal="center" vertical="center"/>
    </xf>
    <xf numFmtId="168" fontId="2" fillId="0" borderId="35" xfId="1" applyNumberFormat="1" applyFont="1" applyFill="1" applyBorder="1" applyAlignment="1">
      <alignment horizontal="center" vertical="center"/>
    </xf>
    <xf numFmtId="168" fontId="2" fillId="0" borderId="36" xfId="1" applyNumberFormat="1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165" fontId="7" fillId="0" borderId="15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72" fontId="2" fillId="0" borderId="3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166" fontId="2" fillId="0" borderId="0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 wrapText="1"/>
    </xf>
    <xf numFmtId="179" fontId="57" fillId="0" borderId="3" xfId="0" applyNumberFormat="1" applyFont="1" applyBorder="1" applyAlignment="1">
      <alignment horizontal="center" vertical="center" wrapText="1"/>
    </xf>
    <xf numFmtId="10" fontId="57" fillId="0" borderId="3" xfId="0" applyNumberFormat="1" applyFont="1" applyBorder="1" applyAlignment="1">
      <alignment horizontal="center" vertical="center" wrapText="1"/>
    </xf>
    <xf numFmtId="0" fontId="93" fillId="0" borderId="0" xfId="0" applyFont="1" applyBorder="1" applyAlignment="1">
      <alignment horizontal="center" vertical="center"/>
    </xf>
    <xf numFmtId="0" fontId="68" fillId="0" borderId="0" xfId="0" applyFont="1" applyAlignment="1">
      <alignment horizontal="left" vertical="center"/>
    </xf>
    <xf numFmtId="171" fontId="56" fillId="0" borderId="0" xfId="0" applyNumberFormat="1" applyFont="1" applyBorder="1" applyAlignment="1">
      <alignment horizontal="center" vertical="center"/>
    </xf>
    <xf numFmtId="171" fontId="56" fillId="0" borderId="2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left" vertical="center" wrapText="1"/>
    </xf>
    <xf numFmtId="0" fontId="57" fillId="0" borderId="2" xfId="0" applyFont="1" applyBorder="1" applyAlignment="1">
      <alignment horizontal="center" vertical="center" wrapText="1"/>
    </xf>
    <xf numFmtId="0" fontId="57" fillId="0" borderId="6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0" borderId="29" xfId="0" applyFont="1" applyBorder="1" applyAlignment="1">
      <alignment horizontal="left" vertical="center" wrapText="1"/>
    </xf>
    <xf numFmtId="0" fontId="57" fillId="0" borderId="1" xfId="0" applyFont="1" applyBorder="1" applyAlignment="1">
      <alignment horizontal="left" vertical="center" wrapText="1"/>
    </xf>
    <xf numFmtId="0" fontId="57" fillId="0" borderId="24" xfId="0" applyFont="1" applyBorder="1" applyAlignment="1">
      <alignment horizontal="left" vertical="center" wrapText="1"/>
    </xf>
    <xf numFmtId="0" fontId="57" fillId="0" borderId="2" xfId="0" applyFont="1" applyBorder="1" applyAlignment="1">
      <alignment horizontal="left" vertical="center" wrapText="1"/>
    </xf>
    <xf numFmtId="0" fontId="57" fillId="0" borderId="3" xfId="0" applyFont="1" applyBorder="1" applyAlignment="1">
      <alignment horizontal="left" vertical="center"/>
    </xf>
    <xf numFmtId="0" fontId="65" fillId="0" borderId="2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 wrapText="1"/>
    </xf>
    <xf numFmtId="0" fontId="57" fillId="0" borderId="29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65" fillId="0" borderId="2" xfId="0" applyFont="1" applyBorder="1" applyAlignment="1">
      <alignment horizontal="left" vertical="center"/>
    </xf>
    <xf numFmtId="166" fontId="57" fillId="0" borderId="0" xfId="0" applyNumberFormat="1" applyFont="1" applyBorder="1" applyAlignment="1">
      <alignment horizontal="center" vertical="center"/>
    </xf>
    <xf numFmtId="1" fontId="65" fillId="0" borderId="2" xfId="0" applyNumberFormat="1" applyFont="1" applyBorder="1" applyAlignment="1">
      <alignment horizontal="left" vertical="center"/>
    </xf>
    <xf numFmtId="0" fontId="55" fillId="0" borderId="0" xfId="0" applyFont="1" applyAlignment="1">
      <alignment horizontal="center" vertical="center"/>
    </xf>
    <xf numFmtId="0" fontId="9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7" fillId="0" borderId="48" xfId="0" applyFont="1" applyBorder="1" applyAlignment="1">
      <alignment horizontal="center" vertical="center" textRotation="90" wrapText="1"/>
    </xf>
    <xf numFmtId="0" fontId="57" fillId="0" borderId="81" xfId="0" applyFont="1" applyBorder="1" applyAlignment="1">
      <alignment horizontal="center" vertical="center" textRotation="90" wrapText="1"/>
    </xf>
    <xf numFmtId="0" fontId="57" fillId="0" borderId="33" xfId="0" applyFont="1" applyBorder="1" applyAlignment="1">
      <alignment horizontal="center" vertical="center" textRotation="90" wrapText="1"/>
    </xf>
    <xf numFmtId="175" fontId="7" fillId="0" borderId="0" xfId="0" applyNumberFormat="1" applyFont="1" applyBorder="1" applyAlignment="1">
      <alignment horizontal="center" vertical="center" wrapText="1"/>
    </xf>
    <xf numFmtId="1" fontId="15" fillId="0" borderId="0" xfId="0" applyNumberFormat="1" applyFont="1" applyBorder="1" applyAlignment="1">
      <alignment horizontal="left" vertical="center" wrapText="1"/>
    </xf>
    <xf numFmtId="171" fontId="4" fillId="0" borderId="0" xfId="0" applyNumberFormat="1" applyFont="1" applyBorder="1" applyAlignment="1">
      <alignment horizontal="center" vertical="center" wrapText="1"/>
    </xf>
    <xf numFmtId="171" fontId="4" fillId="0" borderId="2" xfId="0" applyNumberFormat="1" applyFont="1" applyBorder="1" applyAlignment="1">
      <alignment horizontal="center" vertical="center" wrapText="1"/>
    </xf>
    <xf numFmtId="171" fontId="10" fillId="0" borderId="0" xfId="0" applyNumberFormat="1" applyFont="1" applyBorder="1" applyAlignment="1">
      <alignment horizontal="center" vertical="center" wrapText="1"/>
    </xf>
    <xf numFmtId="171" fontId="10" fillId="0" borderId="2" xfId="0" applyNumberFormat="1" applyFont="1" applyBorder="1" applyAlignment="1">
      <alignment horizontal="center" vertical="center" wrapText="1"/>
    </xf>
    <xf numFmtId="0" fontId="57" fillId="0" borderId="31" xfId="0" applyFont="1" applyBorder="1" applyAlignment="1">
      <alignment horizontal="left" vertical="center" wrapText="1" indent="2"/>
    </xf>
    <xf numFmtId="0" fontId="57" fillId="0" borderId="32" xfId="0" applyFont="1" applyBorder="1" applyAlignment="1">
      <alignment horizontal="left" vertical="center" wrapText="1" indent="2"/>
    </xf>
    <xf numFmtId="0" fontId="57" fillId="0" borderId="34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8" xfId="0" applyFont="1" applyBorder="1" applyAlignment="1">
      <alignment horizontal="center" vertical="center" textRotation="90" wrapText="1"/>
    </xf>
    <xf numFmtId="0" fontId="2" fillId="0" borderId="81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 textRotation="90" wrapText="1"/>
    </xf>
    <xf numFmtId="0" fontId="57" fillId="0" borderId="5" xfId="0" applyFont="1" applyBorder="1" applyAlignment="1">
      <alignment horizontal="center" vertical="center" textRotation="90" wrapText="1"/>
    </xf>
    <xf numFmtId="0" fontId="57" fillId="0" borderId="24" xfId="0" applyFont="1" applyBorder="1" applyAlignment="1">
      <alignment horizontal="center" vertical="center" textRotation="90" wrapText="1"/>
    </xf>
    <xf numFmtId="0" fontId="57" fillId="0" borderId="6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1" fontId="5" fillId="0" borderId="2" xfId="0" applyNumberFormat="1" applyFont="1" applyBorder="1" applyAlignment="1">
      <alignment horizontal="left" vertical="center" wrapText="1"/>
    </xf>
    <xf numFmtId="0" fontId="10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left" vertical="center"/>
    </xf>
    <xf numFmtId="0" fontId="5" fillId="0" borderId="32" xfId="1" applyNumberFormat="1" applyFont="1" applyBorder="1" applyAlignment="1">
      <alignment horizontal="left" vertical="center"/>
    </xf>
    <xf numFmtId="1" fontId="5" fillId="0" borderId="32" xfId="1" applyNumberFormat="1" applyFont="1" applyBorder="1" applyAlignment="1">
      <alignment horizontal="left" vertical="center"/>
    </xf>
    <xf numFmtId="1" fontId="12" fillId="0" borderId="32" xfId="1" applyNumberFormat="1" applyFont="1" applyBorder="1" applyAlignment="1">
      <alignment horizontal="left" vertical="center"/>
    </xf>
    <xf numFmtId="0" fontId="10" fillId="0" borderId="3" xfId="2" applyFont="1" applyBorder="1" applyAlignment="1">
      <alignment horizontal="center" vertical="center"/>
    </xf>
    <xf numFmtId="0" fontId="10" fillId="0" borderId="48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1" fontId="74" fillId="0" borderId="32" xfId="0" applyNumberFormat="1" applyFont="1" applyBorder="1" applyAlignment="1">
      <alignment horizontal="left" vertical="center"/>
    </xf>
    <xf numFmtId="0" fontId="15" fillId="0" borderId="0" xfId="2" applyFont="1" applyAlignment="1">
      <alignment horizontal="center" vertical="center"/>
    </xf>
    <xf numFmtId="0" fontId="12" fillId="0" borderId="2" xfId="2" applyNumberFormat="1" applyFont="1" applyBorder="1" applyAlignment="1">
      <alignment horizontal="center" vertical="center"/>
    </xf>
    <xf numFmtId="168" fontId="10" fillId="0" borderId="3" xfId="1" applyNumberFormat="1" applyFont="1" applyBorder="1" applyAlignment="1">
      <alignment horizontal="right" vertical="center"/>
    </xf>
    <xf numFmtId="180" fontId="12" fillId="0" borderId="2" xfId="1" applyNumberFormat="1" applyFont="1" applyBorder="1" applyAlignment="1">
      <alignment horizontal="right" vertical="center"/>
    </xf>
    <xf numFmtId="165" fontId="10" fillId="0" borderId="3" xfId="1" applyFont="1" applyBorder="1" applyAlignment="1">
      <alignment horizontal="center" vertical="center"/>
    </xf>
    <xf numFmtId="180" fontId="10" fillId="0" borderId="3" xfId="1" applyNumberFormat="1" applyFont="1" applyBorder="1" applyAlignment="1">
      <alignment horizontal="right" vertical="center"/>
    </xf>
    <xf numFmtId="165" fontId="10" fillId="0" borderId="32" xfId="1" applyFont="1" applyBorder="1" applyAlignment="1">
      <alignment horizontal="center" vertical="center"/>
    </xf>
    <xf numFmtId="0" fontId="7" fillId="0" borderId="32" xfId="2" applyNumberFormat="1" applyFont="1" applyBorder="1" applyAlignment="1">
      <alignment horizontal="center" vertical="center"/>
    </xf>
    <xf numFmtId="175" fontId="7" fillId="0" borderId="0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170" fontId="14" fillId="0" borderId="0" xfId="0" applyNumberFormat="1" applyFont="1" applyAlignment="1">
      <alignment horizontal="left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2" fillId="0" borderId="31" xfId="0" applyNumberFormat="1" applyFont="1" applyBorder="1" applyAlignment="1">
      <alignment horizontal="right" vertical="center" wrapText="1"/>
    </xf>
    <xf numFmtId="3" fontId="2" fillId="0" borderId="80" xfId="0" applyNumberFormat="1" applyFont="1" applyBorder="1" applyAlignment="1">
      <alignment horizontal="right" vertical="center" wrapText="1"/>
    </xf>
    <xf numFmtId="3" fontId="2" fillId="0" borderId="54" xfId="0" applyNumberFormat="1" applyFont="1" applyBorder="1" applyAlignment="1">
      <alignment horizontal="right" vertical="center" wrapText="1"/>
    </xf>
    <xf numFmtId="3" fontId="2" fillId="0" borderId="65" xfId="0" applyNumberFormat="1" applyFont="1" applyBorder="1" applyAlignment="1">
      <alignment horizontal="right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4" fillId="0" borderId="9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185" fontId="29" fillId="0" borderId="31" xfId="0" applyNumberFormat="1" applyFont="1" applyBorder="1" applyAlignment="1">
      <alignment horizontal="right" vertical="center"/>
    </xf>
    <xf numFmtId="185" fontId="29" fillId="0" borderId="32" xfId="0" applyNumberFormat="1" applyFont="1" applyBorder="1" applyAlignment="1">
      <alignment horizontal="right" vertical="center"/>
    </xf>
    <xf numFmtId="185" fontId="29" fillId="0" borderId="80" xfId="0" applyNumberFormat="1" applyFont="1" applyBorder="1" applyAlignment="1">
      <alignment horizontal="right" vertical="center"/>
    </xf>
    <xf numFmtId="0" fontId="4" fillId="0" borderId="50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185" fontId="29" fillId="0" borderId="54" xfId="0" applyNumberFormat="1" applyFont="1" applyBorder="1" applyAlignment="1">
      <alignment horizontal="right" vertical="center"/>
    </xf>
    <xf numFmtId="185" fontId="29" fillId="0" borderId="55" xfId="0" applyNumberFormat="1" applyFont="1" applyBorder="1" applyAlignment="1">
      <alignment horizontal="right" vertical="center"/>
    </xf>
    <xf numFmtId="185" fontId="29" fillId="0" borderId="65" xfId="0" applyNumberFormat="1" applyFont="1" applyBorder="1" applyAlignment="1">
      <alignment horizontal="right" vertical="center"/>
    </xf>
    <xf numFmtId="0" fontId="4" fillId="0" borderId="69" xfId="0" applyFont="1" applyBorder="1" applyAlignment="1">
      <alignment horizontal="center" vertical="center"/>
    </xf>
    <xf numFmtId="0" fontId="4" fillId="0" borderId="97" xfId="0" applyFont="1" applyBorder="1" applyAlignment="1">
      <alignment horizontal="center" vertical="center"/>
    </xf>
    <xf numFmtId="0" fontId="65" fillId="0" borderId="2" xfId="0" applyNumberFormat="1" applyFont="1" applyBorder="1" applyAlignment="1">
      <alignment horizontal="left" vertical="center"/>
    </xf>
    <xf numFmtId="0" fontId="65" fillId="0" borderId="63" xfId="0" applyNumberFormat="1" applyFont="1" applyBorder="1" applyAlignment="1">
      <alignment horizontal="left" vertical="center"/>
    </xf>
    <xf numFmtId="3" fontId="65" fillId="0" borderId="55" xfId="0" applyNumberFormat="1" applyFont="1" applyBorder="1" applyAlignment="1">
      <alignment horizontal="center" vertical="center"/>
    </xf>
    <xf numFmtId="0" fontId="65" fillId="0" borderId="55" xfId="0" applyFont="1" applyBorder="1" applyAlignment="1">
      <alignment horizontal="center" vertical="center"/>
    </xf>
    <xf numFmtId="0" fontId="65" fillId="0" borderId="89" xfId="0" applyFont="1" applyBorder="1" applyAlignment="1">
      <alignment horizontal="center" vertical="center"/>
    </xf>
    <xf numFmtId="0" fontId="65" fillId="0" borderId="56" xfId="0" applyFont="1" applyBorder="1" applyAlignment="1">
      <alignment horizontal="center" vertical="center"/>
    </xf>
    <xf numFmtId="0" fontId="65" fillId="0" borderId="79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/>
    </xf>
    <xf numFmtId="0" fontId="65" fillId="0" borderId="2" xfId="0" applyNumberFormat="1" applyFont="1" applyBorder="1" applyAlignment="1">
      <alignment horizontal="center" vertical="center"/>
    </xf>
    <xf numFmtId="0" fontId="65" fillId="0" borderId="32" xfId="0" applyNumberFormat="1" applyFont="1" applyBorder="1" applyAlignment="1">
      <alignment horizontal="left" vertical="center"/>
    </xf>
    <xf numFmtId="0" fontId="65" fillId="0" borderId="80" xfId="0" applyNumberFormat="1" applyFont="1" applyBorder="1" applyAlignment="1">
      <alignment horizontal="left" vertical="center"/>
    </xf>
    <xf numFmtId="0" fontId="65" fillId="0" borderId="32" xfId="0" applyNumberFormat="1" applyFont="1" applyBorder="1" applyAlignment="1">
      <alignment horizontal="center" vertical="center"/>
    </xf>
    <xf numFmtId="172" fontId="101" fillId="0" borderId="31" xfId="0" applyNumberFormat="1" applyFont="1" applyBorder="1" applyAlignment="1">
      <alignment horizontal="right" vertical="center"/>
    </xf>
    <xf numFmtId="172" fontId="101" fillId="0" borderId="32" xfId="0" applyNumberFormat="1" applyFont="1" applyBorder="1" applyAlignment="1">
      <alignment horizontal="right" vertical="center"/>
    </xf>
    <xf numFmtId="172" fontId="101" fillId="0" borderId="80" xfId="0" applyNumberFormat="1" applyFont="1" applyBorder="1" applyAlignment="1">
      <alignment horizontal="right" vertical="center"/>
    </xf>
    <xf numFmtId="172" fontId="101" fillId="0" borderId="29" xfId="0" applyNumberFormat="1" applyFont="1" applyBorder="1" applyAlignment="1">
      <alignment horizontal="right" vertical="center"/>
    </xf>
    <xf numFmtId="172" fontId="101" fillId="0" borderId="1" xfId="0" applyNumberFormat="1" applyFont="1" applyBorder="1" applyAlignment="1">
      <alignment horizontal="right" vertical="center"/>
    </xf>
    <xf numFmtId="172" fontId="101" fillId="0" borderId="61" xfId="0" applyNumberFormat="1" applyFont="1" applyBorder="1" applyAlignment="1">
      <alignment horizontal="right" vertical="center"/>
    </xf>
    <xf numFmtId="172" fontId="101" fillId="0" borderId="77" xfId="0" applyNumberFormat="1" applyFont="1" applyBorder="1" applyAlignment="1">
      <alignment horizontal="right" vertical="center"/>
    </xf>
    <xf numFmtId="172" fontId="101" fillId="0" borderId="67" xfId="0" applyNumberFormat="1" applyFont="1" applyBorder="1" applyAlignment="1">
      <alignment horizontal="right" vertical="center"/>
    </xf>
    <xf numFmtId="172" fontId="101" fillId="0" borderId="68" xfId="0" applyNumberFormat="1" applyFont="1" applyBorder="1" applyAlignment="1">
      <alignment horizontal="right" vertical="center"/>
    </xf>
    <xf numFmtId="0" fontId="101" fillId="0" borderId="70" xfId="0" applyFont="1" applyBorder="1" applyAlignment="1">
      <alignment horizontal="center" vertical="center" wrapText="1"/>
    </xf>
    <xf numFmtId="0" fontId="101" fillId="0" borderId="58" xfId="0" applyFont="1" applyBorder="1" applyAlignment="1">
      <alignment horizontal="center" vertical="center" wrapText="1"/>
    </xf>
    <xf numFmtId="0" fontId="101" fillId="0" borderId="71" xfId="0" applyFont="1" applyBorder="1" applyAlignment="1">
      <alignment horizontal="center" vertical="center" wrapText="1"/>
    </xf>
    <xf numFmtId="172" fontId="101" fillId="0" borderId="24" xfId="0" applyNumberFormat="1" applyFont="1" applyBorder="1" applyAlignment="1">
      <alignment horizontal="right" vertical="center"/>
    </xf>
    <xf numFmtId="172" fontId="101" fillId="0" borderId="2" xfId="0" applyNumberFormat="1" applyFont="1" applyBorder="1" applyAlignment="1">
      <alignment horizontal="right" vertical="center"/>
    </xf>
    <xf numFmtId="172" fontId="101" fillId="0" borderId="63" xfId="0" applyNumberFormat="1" applyFont="1" applyBorder="1" applyAlignment="1">
      <alignment horizontal="right" vertical="center"/>
    </xf>
    <xf numFmtId="181" fontId="101" fillId="0" borderId="31" xfId="0" applyNumberFormat="1" applyFont="1" applyBorder="1" applyAlignment="1">
      <alignment horizontal="center" vertical="center"/>
    </xf>
    <xf numFmtId="181" fontId="101" fillId="0" borderId="32" xfId="0" applyNumberFormat="1" applyFont="1" applyBorder="1" applyAlignment="1">
      <alignment horizontal="center" vertical="center"/>
    </xf>
    <xf numFmtId="181" fontId="101" fillId="0" borderId="80" xfId="0" applyNumberFormat="1" applyFont="1" applyBorder="1" applyAlignment="1">
      <alignment horizontal="center" vertical="center"/>
    </xf>
    <xf numFmtId="181" fontId="101" fillId="0" borderId="54" xfId="0" applyNumberFormat="1" applyFont="1" applyBorder="1" applyAlignment="1">
      <alignment horizontal="center" vertical="center"/>
    </xf>
    <xf numFmtId="181" fontId="101" fillId="0" borderId="55" xfId="0" applyNumberFormat="1" applyFont="1" applyBorder="1" applyAlignment="1">
      <alignment horizontal="center" vertical="center"/>
    </xf>
    <xf numFmtId="181" fontId="101" fillId="0" borderId="65" xfId="0" applyNumberFormat="1" applyFont="1" applyBorder="1" applyAlignment="1">
      <alignment horizontal="center" vertical="center"/>
    </xf>
    <xf numFmtId="0" fontId="65" fillId="0" borderId="31" xfId="0" applyFont="1" applyBorder="1" applyAlignment="1">
      <alignment horizontal="center" vertical="center"/>
    </xf>
    <xf numFmtId="0" fontId="65" fillId="0" borderId="32" xfId="0" applyFont="1" applyBorder="1" applyAlignment="1">
      <alignment horizontal="center" vertical="center"/>
    </xf>
    <xf numFmtId="0" fontId="65" fillId="0" borderId="80" xfId="0" applyFont="1" applyBorder="1" applyAlignment="1">
      <alignment horizontal="center" vertical="center"/>
    </xf>
    <xf numFmtId="0" fontId="101" fillId="0" borderId="97" xfId="0" applyFont="1" applyBorder="1" applyAlignment="1">
      <alignment horizontal="center" vertical="center"/>
    </xf>
    <xf numFmtId="0" fontId="101" fillId="0" borderId="98" xfId="0" applyFont="1" applyBorder="1" applyAlignment="1">
      <alignment horizontal="center" vertical="center"/>
    </xf>
    <xf numFmtId="181" fontId="101" fillId="0" borderId="29" xfId="0" applyNumberFormat="1" applyFont="1" applyBorder="1" applyAlignment="1">
      <alignment horizontal="center" vertical="center"/>
    </xf>
    <xf numFmtId="181" fontId="101" fillId="0" borderId="1" xfId="0" applyNumberFormat="1" applyFont="1" applyBorder="1" applyAlignment="1">
      <alignment horizontal="center" vertical="center"/>
    </xf>
    <xf numFmtId="181" fontId="101" fillId="0" borderId="61" xfId="0" applyNumberFormat="1" applyFont="1" applyBorder="1" applyAlignment="1">
      <alignment horizontal="center" vertical="center"/>
    </xf>
    <xf numFmtId="181" fontId="101" fillId="0" borderId="18" xfId="0" applyNumberFormat="1" applyFont="1" applyBorder="1" applyAlignment="1">
      <alignment horizontal="center" vertical="center"/>
    </xf>
    <xf numFmtId="181" fontId="101" fillId="0" borderId="0" xfId="0" applyNumberFormat="1" applyFont="1" applyBorder="1" applyAlignment="1">
      <alignment horizontal="center" vertical="center"/>
    </xf>
    <xf numFmtId="181" fontId="101" fillId="0" borderId="49" xfId="0" applyNumberFormat="1" applyFont="1" applyBorder="1" applyAlignment="1">
      <alignment horizontal="center" vertical="center"/>
    </xf>
    <xf numFmtId="181" fontId="101" fillId="0" borderId="24" xfId="0" applyNumberFormat="1" applyFont="1" applyBorder="1" applyAlignment="1">
      <alignment horizontal="center" vertical="center"/>
    </xf>
    <xf numFmtId="181" fontId="101" fillId="0" borderId="2" xfId="0" applyNumberFormat="1" applyFont="1" applyBorder="1" applyAlignment="1">
      <alignment horizontal="center" vertical="center"/>
    </xf>
    <xf numFmtId="181" fontId="101" fillId="0" borderId="63" xfId="0" applyNumberFormat="1" applyFont="1" applyBorder="1" applyAlignment="1">
      <alignment horizontal="center" vertical="center"/>
    </xf>
    <xf numFmtId="181" fontId="65" fillId="0" borderId="31" xfId="0" applyNumberFormat="1" applyFont="1" applyBorder="1" applyAlignment="1">
      <alignment horizontal="center" vertical="center"/>
    </xf>
    <xf numFmtId="181" fontId="65" fillId="0" borderId="32" xfId="0" applyNumberFormat="1" applyFont="1" applyBorder="1" applyAlignment="1">
      <alignment horizontal="center" vertical="center"/>
    </xf>
    <xf numFmtId="181" fontId="65" fillId="0" borderId="80" xfId="0" applyNumberFormat="1" applyFont="1" applyBorder="1" applyAlignment="1">
      <alignment horizontal="center" vertical="center"/>
    </xf>
    <xf numFmtId="172" fontId="101" fillId="0" borderId="29" xfId="0" applyNumberFormat="1" applyFont="1" applyBorder="1" applyAlignment="1">
      <alignment horizontal="center" vertical="center"/>
    </xf>
    <xf numFmtId="172" fontId="101" fillId="0" borderId="1" xfId="0" applyNumberFormat="1" applyFont="1" applyBorder="1" applyAlignment="1">
      <alignment horizontal="center" vertical="center"/>
    </xf>
    <xf numFmtId="172" fontId="101" fillId="0" borderId="61" xfId="0" applyNumberFormat="1" applyFont="1" applyBorder="1" applyAlignment="1">
      <alignment horizontal="center" vertical="center"/>
    </xf>
    <xf numFmtId="172" fontId="101" fillId="0" borderId="24" xfId="0" applyNumberFormat="1" applyFont="1" applyBorder="1" applyAlignment="1">
      <alignment horizontal="center" vertical="center"/>
    </xf>
    <xf numFmtId="172" fontId="101" fillId="0" borderId="2" xfId="0" applyNumberFormat="1" applyFont="1" applyBorder="1" applyAlignment="1">
      <alignment horizontal="center" vertical="center"/>
    </xf>
    <xf numFmtId="172" fontId="101" fillId="0" borderId="63" xfId="0" applyNumberFormat="1" applyFont="1" applyBorder="1" applyAlignment="1">
      <alignment horizontal="center" vertical="center"/>
    </xf>
    <xf numFmtId="172" fontId="101" fillId="0" borderId="18" xfId="0" applyNumberFormat="1" applyFont="1" applyBorder="1" applyAlignment="1">
      <alignment horizontal="center" vertical="center"/>
    </xf>
    <xf numFmtId="172" fontId="101" fillId="0" borderId="0" xfId="0" applyNumberFormat="1" applyFont="1" applyBorder="1" applyAlignment="1">
      <alignment horizontal="center" vertical="center"/>
    </xf>
    <xf numFmtId="172" fontId="101" fillId="0" borderId="49" xfId="0" applyNumberFormat="1" applyFont="1" applyBorder="1" applyAlignment="1">
      <alignment horizontal="center" vertical="center"/>
    </xf>
    <xf numFmtId="181" fontId="101" fillId="0" borderId="3" xfId="0" applyNumberFormat="1" applyFont="1" applyBorder="1" applyAlignment="1">
      <alignment horizontal="center" vertical="center"/>
    </xf>
    <xf numFmtId="181" fontId="101" fillId="0" borderId="91" xfId="0" applyNumberFormat="1" applyFont="1" applyBorder="1" applyAlignment="1">
      <alignment horizontal="center" vertical="center"/>
    </xf>
    <xf numFmtId="0" fontId="65" fillId="0" borderId="32" xfId="0" applyFont="1" applyBorder="1" applyAlignment="1">
      <alignment horizontal="left" vertical="center"/>
    </xf>
    <xf numFmtId="0" fontId="101" fillId="0" borderId="2" xfId="0" applyFont="1" applyBorder="1" applyAlignment="1">
      <alignment horizontal="center" vertical="center"/>
    </xf>
    <xf numFmtId="181" fontId="65" fillId="0" borderId="29" xfId="0" applyNumberFormat="1" applyFont="1" applyBorder="1" applyAlignment="1">
      <alignment horizontal="center" vertical="center"/>
    </xf>
    <xf numFmtId="181" fontId="65" fillId="0" borderId="1" xfId="0" applyNumberFormat="1" applyFont="1" applyBorder="1" applyAlignment="1">
      <alignment horizontal="center" vertical="center"/>
    </xf>
    <xf numFmtId="181" fontId="65" fillId="0" borderId="61" xfId="0" applyNumberFormat="1" applyFont="1" applyBorder="1" applyAlignment="1">
      <alignment horizontal="center" vertical="center"/>
    </xf>
    <xf numFmtId="181" fontId="65" fillId="0" borderId="24" xfId="0" applyNumberFormat="1" applyFont="1" applyBorder="1" applyAlignment="1">
      <alignment horizontal="center" vertical="center"/>
    </xf>
    <xf numFmtId="181" fontId="65" fillId="0" borderId="2" xfId="0" applyNumberFormat="1" applyFont="1" applyBorder="1" applyAlignment="1">
      <alignment horizontal="center" vertical="center"/>
    </xf>
    <xf numFmtId="181" fontId="65" fillId="0" borderId="63" xfId="0" applyNumberFormat="1" applyFont="1" applyBorder="1" applyAlignment="1">
      <alignment horizontal="center" vertical="center"/>
    </xf>
    <xf numFmtId="181" fontId="65" fillId="0" borderId="3" xfId="0" applyNumberFormat="1" applyFont="1" applyBorder="1" applyAlignment="1">
      <alignment horizontal="center" vertical="center"/>
    </xf>
    <xf numFmtId="181" fontId="65" fillId="0" borderId="91" xfId="0" applyNumberFormat="1" applyFont="1" applyBorder="1" applyAlignment="1">
      <alignment horizontal="center" vertical="center"/>
    </xf>
    <xf numFmtId="181" fontId="101" fillId="0" borderId="32" xfId="0" applyNumberFormat="1" applyFont="1" applyBorder="1" applyAlignment="1">
      <alignment horizontal="right" vertical="center"/>
    </xf>
    <xf numFmtId="181" fontId="101" fillId="0" borderId="80" xfId="0" applyNumberFormat="1" applyFont="1" applyBorder="1" applyAlignment="1">
      <alignment horizontal="right" vertical="center"/>
    </xf>
    <xf numFmtId="0" fontId="101" fillId="0" borderId="2" xfId="0" applyNumberFormat="1" applyFont="1" applyBorder="1" applyAlignment="1">
      <alignment horizontal="center" vertical="center"/>
    </xf>
    <xf numFmtId="181" fontId="101" fillId="0" borderId="77" xfId="0" applyNumberFormat="1" applyFont="1" applyBorder="1" applyAlignment="1">
      <alignment horizontal="center" vertical="center"/>
    </xf>
    <xf numFmtId="181" fontId="101" fillId="0" borderId="67" xfId="0" applyNumberFormat="1" applyFont="1" applyBorder="1" applyAlignment="1">
      <alignment horizontal="center" vertical="center"/>
    </xf>
    <xf numFmtId="181" fontId="101" fillId="0" borderId="68" xfId="0" applyNumberFormat="1" applyFont="1" applyBorder="1" applyAlignment="1">
      <alignment horizontal="center" vertical="center"/>
    </xf>
    <xf numFmtId="172" fontId="65" fillId="0" borderId="3" xfId="0" applyNumberFormat="1" applyFont="1" applyBorder="1" applyAlignment="1">
      <alignment horizontal="center" vertical="center"/>
    </xf>
    <xf numFmtId="172" fontId="65" fillId="0" borderId="91" xfId="0" applyNumberFormat="1" applyFont="1" applyBorder="1" applyAlignment="1">
      <alignment horizontal="center" vertical="center"/>
    </xf>
    <xf numFmtId="172" fontId="101" fillId="0" borderId="77" xfId="0" applyNumberFormat="1" applyFont="1" applyBorder="1" applyAlignment="1">
      <alignment horizontal="center" vertical="center"/>
    </xf>
    <xf numFmtId="172" fontId="101" fillId="0" borderId="67" xfId="0" applyNumberFormat="1" applyFont="1" applyBorder="1" applyAlignment="1">
      <alignment horizontal="center" vertical="center"/>
    </xf>
    <xf numFmtId="172" fontId="101" fillId="0" borderId="68" xfId="0" applyNumberFormat="1" applyFont="1" applyBorder="1" applyAlignment="1">
      <alignment horizontal="center" vertical="center"/>
    </xf>
    <xf numFmtId="0" fontId="84" fillId="0" borderId="2" xfId="0" applyNumberFormat="1" applyFont="1" applyBorder="1" applyAlignment="1">
      <alignment horizontal="center"/>
    </xf>
    <xf numFmtId="0" fontId="81" fillId="0" borderId="2" xfId="0" applyNumberFormat="1" applyFont="1" applyBorder="1" applyAlignment="1">
      <alignment horizontal="left"/>
    </xf>
    <xf numFmtId="181" fontId="84" fillId="0" borderId="31" xfId="0" applyNumberFormat="1" applyFont="1" applyBorder="1" applyAlignment="1">
      <alignment horizontal="center"/>
    </xf>
    <xf numFmtId="181" fontId="84" fillId="0" borderId="34" xfId="0" applyNumberFormat="1" applyFont="1" applyBorder="1" applyAlignment="1">
      <alignment horizontal="center"/>
    </xf>
    <xf numFmtId="181" fontId="84" fillId="0" borderId="3" xfId="0" applyNumberFormat="1" applyFont="1" applyBorder="1" applyAlignment="1">
      <alignment horizontal="center"/>
    </xf>
    <xf numFmtId="1" fontId="84" fillId="0" borderId="32" xfId="0" applyNumberFormat="1" applyFont="1" applyBorder="1" applyAlignment="1">
      <alignment horizontal="center"/>
    </xf>
    <xf numFmtId="0" fontId="84" fillId="0" borderId="32" xfId="0" applyFont="1" applyBorder="1" applyAlignment="1">
      <alignment horizontal="center"/>
    </xf>
    <xf numFmtId="0" fontId="84" fillId="0" borderId="3" xfId="0" applyFont="1" applyBorder="1" applyAlignment="1">
      <alignment horizontal="left"/>
    </xf>
    <xf numFmtId="181" fontId="84" fillId="0" borderId="32" xfId="0" applyNumberFormat="1" applyFont="1" applyBorder="1" applyAlignment="1">
      <alignment horizontal="center"/>
    </xf>
    <xf numFmtId="181" fontId="91" fillId="0" borderId="48" xfId="0" applyNumberFormat="1" applyFont="1" applyBorder="1" applyAlignment="1">
      <alignment horizontal="center" vertical="center"/>
    </xf>
    <xf numFmtId="181" fontId="91" fillId="0" borderId="81" xfId="0" applyNumberFormat="1" applyFont="1" applyBorder="1" applyAlignment="1">
      <alignment horizontal="center" vertical="center"/>
    </xf>
    <xf numFmtId="181" fontId="91" fillId="0" borderId="33" xfId="0" applyNumberFormat="1" applyFont="1" applyBorder="1" applyAlignment="1">
      <alignment horizontal="center" vertical="center"/>
    </xf>
    <xf numFmtId="0" fontId="84" fillId="0" borderId="29" xfId="0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84" fillId="0" borderId="18" xfId="0" applyFont="1" applyBorder="1" applyAlignment="1">
      <alignment horizontal="center" vertical="center"/>
    </xf>
    <xf numFmtId="0" fontId="84" fillId="0" borderId="0" xfId="0" applyFont="1" applyBorder="1" applyAlignment="1">
      <alignment horizontal="center" vertical="center"/>
    </xf>
    <xf numFmtId="0" fontId="84" fillId="0" borderId="4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84" fillId="0" borderId="6" xfId="0" applyFont="1" applyBorder="1" applyAlignment="1">
      <alignment horizontal="center" vertical="center"/>
    </xf>
    <xf numFmtId="0" fontId="84" fillId="0" borderId="48" xfId="0" applyFont="1" applyBorder="1" applyAlignment="1">
      <alignment horizontal="center" vertical="center" wrapText="1"/>
    </xf>
    <xf numFmtId="0" fontId="84" fillId="0" borderId="81" xfId="0" applyFont="1" applyBorder="1" applyAlignment="1">
      <alignment horizontal="center" vertical="center" wrapText="1"/>
    </xf>
    <xf numFmtId="0" fontId="84" fillId="0" borderId="33" xfId="0" applyFont="1" applyBorder="1" applyAlignment="1">
      <alignment horizontal="center" vertical="center" wrapText="1"/>
    </xf>
    <xf numFmtId="0" fontId="88" fillId="0" borderId="2" xfId="0" applyFont="1" applyBorder="1" applyAlignment="1">
      <alignment horizontal="center"/>
    </xf>
    <xf numFmtId="0" fontId="88" fillId="0" borderId="2" xfId="0" applyNumberFormat="1" applyFont="1" applyBorder="1" applyAlignment="1">
      <alignment horizontal="center"/>
    </xf>
    <xf numFmtId="0" fontId="81" fillId="0" borderId="2" xfId="0" applyFont="1" applyBorder="1" applyAlignment="1">
      <alignment horizontal="center"/>
    </xf>
    <xf numFmtId="0" fontId="81" fillId="0" borderId="2" xfId="0" applyFont="1" applyBorder="1" applyAlignment="1">
      <alignment horizontal="left"/>
    </xf>
    <xf numFmtId="0" fontId="88" fillId="0" borderId="2" xfId="0" applyFont="1" applyBorder="1" applyAlignment="1">
      <alignment horizontal="left"/>
    </xf>
    <xf numFmtId="181" fontId="81" fillId="0" borderId="2" xfId="0" applyNumberFormat="1" applyFont="1" applyBorder="1" applyAlignment="1">
      <alignment horizontal="center"/>
    </xf>
    <xf numFmtId="0" fontId="81" fillId="0" borderId="32" xfId="0" applyFont="1" applyBorder="1" applyAlignment="1">
      <alignment horizontal="center"/>
    </xf>
    <xf numFmtId="0" fontId="83" fillId="0" borderId="2" xfId="0" applyNumberFormat="1" applyFont="1" applyBorder="1" applyAlignment="1">
      <alignment horizontal="left"/>
    </xf>
    <xf numFmtId="0" fontId="83" fillId="0" borderId="2" xfId="0" applyNumberFormat="1" applyFont="1" applyBorder="1" applyAlignment="1">
      <alignment horizontal="center"/>
    </xf>
    <xf numFmtId="0" fontId="87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165" fontId="10" fillId="0" borderId="3" xfId="1" applyFont="1" applyBorder="1" applyAlignment="1">
      <alignment horizontal="left"/>
    </xf>
    <xf numFmtId="2" fontId="10" fillId="0" borderId="3" xfId="1" applyNumberFormat="1" applyFont="1" applyBorder="1" applyAlignment="1">
      <alignment horizontal="left"/>
    </xf>
    <xf numFmtId="0" fontId="2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1" xfId="0" applyFont="1" applyBorder="1" applyAlignment="1">
      <alignment horizontal="center"/>
    </xf>
    <xf numFmtId="0" fontId="2" fillId="0" borderId="104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68" fontId="74" fillId="0" borderId="2" xfId="1" applyNumberFormat="1" applyFont="1" applyBorder="1" applyAlignment="1">
      <alignment horizontal="center"/>
    </xf>
    <xf numFmtId="0" fontId="115" fillId="0" borderId="0" xfId="0" applyFont="1" applyAlignment="1">
      <alignment horizontal="justify"/>
    </xf>
    <xf numFmtId="168" fontId="115" fillId="0" borderId="2" xfId="1" applyNumberFormat="1" applyFont="1" applyBorder="1" applyAlignment="1">
      <alignment horizontal="center"/>
    </xf>
    <xf numFmtId="168" fontId="115" fillId="0" borderId="32" xfId="1" applyNumberFormat="1" applyFont="1" applyBorder="1" applyAlignment="1">
      <alignment horizontal="center"/>
    </xf>
    <xf numFmtId="0" fontId="74" fillId="0" borderId="0" xfId="0" applyFont="1" applyBorder="1" applyAlignment="1">
      <alignment horizontal="justify"/>
    </xf>
    <xf numFmtId="0" fontId="97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168" fontId="115" fillId="0" borderId="0" xfId="1" applyNumberFormat="1" applyFont="1" applyBorder="1" applyAlignment="1">
      <alignment horizontal="center"/>
    </xf>
    <xf numFmtId="0" fontId="115" fillId="0" borderId="0" xfId="0" applyFont="1" applyAlignment="1">
      <alignment horizontal="justify" vertical="center"/>
    </xf>
    <xf numFmtId="0" fontId="115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3" fillId="0" borderId="32" xfId="0" applyFont="1" applyBorder="1" applyAlignment="1">
      <alignment horizontal="left" vertical="center"/>
    </xf>
    <xf numFmtId="0" fontId="83" fillId="0" borderId="80" xfId="0" applyFont="1" applyBorder="1" applyAlignment="1">
      <alignment horizontal="left" vertical="center"/>
    </xf>
    <xf numFmtId="0" fontId="83" fillId="0" borderId="63" xfId="0" applyFont="1" applyBorder="1" applyAlignment="1">
      <alignment horizontal="left" vertical="center"/>
    </xf>
    <xf numFmtId="0" fontId="83" fillId="0" borderId="32" xfId="0" applyNumberFormat="1" applyFont="1" applyBorder="1" applyAlignment="1">
      <alignment horizontal="left" vertical="center"/>
    </xf>
    <xf numFmtId="0" fontId="83" fillId="0" borderId="80" xfId="0" applyNumberFormat="1" applyFont="1" applyBorder="1" applyAlignment="1">
      <alignment horizontal="left" vertical="center"/>
    </xf>
    <xf numFmtId="0" fontId="84" fillId="0" borderId="49" xfId="0" applyFont="1" applyBorder="1" applyAlignment="1">
      <alignment horizontal="center" vertical="center"/>
    </xf>
    <xf numFmtId="0" fontId="84" fillId="0" borderId="61" xfId="0" applyFont="1" applyBorder="1" applyAlignment="1">
      <alignment horizontal="center" vertical="center"/>
    </xf>
    <xf numFmtId="0" fontId="84" fillId="0" borderId="105" xfId="0" applyFont="1" applyBorder="1" applyAlignment="1">
      <alignment horizontal="center" vertical="center"/>
    </xf>
    <xf numFmtId="0" fontId="84" fillId="0" borderId="106" xfId="0" applyFont="1" applyBorder="1" applyAlignment="1">
      <alignment horizontal="center" vertical="center"/>
    </xf>
    <xf numFmtId="10" fontId="84" fillId="0" borderId="33" xfId="0" applyNumberFormat="1" applyFont="1" applyBorder="1" applyAlignment="1">
      <alignment horizontal="center" vertical="center"/>
    </xf>
    <xf numFmtId="0" fontId="84" fillId="0" borderId="63" xfId="0" applyFont="1" applyBorder="1" applyAlignment="1">
      <alignment horizontal="center" vertical="center"/>
    </xf>
    <xf numFmtId="0" fontId="84" fillId="0" borderId="33" xfId="0" applyFont="1" applyBorder="1" applyAlignment="1">
      <alignment horizontal="left" vertical="center"/>
    </xf>
    <xf numFmtId="0" fontId="84" fillId="0" borderId="33" xfId="0" applyFont="1" applyBorder="1" applyAlignment="1">
      <alignment horizontal="center" vertical="center"/>
    </xf>
    <xf numFmtId="184" fontId="84" fillId="0" borderId="33" xfId="0" applyNumberFormat="1" applyFont="1" applyBorder="1" applyAlignment="1">
      <alignment horizontal="center" vertical="center"/>
    </xf>
    <xf numFmtId="184" fontId="84" fillId="0" borderId="93" xfId="0" applyNumberFormat="1" applyFont="1" applyBorder="1" applyAlignment="1">
      <alignment horizontal="center" vertical="center"/>
    </xf>
    <xf numFmtId="0" fontId="84" fillId="0" borderId="3" xfId="0" applyFont="1" applyBorder="1" applyAlignment="1">
      <alignment horizontal="left" vertical="center"/>
    </xf>
    <xf numFmtId="184" fontId="84" fillId="0" borderId="3" xfId="0" applyNumberFormat="1" applyFont="1" applyBorder="1" applyAlignment="1">
      <alignment horizontal="center" vertical="center"/>
    </xf>
    <xf numFmtId="10" fontId="84" fillId="0" borderId="3" xfId="0" applyNumberFormat="1" applyFont="1" applyBorder="1" applyAlignment="1">
      <alignment horizontal="center" vertical="center"/>
    </xf>
    <xf numFmtId="184" fontId="84" fillId="0" borderId="91" xfId="0" applyNumberFormat="1" applyFont="1" applyBorder="1" applyAlignment="1">
      <alignment horizontal="center" vertical="center"/>
    </xf>
    <xf numFmtId="184" fontId="84" fillId="0" borderId="76" xfId="0" applyNumberFormat="1" applyFont="1" applyBorder="1" applyAlignment="1">
      <alignment horizontal="center" vertical="center"/>
    </xf>
    <xf numFmtId="184" fontId="84" fillId="0" borderId="96" xfId="0" applyNumberFormat="1" applyFont="1" applyBorder="1" applyAlignment="1">
      <alignment horizontal="center" vertical="center"/>
    </xf>
    <xf numFmtId="0" fontId="84" fillId="0" borderId="76" xfId="0" applyFont="1" applyBorder="1" applyAlignment="1">
      <alignment horizontal="left" vertical="center"/>
    </xf>
    <xf numFmtId="0" fontId="84" fillId="0" borderId="76" xfId="0" applyFont="1" applyBorder="1" applyAlignment="1">
      <alignment horizontal="center" vertical="center"/>
    </xf>
    <xf numFmtId="10" fontId="84" fillId="0" borderId="76" xfId="0" applyNumberFormat="1" applyFont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49" fontId="76" fillId="23" borderId="124" xfId="0" quotePrefix="1" applyNumberFormat="1" applyFont="1" applyFill="1" applyBorder="1"/>
    <xf numFmtId="49" fontId="76" fillId="23" borderId="124" xfId="0" applyNumberFormat="1" applyFont="1" applyFill="1" applyBorder="1"/>
  </cellXfs>
  <cellStyles count="3">
    <cellStyle name="Comma" xfId="1" builtinId="3"/>
    <cellStyle name="Normal" xfId="0" builtinId="0"/>
    <cellStyle name="Normal_ŠABLON 1-6 2000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453390</xdr:colOff>
      <xdr:row>0</xdr:row>
      <xdr:rowOff>68580</xdr:rowOff>
    </xdr:from>
    <xdr:to>
      <xdr:col>6</xdr:col>
      <xdr:colOff>718184</xdr:colOff>
      <xdr:row>0</xdr:row>
      <xdr:rowOff>274320</xdr:rowOff>
    </xdr:to>
    <xdr:sp macro="" textlink="">
      <xdr:nvSpPr>
        <xdr:cNvPr id="2060" name="Text Box 12"/>
        <xdr:cNvSpPr txBox="1">
          <a:spLocks noChangeArrowheads="1"/>
        </xdr:cNvSpPr>
      </xdr:nvSpPr>
      <xdr:spPr bwMode="auto">
        <a:xfrm>
          <a:off x="472440" y="68580"/>
          <a:ext cx="8039100" cy="20574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3366FF"/>
              </a:solidFill>
              <a:latin typeface="Arial"/>
              <a:cs typeface="Arial"/>
            </a:rPr>
            <a:t>Provjere usklađenosti izvješatja omogućene su pritiskom na Ctrl-</a:t>
          </a:r>
          <a:r>
            <a:rPr lang="bs-Latn-BA" sz="1000" b="1" i="0" u="none" strike="noStrike" baseline="0">
              <a:solidFill>
                <a:srgbClr val="3366FF"/>
              </a:solidFill>
              <a:latin typeface="Arial"/>
              <a:cs typeface="Arial"/>
            </a:rPr>
            <a:t>F</a:t>
          </a:r>
          <a:endParaRPr lang="vi-VN" sz="1000" b="1" i="0" u="none" strike="noStrike" baseline="0">
            <a:solidFill>
              <a:srgbClr val="3366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47"/>
  </sheetPr>
  <dimension ref="A1"/>
  <sheetViews>
    <sheetView zoomScale="70" zoomScaleNormal="70" workbookViewId="0">
      <selection activeCell="B19" sqref="B19"/>
    </sheetView>
  </sheetViews>
  <sheetFormatPr defaultRowHeight="12.75"/>
  <cols>
    <col min="1" max="1" width="9" bestFit="1" customWidth="1"/>
    <col min="2" max="2" width="50.28515625" bestFit="1" customWidth="1"/>
    <col min="3" max="3" width="5" customWidth="1"/>
    <col min="4" max="4" width="10.28515625" bestFit="1" customWidth="1"/>
    <col min="5" max="6" width="12.42578125" bestFit="1" customWidth="1"/>
    <col min="7" max="7" width="13" bestFit="1" customWidth="1"/>
    <col min="8" max="8" width="12.42578125" bestFit="1" customWidth="1"/>
    <col min="9" max="9" width="13.140625" bestFit="1" customWidth="1"/>
    <col min="10" max="10" width="11.42578125" bestFit="1" customWidth="1"/>
    <col min="11" max="11" width="12.42578125" bestFit="1" customWidth="1"/>
    <col min="12" max="13" width="13" bestFit="1" customWidth="1"/>
  </cols>
  <sheetData/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6"/>
  </sheetPr>
  <dimension ref="A1:B41"/>
  <sheetViews>
    <sheetView topLeftCell="A37" workbookViewId="0">
      <selection activeCell="B14" sqref="B14"/>
    </sheetView>
  </sheetViews>
  <sheetFormatPr defaultRowHeight="12.75"/>
  <cols>
    <col min="1" max="1" width="36.7109375" bestFit="1" customWidth="1"/>
    <col min="2" max="2" width="49.28515625" customWidth="1"/>
  </cols>
  <sheetData>
    <row r="1" spans="1:2" ht="17.25" thickBot="1">
      <c r="A1" s="1284" t="s">
        <v>2447</v>
      </c>
      <c r="B1" s="1285"/>
    </row>
    <row r="3" spans="1:2" ht="15.75">
      <c r="A3" s="1282" t="s">
        <v>2448</v>
      </c>
      <c r="B3" s="1283"/>
    </row>
    <row r="4" spans="1:2" ht="15.75">
      <c r="A4" s="1282" t="s">
        <v>2449</v>
      </c>
      <c r="B4" s="2486"/>
    </row>
    <row r="5" spans="1:2" ht="15.75">
      <c r="A5" s="1282" t="s">
        <v>2450</v>
      </c>
      <c r="B5" s="2486"/>
    </row>
    <row r="6" spans="1:2" ht="15.75">
      <c r="A6" s="1282" t="s">
        <v>2451</v>
      </c>
      <c r="B6" s="2486"/>
    </row>
    <row r="7" spans="1:2" ht="15.75">
      <c r="A7" s="1282" t="s">
        <v>2452</v>
      </c>
      <c r="B7" s="2486"/>
    </row>
    <row r="8" spans="1:2" ht="15.75">
      <c r="A8" s="1282" t="s">
        <v>2453</v>
      </c>
      <c r="B8" s="2486"/>
    </row>
    <row r="9" spans="1:2" ht="15.75">
      <c r="A9" s="1282" t="s">
        <v>2454</v>
      </c>
      <c r="B9" s="2486"/>
    </row>
    <row r="10" spans="1:2" ht="15.75">
      <c r="A10" s="1282" t="s">
        <v>2455</v>
      </c>
      <c r="B10" s="2486"/>
    </row>
    <row r="11" spans="1:2" ht="15.75">
      <c r="A11" s="1282" t="s">
        <v>2456</v>
      </c>
      <c r="B11" s="2486"/>
    </row>
    <row r="12" spans="1:2" ht="15.75">
      <c r="A12" s="1282" t="s">
        <v>2457</v>
      </c>
      <c r="B12" s="2486"/>
    </row>
    <row r="13" spans="1:2" ht="15.75">
      <c r="A13" s="1282" t="s">
        <v>2458</v>
      </c>
      <c r="B13" s="2486"/>
    </row>
    <row r="14" spans="1:2" ht="15.75">
      <c r="A14" s="1282" t="s">
        <v>2459</v>
      </c>
      <c r="B14" s="2487"/>
    </row>
    <row r="15" spans="1:2" ht="15.75">
      <c r="A15" s="1282" t="s">
        <v>2460</v>
      </c>
      <c r="B15" s="2486"/>
    </row>
    <row r="16" spans="1:2" ht="15.75">
      <c r="A16" s="1282" t="s">
        <v>2461</v>
      </c>
      <c r="B16" s="2486"/>
    </row>
    <row r="17" spans="1:2" ht="15.75">
      <c r="A17" s="1282" t="s">
        <v>2462</v>
      </c>
      <c r="B17" s="2486"/>
    </row>
    <row r="18" spans="1:2" ht="15.75">
      <c r="A18" s="1282" t="s">
        <v>2463</v>
      </c>
      <c r="B18" s="2486"/>
    </row>
    <row r="19" spans="1:2" ht="15.75">
      <c r="A19" s="1282" t="s">
        <v>2464</v>
      </c>
      <c r="B19" s="2486"/>
    </row>
    <row r="20" spans="1:2" ht="15.75">
      <c r="A20" s="1282" t="s">
        <v>2465</v>
      </c>
      <c r="B20" s="2486"/>
    </row>
    <row r="21" spans="1:2" ht="15.75">
      <c r="A21" s="1282" t="s">
        <v>2466</v>
      </c>
      <c r="B21" s="2486"/>
    </row>
    <row r="22" spans="1:2" ht="15.75">
      <c r="A22" s="1282" t="s">
        <v>2467</v>
      </c>
      <c r="B22" s="2486"/>
    </row>
    <row r="23" spans="1:2" ht="15.75">
      <c r="A23" s="1282" t="s">
        <v>2468</v>
      </c>
      <c r="B23" s="2486"/>
    </row>
    <row r="24" spans="1:2" ht="15.75">
      <c r="A24" s="1282" t="s">
        <v>2469</v>
      </c>
      <c r="B24" s="2486"/>
    </row>
    <row r="25" spans="1:2" ht="15.75">
      <c r="A25" s="1282" t="s">
        <v>2470</v>
      </c>
      <c r="B25" s="2486"/>
    </row>
    <row r="26" spans="1:2" ht="15.75">
      <c r="A26" s="1282" t="s">
        <v>2471</v>
      </c>
      <c r="B26" s="2486"/>
    </row>
    <row r="27" spans="1:2" ht="13.5" thickBot="1"/>
    <row r="28" spans="1:2" ht="17.25" thickBot="1">
      <c r="A28" s="1284" t="s">
        <v>2472</v>
      </c>
      <c r="B28" s="1285"/>
    </row>
    <row r="30" spans="1:2" ht="15.75">
      <c r="A30" s="1282" t="s">
        <v>798</v>
      </c>
      <c r="B30" s="2487"/>
    </row>
    <row r="31" spans="1:2" ht="15.75">
      <c r="A31" s="1282" t="s">
        <v>799</v>
      </c>
      <c r="B31" s="2487"/>
    </row>
    <row r="32" spans="1:2" ht="15.75">
      <c r="A32" s="1282" t="s">
        <v>800</v>
      </c>
      <c r="B32" s="2486"/>
    </row>
    <row r="33" spans="1:2" ht="15.75">
      <c r="A33" s="1282" t="s">
        <v>801</v>
      </c>
      <c r="B33" s="2486"/>
    </row>
    <row r="34" spans="1:2" ht="15.75">
      <c r="A34" s="1282" t="s">
        <v>802</v>
      </c>
      <c r="B34" s="2486"/>
    </row>
    <row r="35" spans="1:2" ht="13.5" thickBot="1"/>
    <row r="36" spans="1:2" ht="17.25" thickBot="1">
      <c r="A36" s="1284" t="s">
        <v>803</v>
      </c>
      <c r="B36" s="1285"/>
    </row>
    <row r="38" spans="1:2" ht="15.75">
      <c r="A38" s="1282" t="s">
        <v>804</v>
      </c>
      <c r="B38" s="2487" t="s">
        <v>2950</v>
      </c>
    </row>
    <row r="39" spans="1:2" ht="15.75">
      <c r="A39" s="1282" t="s">
        <v>805</v>
      </c>
      <c r="B39" s="2487" t="s">
        <v>2951</v>
      </c>
    </row>
    <row r="40" spans="1:2" ht="15.75">
      <c r="A40" s="1282" t="s">
        <v>806</v>
      </c>
      <c r="B40" s="2486" t="s">
        <v>2952</v>
      </c>
    </row>
    <row r="41" spans="1:2" ht="15.75">
      <c r="A41" s="1282" t="s">
        <v>807</v>
      </c>
      <c r="B41" s="2486" t="s">
        <v>2953</v>
      </c>
    </row>
  </sheetData>
  <mergeCells count="3">
    <mergeCell ref="A1:B1"/>
    <mergeCell ref="A28:B28"/>
    <mergeCell ref="A36:B36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indexed="30"/>
  </sheetPr>
  <dimension ref="A1:N610"/>
  <sheetViews>
    <sheetView showGridLines="0" topLeftCell="A160" zoomScale="80" workbookViewId="0">
      <selection activeCell="I166" sqref="I166"/>
    </sheetView>
  </sheetViews>
  <sheetFormatPr defaultColWidth="15.7109375" defaultRowHeight="12.75"/>
  <cols>
    <col min="1" max="1" width="10.42578125" style="12" customWidth="1"/>
    <col min="2" max="2" width="44.85546875" style="12" customWidth="1"/>
    <col min="3" max="3" width="18.85546875" style="10" customWidth="1"/>
    <col min="4" max="4" width="16.7109375" style="10" customWidth="1"/>
    <col min="5" max="5" width="5.42578125" style="11" customWidth="1"/>
    <col min="6" max="6" width="16.85546875" style="10" customWidth="1"/>
    <col min="7" max="7" width="22.85546875" style="10" customWidth="1"/>
    <col min="8" max="8" width="15.42578125" style="11" customWidth="1"/>
    <col min="9" max="9" width="14" style="11" customWidth="1"/>
    <col min="10" max="10" width="9.42578125" style="11" customWidth="1"/>
    <col min="11" max="13" width="15.7109375" style="11" customWidth="1"/>
    <col min="14" max="14" width="7.7109375" style="11" customWidth="1"/>
    <col min="15" max="16384" width="15.7109375" style="11"/>
  </cols>
  <sheetData>
    <row r="1" spans="1:7" s="16" customFormat="1" ht="45.75" customHeight="1">
      <c r="A1" s="1286" t="s">
        <v>1356</v>
      </c>
      <c r="B1" s="1287"/>
      <c r="C1" s="1288"/>
      <c r="D1" s="1288"/>
      <c r="E1" s="1288"/>
      <c r="F1" s="1288"/>
      <c r="G1" s="1289"/>
    </row>
    <row r="2" spans="1:7" s="128" customFormat="1" ht="17.25" customHeight="1">
      <c r="A2" s="125" t="s">
        <v>1961</v>
      </c>
      <c r="B2" s="1290" t="s">
        <v>796</v>
      </c>
      <c r="C2" s="1291"/>
      <c r="D2" s="1292"/>
      <c r="E2" s="133" t="s">
        <v>1038</v>
      </c>
      <c r="F2" s="998" t="s">
        <v>2301</v>
      </c>
      <c r="G2" s="1025" t="s">
        <v>2303</v>
      </c>
    </row>
    <row r="3" spans="1:7" s="128" customFormat="1" ht="17.25" customHeight="1">
      <c r="A3" s="923"/>
      <c r="B3" s="924" t="s">
        <v>2347</v>
      </c>
      <c r="C3" s="124"/>
      <c r="D3" s="894"/>
      <c r="E3" s="133"/>
      <c r="F3" s="998"/>
      <c r="G3" s="1025"/>
    </row>
    <row r="4" spans="1:7" s="136" customFormat="1" ht="14.25" customHeight="1">
      <c r="A4" s="134" t="s">
        <v>2216</v>
      </c>
      <c r="B4" s="905" t="s">
        <v>797</v>
      </c>
      <c r="C4" s="906"/>
      <c r="D4" s="907"/>
      <c r="E4" s="135">
        <v>203</v>
      </c>
      <c r="F4" s="999"/>
      <c r="G4" s="1026">
        <f>IF(SUMIF(KontoZ6SK,A4,SaldoZ6SK) &lt; 0,"Greska!",SUMIF(KontoZ6SK,A4,SaldoZ6SK))</f>
        <v>0</v>
      </c>
    </row>
    <row r="5" spans="1:7" s="136" customFormat="1" ht="15" customHeight="1">
      <c r="A5" s="904" t="s">
        <v>2217</v>
      </c>
      <c r="B5" s="904" t="s">
        <v>1331</v>
      </c>
      <c r="C5" s="908"/>
      <c r="D5" s="909"/>
      <c r="E5" s="135">
        <v>204</v>
      </c>
      <c r="F5" s="999"/>
      <c r="G5" s="1026">
        <f t="shared" ref="G5:G35" si="0">IF(SUMIF(KontoZ6SK,A5,SaldoZ6SK) &lt; 0,"Greska!",SUMIF(KontoZ6SK,A5,SaldoZ6SK))</f>
        <v>0</v>
      </c>
    </row>
    <row r="6" spans="1:7" s="136" customFormat="1" ht="14.25" customHeight="1">
      <c r="A6" s="137" t="s">
        <v>2218</v>
      </c>
      <c r="B6" s="905" t="s">
        <v>1332</v>
      </c>
      <c r="C6" s="910"/>
      <c r="D6" s="911"/>
      <c r="E6" s="135">
        <v>205</v>
      </c>
      <c r="F6" s="999"/>
      <c r="G6" s="1026">
        <f t="shared" si="0"/>
        <v>0</v>
      </c>
    </row>
    <row r="7" spans="1:7" s="136" customFormat="1" ht="14.25" customHeight="1">
      <c r="A7" s="137" t="s">
        <v>816</v>
      </c>
      <c r="B7" s="905" t="s">
        <v>1333</v>
      </c>
      <c r="C7" s="910"/>
      <c r="D7" s="911"/>
      <c r="E7" s="135">
        <v>207</v>
      </c>
      <c r="F7" s="999"/>
      <c r="G7" s="1026">
        <f t="shared" si="0"/>
        <v>0</v>
      </c>
    </row>
    <row r="8" spans="1:7" s="136" customFormat="1" ht="14.25" customHeight="1">
      <c r="A8" s="137" t="s">
        <v>889</v>
      </c>
      <c r="B8" s="905" t="s">
        <v>1334</v>
      </c>
      <c r="C8" s="910"/>
      <c r="D8" s="911"/>
      <c r="E8" s="135">
        <v>208</v>
      </c>
      <c r="F8" s="999"/>
      <c r="G8" s="1026">
        <f t="shared" si="0"/>
        <v>0</v>
      </c>
    </row>
    <row r="9" spans="1:7" s="136" customFormat="1" ht="14.25" customHeight="1">
      <c r="A9" s="137" t="s">
        <v>890</v>
      </c>
      <c r="B9" s="905" t="s">
        <v>1335</v>
      </c>
      <c r="C9" s="910"/>
      <c r="D9" s="911"/>
      <c r="E9" s="135">
        <v>209</v>
      </c>
      <c r="F9" s="999"/>
      <c r="G9" s="1026">
        <f t="shared" si="0"/>
        <v>0</v>
      </c>
    </row>
    <row r="10" spans="1:7" s="136" customFormat="1" ht="14.25" customHeight="1">
      <c r="A10" s="137" t="s">
        <v>1808</v>
      </c>
      <c r="B10" s="905" t="s">
        <v>1336</v>
      </c>
      <c r="C10" s="910"/>
      <c r="D10" s="911"/>
      <c r="E10" s="135">
        <v>210</v>
      </c>
      <c r="F10" s="999"/>
      <c r="G10" s="1026">
        <f t="shared" si="0"/>
        <v>0</v>
      </c>
    </row>
    <row r="11" spans="1:7" s="136" customFormat="1" ht="14.25" customHeight="1">
      <c r="A11" s="137" t="s">
        <v>1809</v>
      </c>
      <c r="B11" s="905" t="s">
        <v>1337</v>
      </c>
      <c r="C11" s="910"/>
      <c r="D11" s="911"/>
      <c r="E11" s="135">
        <v>210</v>
      </c>
      <c r="F11" s="999"/>
      <c r="G11" s="1026">
        <f t="shared" si="0"/>
        <v>0</v>
      </c>
    </row>
    <row r="12" spans="1:7" s="136" customFormat="1" ht="14.25" customHeight="1">
      <c r="A12" s="137" t="s">
        <v>519</v>
      </c>
      <c r="B12" s="905" t="s">
        <v>1071</v>
      </c>
      <c r="C12" s="910"/>
      <c r="D12" s="911"/>
      <c r="E12" s="135">
        <v>286</v>
      </c>
      <c r="F12" s="999"/>
      <c r="G12" s="1026">
        <f t="shared" si="0"/>
        <v>0</v>
      </c>
    </row>
    <row r="13" spans="1:7" s="136" customFormat="1" ht="14.25" customHeight="1">
      <c r="A13" s="137" t="s">
        <v>2353</v>
      </c>
      <c r="B13" s="905" t="s">
        <v>1338</v>
      </c>
      <c r="C13" s="910"/>
      <c r="D13" s="911"/>
      <c r="E13" s="135">
        <v>287</v>
      </c>
      <c r="F13" s="999"/>
      <c r="G13" s="1026">
        <f t="shared" si="0"/>
        <v>0</v>
      </c>
    </row>
    <row r="14" spans="1:7" s="136" customFormat="1" ht="14.25" customHeight="1">
      <c r="A14" s="137" t="s">
        <v>2354</v>
      </c>
      <c r="B14" s="905" t="s">
        <v>1339</v>
      </c>
      <c r="C14" s="910"/>
      <c r="D14" s="911"/>
      <c r="E14" s="135">
        <v>288</v>
      </c>
      <c r="F14" s="999"/>
      <c r="G14" s="1026">
        <f t="shared" si="0"/>
        <v>0</v>
      </c>
    </row>
    <row r="15" spans="1:7" s="136" customFormat="1" ht="14.25" customHeight="1">
      <c r="A15" s="1082" t="s">
        <v>2355</v>
      </c>
      <c r="B15" s="1138" t="s">
        <v>1340</v>
      </c>
      <c r="C15" s="920"/>
      <c r="D15" s="921"/>
      <c r="E15" s="930">
        <v>290</v>
      </c>
      <c r="F15" s="1140"/>
      <c r="G15" s="1141">
        <f>IF(SUMIF(KontoZ6SK,A15,SaldoZ6SK)*(-1) &lt; 0,G18,SUMIF(KontoZ6SK,A15,SaldoZ6SK)*(-1))</f>
        <v>0</v>
      </c>
    </row>
    <row r="16" spans="1:7" s="136" customFormat="1" ht="14.25" customHeight="1">
      <c r="A16" s="1082" t="s">
        <v>2356</v>
      </c>
      <c r="B16" s="1138" t="s">
        <v>1076</v>
      </c>
      <c r="C16" s="920"/>
      <c r="D16" s="921"/>
      <c r="E16" s="930">
        <v>291</v>
      </c>
      <c r="F16" s="1140"/>
      <c r="G16" s="1141">
        <f>IF(SUMIF(KontoZ6SK,A16,SaldoZ6SK)*(-1) &lt; 0,G19,SUMIF(KontoZ6SK,A16,SaldoZ6SK)*(-1))</f>
        <v>0</v>
      </c>
    </row>
    <row r="17" spans="1:8" s="136" customFormat="1" ht="14.25" customHeight="1">
      <c r="A17" s="1082" t="s">
        <v>2357</v>
      </c>
      <c r="B17" s="1138" t="s">
        <v>1341</v>
      </c>
      <c r="C17" s="920"/>
      <c r="D17" s="921"/>
      <c r="E17" s="930">
        <v>292</v>
      </c>
      <c r="F17" s="1140"/>
      <c r="G17" s="1141">
        <f>IF(SUMIF(KontoZ6SK,A17,SaldoZ6SK)*(-1) &lt; 0,G20,SUMIF(KontoZ6SK,A17,SaldoZ6SK)*(-1))</f>
        <v>0</v>
      </c>
    </row>
    <row r="18" spans="1:8" s="136" customFormat="1" ht="14.25" customHeight="1">
      <c r="A18" s="137" t="s">
        <v>182</v>
      </c>
      <c r="B18" s="905" t="s">
        <v>1342</v>
      </c>
      <c r="C18" s="910"/>
      <c r="D18" s="911"/>
      <c r="E18" s="135">
        <v>211</v>
      </c>
      <c r="F18" s="999"/>
      <c r="G18" s="1026">
        <f t="shared" si="0"/>
        <v>0</v>
      </c>
      <c r="H18" s="1214"/>
    </row>
    <row r="19" spans="1:8" s="136" customFormat="1">
      <c r="A19" s="137" t="s">
        <v>183</v>
      </c>
      <c r="B19" s="905" t="s">
        <v>1343</v>
      </c>
      <c r="C19" s="910"/>
      <c r="D19" s="911"/>
      <c r="E19" s="135">
        <v>211</v>
      </c>
      <c r="F19" s="999"/>
      <c r="G19" s="1026">
        <f t="shared" si="0"/>
        <v>0</v>
      </c>
    </row>
    <row r="20" spans="1:8" s="136" customFormat="1">
      <c r="A20" s="137" t="s">
        <v>2219</v>
      </c>
      <c r="B20" s="905" t="s">
        <v>2531</v>
      </c>
      <c r="C20" s="910"/>
      <c r="D20" s="911"/>
      <c r="E20" s="135">
        <v>211</v>
      </c>
      <c r="F20" s="999"/>
      <c r="G20" s="1026">
        <f t="shared" si="0"/>
        <v>0</v>
      </c>
    </row>
    <row r="21" spans="1:8" s="136" customFormat="1">
      <c r="A21" s="137" t="s">
        <v>814</v>
      </c>
      <c r="B21" s="905" t="s">
        <v>1344</v>
      </c>
      <c r="C21" s="910"/>
      <c r="D21" s="911"/>
      <c r="E21" s="135">
        <v>211</v>
      </c>
      <c r="F21" s="999"/>
      <c r="G21" s="1026">
        <f t="shared" si="0"/>
        <v>0</v>
      </c>
    </row>
    <row r="22" spans="1:8" s="136" customFormat="1">
      <c r="A22" s="137" t="s">
        <v>815</v>
      </c>
      <c r="B22" s="905" t="s">
        <v>1345</v>
      </c>
      <c r="C22" s="910"/>
      <c r="D22" s="911"/>
      <c r="E22" s="135">
        <v>211</v>
      </c>
      <c r="F22" s="999"/>
      <c r="G22" s="1026">
        <f t="shared" si="0"/>
        <v>0</v>
      </c>
    </row>
    <row r="23" spans="1:8" s="136" customFormat="1">
      <c r="A23" s="137" t="s">
        <v>2009</v>
      </c>
      <c r="B23" s="905" t="s">
        <v>1346</v>
      </c>
      <c r="C23" s="910"/>
      <c r="D23" s="911"/>
      <c r="E23" s="135">
        <v>211</v>
      </c>
      <c r="F23" s="999"/>
      <c r="G23" s="1026">
        <f t="shared" si="0"/>
        <v>0</v>
      </c>
    </row>
    <row r="24" spans="1:8" s="136" customFormat="1">
      <c r="A24" s="137" t="s">
        <v>2220</v>
      </c>
      <c r="B24" s="905" t="s">
        <v>1347</v>
      </c>
      <c r="C24" s="910"/>
      <c r="D24" s="911"/>
      <c r="E24" s="135">
        <v>211</v>
      </c>
      <c r="F24" s="999"/>
      <c r="G24" s="1026">
        <f t="shared" si="0"/>
        <v>0</v>
      </c>
      <c r="H24" s="934"/>
    </row>
    <row r="25" spans="1:8" s="136" customFormat="1">
      <c r="A25" s="137" t="s">
        <v>892</v>
      </c>
      <c r="B25" s="905" t="s">
        <v>1348</v>
      </c>
      <c r="C25" s="910"/>
      <c r="D25" s="911"/>
      <c r="E25" s="135">
        <v>228</v>
      </c>
      <c r="F25" s="999"/>
      <c r="G25" s="1026">
        <f t="shared" si="0"/>
        <v>0</v>
      </c>
    </row>
    <row r="26" spans="1:8" s="136" customFormat="1">
      <c r="A26" s="139" t="s">
        <v>2010</v>
      </c>
      <c r="B26" s="912" t="s">
        <v>1349</v>
      </c>
      <c r="C26" s="910"/>
      <c r="D26" s="911"/>
      <c r="E26" s="135">
        <v>229</v>
      </c>
      <c r="F26" s="999"/>
      <c r="G26" s="1026">
        <f t="shared" si="0"/>
        <v>0</v>
      </c>
    </row>
    <row r="27" spans="1:8" s="136" customFormat="1">
      <c r="A27" s="137" t="s">
        <v>2011</v>
      </c>
      <c r="B27" s="905" t="s">
        <v>1350</v>
      </c>
      <c r="C27" s="910"/>
      <c r="D27" s="911"/>
      <c r="E27" s="135">
        <v>230</v>
      </c>
      <c r="F27" s="999"/>
      <c r="G27" s="1026">
        <f t="shared" si="0"/>
        <v>0</v>
      </c>
    </row>
    <row r="28" spans="1:8" s="136" customFormat="1">
      <c r="A28" s="137" t="s">
        <v>2012</v>
      </c>
      <c r="B28" s="905" t="s">
        <v>1351</v>
      </c>
      <c r="C28" s="910"/>
      <c r="D28" s="911"/>
      <c r="E28" s="135">
        <v>231</v>
      </c>
      <c r="F28" s="999"/>
      <c r="G28" s="1026">
        <f t="shared" si="0"/>
        <v>0</v>
      </c>
    </row>
    <row r="29" spans="1:8" s="136" customFormat="1">
      <c r="A29" s="137" t="s">
        <v>2360</v>
      </c>
      <c r="B29" s="905" t="s">
        <v>1352</v>
      </c>
      <c r="C29" s="910"/>
      <c r="D29" s="911"/>
      <c r="E29" s="135">
        <v>232</v>
      </c>
      <c r="F29" s="999"/>
      <c r="G29" s="1026">
        <f t="shared" si="0"/>
        <v>0</v>
      </c>
    </row>
    <row r="30" spans="1:8" s="136" customFormat="1">
      <c r="A30" s="137" t="s">
        <v>2361</v>
      </c>
      <c r="B30" s="905" t="s">
        <v>1353</v>
      </c>
      <c r="C30" s="910"/>
      <c r="D30" s="911"/>
      <c r="E30" s="135">
        <v>233</v>
      </c>
      <c r="F30" s="999"/>
      <c r="G30" s="1026">
        <f t="shared" si="0"/>
        <v>0</v>
      </c>
    </row>
    <row r="31" spans="1:8" s="136" customFormat="1">
      <c r="A31" s="137" t="s">
        <v>2362</v>
      </c>
      <c r="B31" s="905" t="s">
        <v>1354</v>
      </c>
      <c r="C31" s="910"/>
      <c r="D31" s="911"/>
      <c r="E31" s="135">
        <v>245</v>
      </c>
      <c r="F31" s="999"/>
      <c r="G31" s="1026">
        <f t="shared" si="0"/>
        <v>0</v>
      </c>
    </row>
    <row r="32" spans="1:8" s="136" customFormat="1">
      <c r="A32" s="137" t="s">
        <v>2363</v>
      </c>
      <c r="B32" s="905" t="s">
        <v>2677</v>
      </c>
      <c r="C32" s="910"/>
      <c r="D32" s="911"/>
      <c r="E32" s="135">
        <v>246</v>
      </c>
      <c r="F32" s="999"/>
      <c r="G32" s="1026">
        <f t="shared" si="0"/>
        <v>0</v>
      </c>
    </row>
    <row r="33" spans="1:7" s="136" customFormat="1">
      <c r="A33" s="137" t="s">
        <v>2364</v>
      </c>
      <c r="B33" s="905" t="s">
        <v>2678</v>
      </c>
      <c r="C33" s="910"/>
      <c r="D33" s="911"/>
      <c r="E33" s="135">
        <v>247</v>
      </c>
      <c r="F33" s="999"/>
      <c r="G33" s="1026">
        <f t="shared" si="0"/>
        <v>0</v>
      </c>
    </row>
    <row r="34" spans="1:7" s="136" customFormat="1">
      <c r="A34" s="137" t="s">
        <v>2365</v>
      </c>
      <c r="B34" s="905" t="s">
        <v>2679</v>
      </c>
      <c r="C34" s="910"/>
      <c r="D34" s="911"/>
      <c r="E34" s="135">
        <v>304</v>
      </c>
      <c r="F34" s="999"/>
      <c r="G34" s="1026">
        <f t="shared" si="0"/>
        <v>0</v>
      </c>
    </row>
    <row r="35" spans="1:7" s="136" customFormat="1">
      <c r="A35" s="137" t="s">
        <v>2366</v>
      </c>
      <c r="B35" s="905" t="s">
        <v>2680</v>
      </c>
      <c r="C35" s="910"/>
      <c r="D35" s="911"/>
      <c r="E35" s="135">
        <v>248</v>
      </c>
      <c r="F35" s="999"/>
      <c r="G35" s="1026">
        <f t="shared" si="0"/>
        <v>0</v>
      </c>
    </row>
    <row r="36" spans="1:7" s="136" customFormat="1">
      <c r="A36" s="137" t="s">
        <v>2367</v>
      </c>
      <c r="B36" s="905" t="s">
        <v>2681</v>
      </c>
      <c r="C36" s="910"/>
      <c r="D36" s="911"/>
      <c r="E36" s="135">
        <v>249</v>
      </c>
      <c r="F36" s="999"/>
      <c r="G36" s="1026">
        <f t="shared" ref="G36:G52" si="1">IF(SUMIF(KontoZ6SK,A36,SaldoZ6SK) &lt; 0,"Greska!",SUMIF(KontoZ6SK,A36,SaldoZ6SK))</f>
        <v>0</v>
      </c>
    </row>
    <row r="37" spans="1:7" s="136" customFormat="1">
      <c r="A37" s="137" t="s">
        <v>2368</v>
      </c>
      <c r="B37" s="905" t="s">
        <v>2682</v>
      </c>
      <c r="C37" s="910"/>
      <c r="D37" s="911"/>
      <c r="E37" s="135">
        <v>250</v>
      </c>
      <c r="F37" s="999"/>
      <c r="G37" s="1026">
        <f t="shared" si="1"/>
        <v>0</v>
      </c>
    </row>
    <row r="38" spans="1:7" s="136" customFormat="1" ht="12.75" customHeight="1">
      <c r="A38" s="140" t="s">
        <v>2369</v>
      </c>
      <c r="B38" s="913" t="s">
        <v>2683</v>
      </c>
      <c r="C38" s="910"/>
      <c r="D38" s="911"/>
      <c r="E38" s="135">
        <v>251</v>
      </c>
      <c r="F38" s="999"/>
      <c r="G38" s="1026">
        <f t="shared" si="1"/>
        <v>0</v>
      </c>
    </row>
    <row r="39" spans="1:7" s="136" customFormat="1">
      <c r="A39" s="137" t="s">
        <v>2370</v>
      </c>
      <c r="B39" s="905" t="s">
        <v>2684</v>
      </c>
      <c r="C39" s="910"/>
      <c r="D39" s="911"/>
      <c r="E39" s="135">
        <v>252</v>
      </c>
      <c r="F39" s="999"/>
      <c r="G39" s="1026">
        <f t="shared" si="1"/>
        <v>0</v>
      </c>
    </row>
    <row r="40" spans="1:7" s="136" customFormat="1">
      <c r="A40" s="137" t="s">
        <v>2371</v>
      </c>
      <c r="B40" s="905" t="s">
        <v>2685</v>
      </c>
      <c r="C40" s="910"/>
      <c r="D40" s="911"/>
      <c r="E40" s="135">
        <v>253</v>
      </c>
      <c r="F40" s="999"/>
      <c r="G40" s="1026">
        <f t="shared" si="1"/>
        <v>0</v>
      </c>
    </row>
    <row r="41" spans="1:7" s="136" customFormat="1">
      <c r="A41" s="137" t="s">
        <v>2372</v>
      </c>
      <c r="B41" s="905" t="s">
        <v>2686</v>
      </c>
      <c r="C41" s="910"/>
      <c r="D41" s="911"/>
      <c r="E41" s="135">
        <v>267</v>
      </c>
      <c r="F41" s="999"/>
      <c r="G41" s="1026">
        <f t="shared" si="1"/>
        <v>0</v>
      </c>
    </row>
    <row r="42" spans="1:7" s="136" customFormat="1">
      <c r="A42" s="137" t="s">
        <v>2373</v>
      </c>
      <c r="B42" s="905" t="s">
        <v>2687</v>
      </c>
      <c r="C42" s="910"/>
      <c r="D42" s="911"/>
      <c r="E42" s="135">
        <v>268</v>
      </c>
      <c r="F42" s="999"/>
      <c r="G42" s="1026">
        <f t="shared" si="1"/>
        <v>0</v>
      </c>
    </row>
    <row r="43" spans="1:7" s="136" customFormat="1">
      <c r="A43" s="137" t="s">
        <v>2374</v>
      </c>
      <c r="B43" s="905" t="s">
        <v>2688</v>
      </c>
      <c r="C43" s="910"/>
      <c r="D43" s="911"/>
      <c r="E43" s="135">
        <v>269</v>
      </c>
      <c r="F43" s="999"/>
      <c r="G43" s="1026">
        <f t="shared" si="1"/>
        <v>0</v>
      </c>
    </row>
    <row r="44" spans="1:7" s="136" customFormat="1">
      <c r="A44" s="137" t="s">
        <v>2375</v>
      </c>
      <c r="B44" s="905" t="s">
        <v>2689</v>
      </c>
      <c r="C44" s="910"/>
      <c r="D44" s="911"/>
      <c r="E44" s="135">
        <v>270</v>
      </c>
      <c r="F44" s="999"/>
      <c r="G44" s="1026">
        <f t="shared" si="1"/>
        <v>0</v>
      </c>
    </row>
    <row r="45" spans="1:7" s="136" customFormat="1">
      <c r="A45" s="137" t="s">
        <v>2376</v>
      </c>
      <c r="B45" s="905" t="s">
        <v>2690</v>
      </c>
      <c r="C45" s="910"/>
      <c r="D45" s="911"/>
      <c r="E45" s="135">
        <v>271</v>
      </c>
      <c r="F45" s="999"/>
      <c r="G45" s="1026">
        <f t="shared" si="1"/>
        <v>0</v>
      </c>
    </row>
    <row r="46" spans="1:7" s="136" customFormat="1" ht="15" customHeight="1">
      <c r="A46" s="140" t="s">
        <v>2377</v>
      </c>
      <c r="B46" s="405" t="s">
        <v>2340</v>
      </c>
      <c r="C46" s="910"/>
      <c r="D46" s="911"/>
      <c r="E46" s="135">
        <v>272</v>
      </c>
      <c r="F46" s="999"/>
      <c r="G46" s="1026">
        <f t="shared" si="1"/>
        <v>0</v>
      </c>
    </row>
    <row r="47" spans="1:7" s="136" customFormat="1">
      <c r="A47" s="137" t="s">
        <v>2378</v>
      </c>
      <c r="B47" s="905" t="s">
        <v>2341</v>
      </c>
      <c r="C47" s="910"/>
      <c r="D47" s="911"/>
      <c r="E47" s="135">
        <v>273</v>
      </c>
      <c r="F47" s="999"/>
      <c r="G47" s="1026">
        <f t="shared" si="1"/>
        <v>0</v>
      </c>
    </row>
    <row r="48" spans="1:7" s="136" customFormat="1">
      <c r="A48" s="137" t="s">
        <v>2379</v>
      </c>
      <c r="B48" s="905" t="s">
        <v>2342</v>
      </c>
      <c r="C48" s="910"/>
      <c r="D48" s="911"/>
      <c r="E48" s="135">
        <v>274</v>
      </c>
      <c r="F48" s="999"/>
      <c r="G48" s="1026">
        <f t="shared" si="1"/>
        <v>0</v>
      </c>
    </row>
    <row r="49" spans="1:7" s="136" customFormat="1">
      <c r="A49" s="137" t="s">
        <v>2380</v>
      </c>
      <c r="B49" s="905" t="s">
        <v>2343</v>
      </c>
      <c r="C49" s="910"/>
      <c r="D49" s="911"/>
      <c r="E49" s="135">
        <v>304</v>
      </c>
      <c r="F49" s="999"/>
      <c r="G49" s="1026">
        <f t="shared" si="1"/>
        <v>0</v>
      </c>
    </row>
    <row r="50" spans="1:7" s="136" customFormat="1">
      <c r="A50" s="137" t="s">
        <v>2381</v>
      </c>
      <c r="B50" s="905" t="s">
        <v>205</v>
      </c>
      <c r="C50" s="910"/>
      <c r="D50" s="911"/>
      <c r="E50" s="135">
        <v>275</v>
      </c>
      <c r="F50" s="999"/>
      <c r="G50" s="1026">
        <f t="shared" si="1"/>
        <v>0</v>
      </c>
    </row>
    <row r="51" spans="1:7" s="136" customFormat="1">
      <c r="A51" s="137" t="s">
        <v>521</v>
      </c>
      <c r="B51" s="905" t="s">
        <v>2344</v>
      </c>
      <c r="C51" s="910"/>
      <c r="D51" s="911"/>
      <c r="E51" s="135">
        <v>295</v>
      </c>
      <c r="F51" s="999"/>
      <c r="G51" s="1026">
        <f t="shared" si="1"/>
        <v>0</v>
      </c>
    </row>
    <row r="52" spans="1:7" s="136" customFormat="1">
      <c r="A52" s="137" t="s">
        <v>2382</v>
      </c>
      <c r="B52" s="905" t="s">
        <v>2345</v>
      </c>
      <c r="C52" s="910"/>
      <c r="D52" s="911"/>
      <c r="E52" s="135">
        <v>295</v>
      </c>
      <c r="F52" s="999"/>
      <c r="G52" s="1026">
        <f t="shared" si="1"/>
        <v>0</v>
      </c>
    </row>
    <row r="53" spans="1:7" s="136" customFormat="1">
      <c r="A53" s="137" t="s">
        <v>2383</v>
      </c>
      <c r="B53" s="905" t="s">
        <v>2346</v>
      </c>
      <c r="C53" s="910"/>
      <c r="D53" s="911"/>
      <c r="E53" s="135"/>
      <c r="F53" s="914"/>
      <c r="G53" s="1026"/>
    </row>
    <row r="54" spans="1:7" s="136" customFormat="1" ht="15.75">
      <c r="A54" s="137"/>
      <c r="B54" s="919" t="s">
        <v>1355</v>
      </c>
      <c r="C54" s="920"/>
      <c r="D54" s="921"/>
      <c r="E54" s="135"/>
      <c r="F54" s="922">
        <f>SUM(F4:F14)+SUM(F18:F53)-SUM(F15:F17)</f>
        <v>0</v>
      </c>
      <c r="G54" s="922">
        <f>SUM(G4:G14)+SUM(G18:G53)-SUM(G15:G17)</f>
        <v>0</v>
      </c>
    </row>
    <row r="55" spans="1:7" s="136" customFormat="1" ht="18.75">
      <c r="A55" s="137"/>
      <c r="B55" s="925" t="s">
        <v>2348</v>
      </c>
      <c r="C55" s="910"/>
      <c r="D55" s="911"/>
      <c r="E55" s="135"/>
      <c r="F55" s="916"/>
      <c r="G55" s="915"/>
    </row>
    <row r="56" spans="1:7" s="136" customFormat="1">
      <c r="A56" s="137" t="s">
        <v>2414</v>
      </c>
      <c r="B56" s="905" t="s">
        <v>2349</v>
      </c>
      <c r="C56" s="910"/>
      <c r="D56" s="911"/>
      <c r="E56" s="135">
        <v>213</v>
      </c>
      <c r="F56" s="1000"/>
      <c r="G56" s="1027">
        <f t="shared" ref="G56:G87" si="2">IF(SUMIF(KontoZ5SK,A56,SaldoZ5SK)*(-1) &lt; 0,"Greska!",SUMIF(KontoZ5SK,A56,SaldoZ5SK)*(-1))</f>
        <v>0</v>
      </c>
    </row>
    <row r="57" spans="1:7" s="136" customFormat="1">
      <c r="A57" s="137" t="s">
        <v>2415</v>
      </c>
      <c r="B57" s="905" t="s">
        <v>2350</v>
      </c>
      <c r="C57" s="910"/>
      <c r="D57" s="911"/>
      <c r="E57" s="135">
        <v>213</v>
      </c>
      <c r="F57" s="1000"/>
      <c r="G57" s="1027">
        <f t="shared" si="2"/>
        <v>0</v>
      </c>
    </row>
    <row r="58" spans="1:7" s="136" customFormat="1">
      <c r="A58" s="137" t="s">
        <v>2416</v>
      </c>
      <c r="B58" s="905" t="s">
        <v>2351</v>
      </c>
      <c r="C58" s="910"/>
      <c r="D58" s="911"/>
      <c r="E58" s="135">
        <v>213</v>
      </c>
      <c r="F58" s="1000"/>
      <c r="G58" s="1027">
        <f t="shared" si="2"/>
        <v>0</v>
      </c>
    </row>
    <row r="59" spans="1:7" s="136" customFormat="1">
      <c r="A59" s="137" t="s">
        <v>2417</v>
      </c>
      <c r="B59" s="905" t="s">
        <v>2352</v>
      </c>
      <c r="C59" s="910"/>
      <c r="D59" s="911"/>
      <c r="E59" s="135">
        <v>214</v>
      </c>
      <c r="F59" s="1000"/>
      <c r="G59" s="1027">
        <f t="shared" si="2"/>
        <v>0</v>
      </c>
    </row>
    <row r="60" spans="1:7" s="136" customFormat="1">
      <c r="A60" s="137" t="s">
        <v>2418</v>
      </c>
      <c r="B60" s="905" t="s">
        <v>1828</v>
      </c>
      <c r="C60" s="910"/>
      <c r="D60" s="911"/>
      <c r="E60" s="135">
        <v>214</v>
      </c>
      <c r="F60" s="1000"/>
      <c r="G60" s="1027">
        <f t="shared" si="2"/>
        <v>0</v>
      </c>
    </row>
    <row r="61" spans="1:7" s="136" customFormat="1">
      <c r="A61" s="137" t="s">
        <v>2419</v>
      </c>
      <c r="B61" s="905" t="s">
        <v>1829</v>
      </c>
      <c r="C61" s="910"/>
      <c r="D61" s="911"/>
      <c r="E61" s="135">
        <v>214</v>
      </c>
      <c r="F61" s="1000"/>
      <c r="G61" s="1027">
        <f t="shared" si="2"/>
        <v>0</v>
      </c>
    </row>
    <row r="62" spans="1:7" s="136" customFormat="1">
      <c r="A62" s="137" t="s">
        <v>2420</v>
      </c>
      <c r="B62" s="905" t="s">
        <v>1830</v>
      </c>
      <c r="C62" s="910"/>
      <c r="D62" s="911"/>
      <c r="E62" s="135">
        <v>214</v>
      </c>
      <c r="F62" s="1000"/>
      <c r="G62" s="1027">
        <f t="shared" si="2"/>
        <v>0</v>
      </c>
    </row>
    <row r="63" spans="1:7" s="136" customFormat="1">
      <c r="A63" s="137" t="s">
        <v>2421</v>
      </c>
      <c r="B63" s="905" t="s">
        <v>1831</v>
      </c>
      <c r="C63" s="910"/>
      <c r="D63" s="911"/>
      <c r="E63" s="135">
        <v>214</v>
      </c>
      <c r="F63" s="1000"/>
      <c r="G63" s="1027">
        <f t="shared" si="2"/>
        <v>0</v>
      </c>
    </row>
    <row r="64" spans="1:7" s="136" customFormat="1">
      <c r="A64" s="137" t="s">
        <v>2422</v>
      </c>
      <c r="B64" s="905" t="s">
        <v>1832</v>
      </c>
      <c r="C64" s="910"/>
      <c r="D64" s="911"/>
      <c r="E64" s="135">
        <v>214</v>
      </c>
      <c r="F64" s="1000"/>
      <c r="G64" s="1027">
        <f t="shared" si="2"/>
        <v>0</v>
      </c>
    </row>
    <row r="65" spans="1:7" s="136" customFormat="1">
      <c r="A65" s="137" t="s">
        <v>2423</v>
      </c>
      <c r="B65" s="905" t="s">
        <v>1833</v>
      </c>
      <c r="C65" s="910"/>
      <c r="D65" s="911"/>
      <c r="E65" s="135">
        <v>216</v>
      </c>
      <c r="F65" s="1000"/>
      <c r="G65" s="1027">
        <f t="shared" si="2"/>
        <v>0</v>
      </c>
    </row>
    <row r="66" spans="1:7" s="136" customFormat="1">
      <c r="A66" s="137" t="s">
        <v>2424</v>
      </c>
      <c r="B66" s="905" t="s">
        <v>1834</v>
      </c>
      <c r="C66" s="910"/>
      <c r="D66" s="911"/>
      <c r="E66" s="135">
        <v>216</v>
      </c>
      <c r="F66" s="1000"/>
      <c r="G66" s="1027">
        <f t="shared" si="2"/>
        <v>0</v>
      </c>
    </row>
    <row r="67" spans="1:7" s="136" customFormat="1">
      <c r="A67" s="137" t="s">
        <v>2425</v>
      </c>
      <c r="B67" s="905" t="s">
        <v>1835</v>
      </c>
      <c r="C67" s="910"/>
      <c r="D67" s="911"/>
      <c r="E67" s="135">
        <v>217</v>
      </c>
      <c r="F67" s="1000"/>
      <c r="G67" s="1027">
        <f t="shared" si="2"/>
        <v>0</v>
      </c>
    </row>
    <row r="68" spans="1:7" s="136" customFormat="1">
      <c r="A68" s="137" t="s">
        <v>2426</v>
      </c>
      <c r="B68" s="905" t="s">
        <v>1836</v>
      </c>
      <c r="C68" s="910"/>
      <c r="D68" s="911"/>
      <c r="E68" s="135">
        <v>217</v>
      </c>
      <c r="F68" s="1000"/>
      <c r="G68" s="1027">
        <f t="shared" si="2"/>
        <v>0</v>
      </c>
    </row>
    <row r="69" spans="1:7" s="136" customFormat="1">
      <c r="A69" s="137" t="s">
        <v>1021</v>
      </c>
      <c r="B69" s="905" t="s">
        <v>1837</v>
      </c>
      <c r="C69" s="910"/>
      <c r="D69" s="911"/>
      <c r="E69" s="135">
        <v>218</v>
      </c>
      <c r="F69" s="1000"/>
      <c r="G69" s="1027">
        <f t="shared" si="2"/>
        <v>0</v>
      </c>
    </row>
    <row r="70" spans="1:7" s="136" customFormat="1">
      <c r="A70" s="137" t="s">
        <v>1022</v>
      </c>
      <c r="B70" s="905" t="s">
        <v>1838</v>
      </c>
      <c r="C70" s="910"/>
      <c r="D70" s="911"/>
      <c r="E70" s="135">
        <v>218</v>
      </c>
      <c r="F70" s="1000"/>
      <c r="G70" s="1027">
        <f t="shared" si="2"/>
        <v>0</v>
      </c>
    </row>
    <row r="71" spans="1:7" s="136" customFormat="1">
      <c r="A71" s="137" t="s">
        <v>334</v>
      </c>
      <c r="B71" s="905" t="s">
        <v>1839</v>
      </c>
      <c r="C71" s="910"/>
      <c r="D71" s="911"/>
      <c r="E71" s="135">
        <v>219</v>
      </c>
      <c r="F71" s="1000"/>
      <c r="G71" s="1027">
        <f t="shared" si="2"/>
        <v>0</v>
      </c>
    </row>
    <row r="72" spans="1:7" s="136" customFormat="1">
      <c r="A72" s="137" t="s">
        <v>2200</v>
      </c>
      <c r="B72" s="905" t="s">
        <v>1840</v>
      </c>
      <c r="C72" s="910"/>
      <c r="D72" s="911"/>
      <c r="E72" s="135">
        <v>219</v>
      </c>
      <c r="F72" s="1000"/>
      <c r="G72" s="1027">
        <f t="shared" si="2"/>
        <v>0</v>
      </c>
    </row>
    <row r="73" spans="1:7" s="136" customFormat="1">
      <c r="A73" s="137" t="s">
        <v>2201</v>
      </c>
      <c r="B73" s="905" t="s">
        <v>1841</v>
      </c>
      <c r="C73" s="910"/>
      <c r="D73" s="911"/>
      <c r="E73" s="135">
        <v>219</v>
      </c>
      <c r="F73" s="1000"/>
      <c r="G73" s="1027">
        <f t="shared" si="2"/>
        <v>0</v>
      </c>
    </row>
    <row r="74" spans="1:7" s="136" customFormat="1">
      <c r="A74" s="137" t="s">
        <v>1726</v>
      </c>
      <c r="B74" s="905" t="s">
        <v>1842</v>
      </c>
      <c r="C74" s="910"/>
      <c r="D74" s="911"/>
      <c r="E74" s="135">
        <v>219</v>
      </c>
      <c r="F74" s="1000"/>
      <c r="G74" s="1027">
        <f t="shared" si="2"/>
        <v>0</v>
      </c>
    </row>
    <row r="75" spans="1:7" s="136" customFormat="1">
      <c r="A75" s="137" t="s">
        <v>1727</v>
      </c>
      <c r="B75" s="905" t="s">
        <v>1843</v>
      </c>
      <c r="C75" s="910"/>
      <c r="D75" s="911"/>
      <c r="E75" s="135">
        <v>219</v>
      </c>
      <c r="F75" s="1000"/>
      <c r="G75" s="1027">
        <f t="shared" si="2"/>
        <v>0</v>
      </c>
    </row>
    <row r="76" spans="1:7" s="136" customFormat="1">
      <c r="A76" s="137" t="s">
        <v>1728</v>
      </c>
      <c r="B76" s="905" t="s">
        <v>1844</v>
      </c>
      <c r="C76" s="910"/>
      <c r="D76" s="911"/>
      <c r="E76" s="135">
        <v>219</v>
      </c>
      <c r="F76" s="1000"/>
      <c r="G76" s="1027">
        <f t="shared" si="2"/>
        <v>0</v>
      </c>
    </row>
    <row r="77" spans="1:7" s="136" customFormat="1">
      <c r="A77" s="137" t="s">
        <v>1729</v>
      </c>
      <c r="B77" s="905" t="s">
        <v>1845</v>
      </c>
      <c r="C77" s="910"/>
      <c r="D77" s="911"/>
      <c r="E77" s="135">
        <v>219</v>
      </c>
      <c r="F77" s="1000"/>
      <c r="G77" s="1027">
        <f t="shared" si="2"/>
        <v>0</v>
      </c>
    </row>
    <row r="78" spans="1:7" s="136" customFormat="1">
      <c r="A78" s="137" t="s">
        <v>1730</v>
      </c>
      <c r="B78" s="905" t="s">
        <v>1846</v>
      </c>
      <c r="C78" s="910"/>
      <c r="D78" s="911"/>
      <c r="E78" s="135">
        <v>219</v>
      </c>
      <c r="F78" s="1000"/>
      <c r="G78" s="1027">
        <f t="shared" si="2"/>
        <v>0</v>
      </c>
    </row>
    <row r="79" spans="1:7" s="136" customFormat="1">
      <c r="A79" s="137" t="s">
        <v>1731</v>
      </c>
      <c r="B79" s="905" t="s">
        <v>1847</v>
      </c>
      <c r="C79" s="910"/>
      <c r="D79" s="911"/>
      <c r="E79" s="135">
        <v>219</v>
      </c>
      <c r="F79" s="1000"/>
      <c r="G79" s="1027">
        <f t="shared" si="2"/>
        <v>0</v>
      </c>
    </row>
    <row r="80" spans="1:7" s="136" customFormat="1">
      <c r="A80" s="137" t="s">
        <v>335</v>
      </c>
      <c r="B80" s="905" t="s">
        <v>1848</v>
      </c>
      <c r="C80" s="910"/>
      <c r="D80" s="911"/>
      <c r="E80" s="135">
        <v>220</v>
      </c>
      <c r="F80" s="1000"/>
      <c r="G80" s="1027">
        <f t="shared" si="2"/>
        <v>0</v>
      </c>
    </row>
    <row r="81" spans="1:7" s="136" customFormat="1">
      <c r="A81" s="137" t="s">
        <v>1732</v>
      </c>
      <c r="B81" s="905" t="s">
        <v>99</v>
      </c>
      <c r="C81" s="910"/>
      <c r="D81" s="911"/>
      <c r="E81" s="135">
        <v>220</v>
      </c>
      <c r="F81" s="1000"/>
      <c r="G81" s="1027">
        <f t="shared" si="2"/>
        <v>0</v>
      </c>
    </row>
    <row r="82" spans="1:7" s="136" customFormat="1">
      <c r="A82" s="137" t="s">
        <v>1733</v>
      </c>
      <c r="B82" s="905" t="s">
        <v>100</v>
      </c>
      <c r="C82" s="910"/>
      <c r="D82" s="911"/>
      <c r="E82" s="135">
        <v>220</v>
      </c>
      <c r="F82" s="1000"/>
      <c r="G82" s="1027">
        <f t="shared" si="2"/>
        <v>0</v>
      </c>
    </row>
    <row r="83" spans="1:7" s="136" customFormat="1">
      <c r="A83" s="137" t="s">
        <v>2359</v>
      </c>
      <c r="B83" s="905" t="s">
        <v>102</v>
      </c>
      <c r="C83" s="910"/>
      <c r="D83" s="911"/>
      <c r="E83" s="135">
        <v>221</v>
      </c>
      <c r="F83" s="1000"/>
      <c r="G83" s="1027">
        <f t="shared" si="2"/>
        <v>0</v>
      </c>
    </row>
    <row r="84" spans="1:7" s="136" customFormat="1">
      <c r="A84" s="137" t="s">
        <v>1734</v>
      </c>
      <c r="B84" s="905" t="s">
        <v>101</v>
      </c>
      <c r="C84" s="910"/>
      <c r="D84" s="911"/>
      <c r="E84" s="135">
        <v>221</v>
      </c>
      <c r="F84" s="1000"/>
      <c r="G84" s="1027">
        <f t="shared" si="2"/>
        <v>0</v>
      </c>
    </row>
    <row r="85" spans="1:7" s="136" customFormat="1">
      <c r="A85" s="137" t="s">
        <v>1735</v>
      </c>
      <c r="B85" s="905" t="s">
        <v>103</v>
      </c>
      <c r="C85" s="910"/>
      <c r="D85" s="911"/>
      <c r="E85" s="135">
        <v>221</v>
      </c>
      <c r="F85" s="1000"/>
      <c r="G85" s="1027">
        <f t="shared" si="2"/>
        <v>0</v>
      </c>
    </row>
    <row r="86" spans="1:7" s="136" customFormat="1">
      <c r="A86" s="137" t="s">
        <v>1736</v>
      </c>
      <c r="B86" s="905" t="s">
        <v>104</v>
      </c>
      <c r="C86" s="910"/>
      <c r="D86" s="911"/>
      <c r="E86" s="135">
        <v>221</v>
      </c>
      <c r="F86" s="1000"/>
      <c r="G86" s="1027">
        <f t="shared" si="2"/>
        <v>0</v>
      </c>
    </row>
    <row r="87" spans="1:7" s="136" customFormat="1">
      <c r="A87" s="137" t="s">
        <v>2215</v>
      </c>
      <c r="B87" s="905" t="s">
        <v>105</v>
      </c>
      <c r="C87" s="910"/>
      <c r="D87" s="911"/>
      <c r="E87" s="135">
        <v>221</v>
      </c>
      <c r="F87" s="1000"/>
      <c r="G87" s="1027">
        <f t="shared" si="2"/>
        <v>0</v>
      </c>
    </row>
    <row r="88" spans="1:7" s="136" customFormat="1">
      <c r="A88" s="137" t="s">
        <v>1737</v>
      </c>
      <c r="B88" s="905" t="s">
        <v>106</v>
      </c>
      <c r="C88" s="910"/>
      <c r="D88" s="911"/>
      <c r="E88" s="135">
        <v>221</v>
      </c>
      <c r="F88" s="1000"/>
      <c r="G88" s="1027">
        <f t="shared" ref="G88:G123" si="3">IF(SUMIF(KontoZ5SK,A88,SaldoZ5SK)*(-1) &lt; 0,"Greska!",SUMIF(KontoZ5SK,A88,SaldoZ5SK)*(-1))</f>
        <v>0</v>
      </c>
    </row>
    <row r="89" spans="1:7" s="136" customFormat="1">
      <c r="A89" s="137" t="s">
        <v>1738</v>
      </c>
      <c r="B89" s="905" t="s">
        <v>107</v>
      </c>
      <c r="C89" s="910"/>
      <c r="D89" s="911"/>
      <c r="E89" s="135">
        <v>221</v>
      </c>
      <c r="F89" s="1000"/>
      <c r="G89" s="1027">
        <f t="shared" si="3"/>
        <v>0</v>
      </c>
    </row>
    <row r="90" spans="1:7" s="136" customFormat="1">
      <c r="A90" s="137" t="s">
        <v>1739</v>
      </c>
      <c r="B90" s="905" t="s">
        <v>108</v>
      </c>
      <c r="C90" s="910"/>
      <c r="D90" s="911"/>
      <c r="E90" s="135">
        <v>222</v>
      </c>
      <c r="F90" s="1000"/>
      <c r="G90" s="1027">
        <f t="shared" si="3"/>
        <v>0</v>
      </c>
    </row>
    <row r="91" spans="1:7" s="136" customFormat="1">
      <c r="A91" s="137" t="s">
        <v>1740</v>
      </c>
      <c r="B91" s="905" t="s">
        <v>2253</v>
      </c>
      <c r="C91" s="910"/>
      <c r="D91" s="911"/>
      <c r="E91" s="135">
        <v>222</v>
      </c>
      <c r="F91" s="1000"/>
      <c r="G91" s="1027">
        <f t="shared" si="3"/>
        <v>0</v>
      </c>
    </row>
    <row r="92" spans="1:7" s="136" customFormat="1">
      <c r="A92" s="137" t="s">
        <v>1741</v>
      </c>
      <c r="B92" s="905" t="s">
        <v>109</v>
      </c>
      <c r="C92" s="910"/>
      <c r="D92" s="911"/>
      <c r="E92" s="135">
        <v>222</v>
      </c>
      <c r="F92" s="1000"/>
      <c r="G92" s="1027">
        <f t="shared" si="3"/>
        <v>0</v>
      </c>
    </row>
    <row r="93" spans="1:7" s="136" customFormat="1">
      <c r="A93" s="137" t="s">
        <v>1742</v>
      </c>
      <c r="B93" s="905" t="s">
        <v>110</v>
      </c>
      <c r="C93" s="910"/>
      <c r="D93" s="911"/>
      <c r="E93" s="135">
        <v>222</v>
      </c>
      <c r="F93" s="1000"/>
      <c r="G93" s="1027">
        <f t="shared" si="3"/>
        <v>0</v>
      </c>
    </row>
    <row r="94" spans="1:7" s="136" customFormat="1">
      <c r="A94" s="137" t="s">
        <v>1743</v>
      </c>
      <c r="B94" s="905" t="s">
        <v>111</v>
      </c>
      <c r="C94" s="910"/>
      <c r="D94" s="911"/>
      <c r="E94" s="135">
        <v>222</v>
      </c>
      <c r="F94" s="1000"/>
      <c r="G94" s="1027">
        <f t="shared" si="3"/>
        <v>0</v>
      </c>
    </row>
    <row r="95" spans="1:7" s="136" customFormat="1">
      <c r="A95" s="137" t="s">
        <v>1744</v>
      </c>
      <c r="B95" s="905" t="s">
        <v>112</v>
      </c>
      <c r="C95" s="910"/>
      <c r="D95" s="911"/>
      <c r="E95" s="135">
        <v>222</v>
      </c>
      <c r="F95" s="1000"/>
      <c r="G95" s="1027">
        <f t="shared" si="3"/>
        <v>0</v>
      </c>
    </row>
    <row r="96" spans="1:7" s="136" customFormat="1">
      <c r="A96" s="137" t="s">
        <v>1745</v>
      </c>
      <c r="B96" s="905" t="s">
        <v>113</v>
      </c>
      <c r="C96" s="910"/>
      <c r="D96" s="911"/>
      <c r="E96" s="135">
        <v>222</v>
      </c>
      <c r="F96" s="1000"/>
      <c r="G96" s="1027">
        <f t="shared" si="3"/>
        <v>0</v>
      </c>
    </row>
    <row r="97" spans="1:7" s="136" customFormat="1">
      <c r="A97" s="137" t="s">
        <v>1746</v>
      </c>
      <c r="B97" s="1136" t="s">
        <v>2824</v>
      </c>
      <c r="C97" s="910"/>
      <c r="D97" s="911"/>
      <c r="E97" s="135">
        <v>222</v>
      </c>
      <c r="F97" s="1000"/>
      <c r="G97" s="1027">
        <f t="shared" si="3"/>
        <v>0</v>
      </c>
    </row>
    <row r="98" spans="1:7" s="136" customFormat="1">
      <c r="A98" s="137" t="s">
        <v>1747</v>
      </c>
      <c r="B98" s="905" t="s">
        <v>114</v>
      </c>
      <c r="C98" s="910"/>
      <c r="D98" s="911"/>
      <c r="E98" s="135">
        <v>235</v>
      </c>
      <c r="F98" s="1000"/>
      <c r="G98" s="1027">
        <f t="shared" si="3"/>
        <v>0</v>
      </c>
    </row>
    <row r="99" spans="1:7" s="136" customFormat="1">
      <c r="A99" s="137" t="s">
        <v>1748</v>
      </c>
      <c r="B99" s="905" t="s">
        <v>115</v>
      </c>
      <c r="C99" s="910"/>
      <c r="D99" s="911"/>
      <c r="E99" s="135">
        <v>236</v>
      </c>
      <c r="F99" s="1000"/>
      <c r="G99" s="1027">
        <f t="shared" si="3"/>
        <v>0</v>
      </c>
    </row>
    <row r="100" spans="1:7" s="136" customFormat="1">
      <c r="A100" s="137" t="s">
        <v>1749</v>
      </c>
      <c r="B100" s="905" t="s">
        <v>116</v>
      </c>
      <c r="C100" s="910"/>
      <c r="D100" s="911"/>
      <c r="E100" s="135">
        <v>237</v>
      </c>
      <c r="F100" s="1000"/>
      <c r="G100" s="1027">
        <f t="shared" si="3"/>
        <v>0</v>
      </c>
    </row>
    <row r="101" spans="1:7" s="136" customFormat="1">
      <c r="A101" s="137" t="s">
        <v>1750</v>
      </c>
      <c r="B101" s="905" t="s">
        <v>117</v>
      </c>
      <c r="C101" s="910"/>
      <c r="D101" s="911"/>
      <c r="E101" s="135">
        <v>238</v>
      </c>
      <c r="F101" s="1000"/>
      <c r="G101" s="1027">
        <f t="shared" si="3"/>
        <v>0</v>
      </c>
    </row>
    <row r="102" spans="1:7" s="136" customFormat="1">
      <c r="A102" s="137" t="s">
        <v>1751</v>
      </c>
      <c r="B102" s="905" t="s">
        <v>118</v>
      </c>
      <c r="C102" s="910"/>
      <c r="D102" s="911"/>
      <c r="E102" s="135">
        <v>239</v>
      </c>
      <c r="F102" s="1000"/>
      <c r="G102" s="1027">
        <f t="shared" si="3"/>
        <v>0</v>
      </c>
    </row>
    <row r="103" spans="1:7" s="136" customFormat="1">
      <c r="A103" s="137" t="s">
        <v>1752</v>
      </c>
      <c r="B103" s="905" t="s">
        <v>119</v>
      </c>
      <c r="C103" s="910"/>
      <c r="D103" s="911"/>
      <c r="E103" s="135">
        <v>255</v>
      </c>
      <c r="F103" s="1000"/>
      <c r="G103" s="1027">
        <f t="shared" si="3"/>
        <v>0</v>
      </c>
    </row>
    <row r="104" spans="1:7" s="136" customFormat="1">
      <c r="A104" s="137" t="s">
        <v>1753</v>
      </c>
      <c r="B104" s="905" t="s">
        <v>120</v>
      </c>
      <c r="C104" s="910"/>
      <c r="D104" s="911"/>
      <c r="E104" s="135">
        <v>256</v>
      </c>
      <c r="F104" s="1000"/>
      <c r="G104" s="1027">
        <f t="shared" si="3"/>
        <v>0</v>
      </c>
    </row>
    <row r="105" spans="1:7" s="136" customFormat="1">
      <c r="A105" s="137" t="s">
        <v>1754</v>
      </c>
      <c r="B105" s="905" t="s">
        <v>121</v>
      </c>
      <c r="C105" s="910"/>
      <c r="D105" s="911"/>
      <c r="E105" s="135">
        <v>257</v>
      </c>
      <c r="F105" s="1000"/>
      <c r="G105" s="1027">
        <f t="shared" si="3"/>
        <v>0</v>
      </c>
    </row>
    <row r="106" spans="1:7" s="136" customFormat="1">
      <c r="A106" s="137" t="s">
        <v>1755</v>
      </c>
      <c r="B106" s="905" t="s">
        <v>122</v>
      </c>
      <c r="C106" s="910"/>
      <c r="D106" s="911"/>
      <c r="E106" s="135">
        <v>305</v>
      </c>
      <c r="F106" s="1000"/>
      <c r="G106" s="1027">
        <f t="shared" si="3"/>
        <v>0</v>
      </c>
    </row>
    <row r="107" spans="1:7" s="136" customFormat="1">
      <c r="A107" s="137" t="s">
        <v>1756</v>
      </c>
      <c r="B107" s="905" t="s">
        <v>123</v>
      </c>
      <c r="C107" s="910"/>
      <c r="D107" s="911"/>
      <c r="E107" s="135">
        <v>258</v>
      </c>
      <c r="F107" s="1000"/>
      <c r="G107" s="1027">
        <f t="shared" si="3"/>
        <v>0</v>
      </c>
    </row>
    <row r="108" spans="1:7" s="136" customFormat="1">
      <c r="A108" s="137" t="s">
        <v>1757</v>
      </c>
      <c r="B108" s="905" t="s">
        <v>124</v>
      </c>
      <c r="C108" s="910"/>
      <c r="D108" s="911"/>
      <c r="E108" s="135">
        <v>259</v>
      </c>
      <c r="F108" s="1000"/>
      <c r="G108" s="1027">
        <f t="shared" si="3"/>
        <v>0</v>
      </c>
    </row>
    <row r="109" spans="1:7" s="136" customFormat="1">
      <c r="A109" s="137" t="s">
        <v>1758</v>
      </c>
      <c r="B109" s="905" t="s">
        <v>125</v>
      </c>
      <c r="C109" s="910"/>
      <c r="D109" s="911"/>
      <c r="E109" s="135">
        <v>260</v>
      </c>
      <c r="F109" s="1000"/>
      <c r="G109" s="1027">
        <f t="shared" si="3"/>
        <v>0</v>
      </c>
    </row>
    <row r="110" spans="1:7" s="136" customFormat="1">
      <c r="A110" s="137" t="s">
        <v>1759</v>
      </c>
      <c r="B110" s="1136" t="s">
        <v>126</v>
      </c>
      <c r="C110" s="910"/>
      <c r="D110" s="911"/>
      <c r="E110" s="135">
        <v>261</v>
      </c>
      <c r="F110" s="1000"/>
      <c r="G110" s="1027">
        <f t="shared" si="3"/>
        <v>0</v>
      </c>
    </row>
    <row r="111" spans="1:7" s="136" customFormat="1">
      <c r="A111" s="137" t="s">
        <v>1760</v>
      </c>
      <c r="B111" s="905" t="s">
        <v>127</v>
      </c>
      <c r="C111" s="910"/>
      <c r="D111" s="911"/>
      <c r="E111" s="135">
        <v>262</v>
      </c>
      <c r="F111" s="1000"/>
      <c r="G111" s="1027">
        <f t="shared" si="3"/>
        <v>0</v>
      </c>
    </row>
    <row r="112" spans="1:7" s="136" customFormat="1">
      <c r="A112" s="137" t="s">
        <v>1761</v>
      </c>
      <c r="B112" s="905" t="s">
        <v>1891</v>
      </c>
      <c r="C112" s="910"/>
      <c r="D112" s="911"/>
      <c r="E112" s="135">
        <v>263</v>
      </c>
      <c r="F112" s="1000"/>
      <c r="G112" s="1027">
        <f t="shared" si="3"/>
        <v>0</v>
      </c>
    </row>
    <row r="113" spans="1:12" s="136" customFormat="1">
      <c r="A113" s="137" t="s">
        <v>1762</v>
      </c>
      <c r="B113" s="905" t="s">
        <v>1892</v>
      </c>
      <c r="C113" s="910"/>
      <c r="D113" s="911"/>
      <c r="E113" s="135">
        <v>277</v>
      </c>
      <c r="F113" s="1000"/>
      <c r="G113" s="1027">
        <f t="shared" si="3"/>
        <v>0</v>
      </c>
    </row>
    <row r="114" spans="1:12" s="136" customFormat="1">
      <c r="A114" s="137" t="s">
        <v>1763</v>
      </c>
      <c r="B114" s="905" t="s">
        <v>209</v>
      </c>
      <c r="C114" s="910"/>
      <c r="D114" s="911"/>
      <c r="E114" s="135">
        <v>278</v>
      </c>
      <c r="F114" s="1000"/>
      <c r="G114" s="1027">
        <f t="shared" si="3"/>
        <v>0</v>
      </c>
    </row>
    <row r="115" spans="1:12" s="136" customFormat="1">
      <c r="A115" s="137" t="s">
        <v>1764</v>
      </c>
      <c r="B115" s="905" t="s">
        <v>1893</v>
      </c>
      <c r="C115" s="910"/>
      <c r="D115" s="911"/>
      <c r="E115" s="135">
        <v>279</v>
      </c>
      <c r="F115" s="1000"/>
      <c r="G115" s="1027">
        <f t="shared" si="3"/>
        <v>0</v>
      </c>
    </row>
    <row r="116" spans="1:12" s="136" customFormat="1">
      <c r="A116" s="137" t="s">
        <v>1765</v>
      </c>
      <c r="B116" s="905" t="s">
        <v>1894</v>
      </c>
      <c r="C116" s="910"/>
      <c r="D116" s="911"/>
      <c r="E116" s="135">
        <v>280</v>
      </c>
      <c r="F116" s="1000"/>
      <c r="G116" s="1027">
        <f t="shared" si="3"/>
        <v>0</v>
      </c>
    </row>
    <row r="117" spans="1:12" s="136" customFormat="1">
      <c r="A117" s="137" t="s">
        <v>1766</v>
      </c>
      <c r="B117" s="905" t="s">
        <v>1895</v>
      </c>
      <c r="C117" s="910"/>
      <c r="D117" s="911"/>
      <c r="E117" s="135">
        <v>281</v>
      </c>
      <c r="F117" s="1000"/>
      <c r="G117" s="1027">
        <f t="shared" si="3"/>
        <v>0</v>
      </c>
    </row>
    <row r="118" spans="1:12" s="136" customFormat="1">
      <c r="A118" s="137" t="s">
        <v>1767</v>
      </c>
      <c r="B118" s="905" t="s">
        <v>213</v>
      </c>
      <c r="C118" s="910"/>
      <c r="D118" s="911"/>
      <c r="E118" s="135">
        <v>282</v>
      </c>
      <c r="F118" s="1000"/>
      <c r="G118" s="1027">
        <f t="shared" si="3"/>
        <v>0</v>
      </c>
    </row>
    <row r="119" spans="1:12" s="136" customFormat="1">
      <c r="A119" s="137" t="s">
        <v>1768</v>
      </c>
      <c r="B119" s="905" t="s">
        <v>1896</v>
      </c>
      <c r="C119" s="910"/>
      <c r="D119" s="911"/>
      <c r="E119" s="135">
        <v>283</v>
      </c>
      <c r="F119" s="1000"/>
      <c r="G119" s="1027">
        <f t="shared" si="3"/>
        <v>0</v>
      </c>
    </row>
    <row r="120" spans="1:12" s="136" customFormat="1" ht="13.5" thickBot="1">
      <c r="A120" s="137" t="s">
        <v>1769</v>
      </c>
      <c r="B120" s="905" t="s">
        <v>1897</v>
      </c>
      <c r="C120" s="910"/>
      <c r="D120" s="911"/>
      <c r="E120" s="135">
        <v>305</v>
      </c>
      <c r="F120" s="1000"/>
      <c r="G120" s="1027">
        <f t="shared" si="3"/>
        <v>0</v>
      </c>
    </row>
    <row r="121" spans="1:12" s="136" customFormat="1">
      <c r="A121" s="137" t="s">
        <v>1770</v>
      </c>
      <c r="B121" s="905" t="s">
        <v>1898</v>
      </c>
      <c r="C121" s="910"/>
      <c r="D121" s="911"/>
      <c r="E121" s="135">
        <v>284</v>
      </c>
      <c r="F121" s="1000"/>
      <c r="G121" s="1027">
        <f t="shared" si="3"/>
        <v>0</v>
      </c>
      <c r="J121" s="1309" t="s">
        <v>2799</v>
      </c>
      <c r="K121" s="1310"/>
      <c r="L121" s="1311"/>
    </row>
    <row r="122" spans="1:12" s="136" customFormat="1" ht="13.5" thickBot="1">
      <c r="A122" s="137" t="s">
        <v>1771</v>
      </c>
      <c r="B122" s="905" t="s">
        <v>1899</v>
      </c>
      <c r="C122" s="910"/>
      <c r="D122" s="911"/>
      <c r="E122" s="135">
        <v>296</v>
      </c>
      <c r="F122" s="1000"/>
      <c r="G122" s="1027">
        <f t="shared" si="3"/>
        <v>0</v>
      </c>
      <c r="J122" s="1312"/>
      <c r="K122" s="1313"/>
      <c r="L122" s="1314"/>
    </row>
    <row r="123" spans="1:12" s="136" customFormat="1" ht="12.75" customHeight="1">
      <c r="A123" s="137" t="s">
        <v>1772</v>
      </c>
      <c r="B123" s="905" t="s">
        <v>1900</v>
      </c>
      <c r="C123" s="910"/>
      <c r="D123" s="911"/>
      <c r="E123" s="135">
        <v>296</v>
      </c>
      <c r="F123" s="1000"/>
      <c r="G123" s="1027">
        <f t="shared" si="3"/>
        <v>0</v>
      </c>
      <c r="H123" s="1181" t="s">
        <v>98</v>
      </c>
      <c r="I123" s="1196"/>
      <c r="J123" s="1300" t="s">
        <v>2798</v>
      </c>
      <c r="K123" s="1301"/>
      <c r="L123" s="1302"/>
    </row>
    <row r="124" spans="1:12" s="136" customFormat="1">
      <c r="A124" s="1200" t="s">
        <v>1773</v>
      </c>
      <c r="B124" s="1197" t="s">
        <v>1901</v>
      </c>
      <c r="C124" s="1198"/>
      <c r="D124" s="1199"/>
      <c r="E124" s="135">
        <v>223</v>
      </c>
      <c r="F124" s="1000"/>
      <c r="G124" s="1027">
        <f>IF(SUMIF(KontoZ5SK,A124,SaldoZ5SK) &lt; 0,"Greska!",SUMIF(KontoZ5SK,A124,SaldoZ5SK))</f>
        <v>0</v>
      </c>
      <c r="H124" s="1182">
        <f>IF('bilans-stanja'!AN65-'bilans-stanja'!AU66&lt;=0,0,'bilans-stanja'!AN66-'bilans-stanja'!AU66)</f>
        <v>0</v>
      </c>
      <c r="I124" s="1062">
        <f>IF(G124-H124&lt;&gt;0,"Graska",0)</f>
        <v>0</v>
      </c>
      <c r="J124" s="1303"/>
      <c r="K124" s="1304"/>
      <c r="L124" s="1305"/>
    </row>
    <row r="125" spans="1:12" s="136" customFormat="1">
      <c r="A125" s="1200" t="s">
        <v>1774</v>
      </c>
      <c r="B125" s="1197" t="s">
        <v>2720</v>
      </c>
      <c r="C125" s="1198"/>
      <c r="D125" s="1199"/>
      <c r="E125" s="135">
        <v>224</v>
      </c>
      <c r="F125" s="1000"/>
      <c r="G125" s="1027">
        <f>IF(SUMIF(KontoZ5SK,A125,SaldoZ5SK)*(-1) &lt; 0,"Greska!",SUMIF(KontoZ5SK,A125,SaldoZ5SK)*(-1))</f>
        <v>0</v>
      </c>
      <c r="H125" s="1182">
        <f>IF('bilans-stanja'!AU65-'bilans-stanja'!AN65&lt;=0,0,'bilans-stanja'!AU65-'bilans-stanja'!AN65)</f>
        <v>0</v>
      </c>
      <c r="I125" s="1062">
        <f>IF(G125-H125&lt;&gt;0,"Graska",0)</f>
        <v>0</v>
      </c>
      <c r="J125" s="1303"/>
      <c r="K125" s="1304"/>
      <c r="L125" s="1305"/>
    </row>
    <row r="126" spans="1:12" s="136" customFormat="1" ht="18">
      <c r="A126" s="137"/>
      <c r="B126" s="926" t="s">
        <v>1902</v>
      </c>
      <c r="C126" s="920"/>
      <c r="D126" s="921"/>
      <c r="E126" s="930"/>
      <c r="F126" s="922">
        <f>SUM(F56:F123)-F124+F125</f>
        <v>0</v>
      </c>
      <c r="G126" s="922">
        <f>SUM(G56:G123)-G124+G125</f>
        <v>0</v>
      </c>
      <c r="J126" s="1303"/>
      <c r="K126" s="1304"/>
      <c r="L126" s="1305"/>
    </row>
    <row r="127" spans="1:12" s="136" customFormat="1" ht="12.75" customHeight="1">
      <c r="A127" s="137"/>
      <c r="B127" s="933" t="s">
        <v>1903</v>
      </c>
      <c r="C127" s="927"/>
      <c r="D127" s="928"/>
      <c r="E127" s="929"/>
      <c r="F127" s="931">
        <f>IF(F54-F126&lt;=0,0,F54-F126)</f>
        <v>0</v>
      </c>
      <c r="G127" s="932">
        <f>IF(G54-G126&lt;=0,0,G54-G126)</f>
        <v>0</v>
      </c>
      <c r="H127" s="1297" t="s">
        <v>2193</v>
      </c>
      <c r="J127" s="1303"/>
      <c r="K127" s="1304"/>
      <c r="L127" s="1305"/>
    </row>
    <row r="128" spans="1:12" s="136" customFormat="1" ht="13.5" thickBot="1">
      <c r="A128" s="137"/>
      <c r="B128" s="933" t="s">
        <v>1904</v>
      </c>
      <c r="C128" s="927"/>
      <c r="D128" s="928"/>
      <c r="E128" s="929"/>
      <c r="F128" s="931">
        <f>IF(F54-F126&gt;=0,0,F126-F54)</f>
        <v>0</v>
      </c>
      <c r="G128" s="932">
        <f>IF(G54-G126&gt;=0,0,G126-G54)</f>
        <v>0</v>
      </c>
      <c r="H128" s="1298"/>
      <c r="J128" s="1306"/>
      <c r="K128" s="1307"/>
      <c r="L128" s="1308"/>
    </row>
    <row r="129" spans="1:8" s="136" customFormat="1">
      <c r="A129" s="137" t="s">
        <v>1682</v>
      </c>
      <c r="B129" s="905" t="s">
        <v>1681</v>
      </c>
      <c r="C129" s="910"/>
      <c r="D129" s="911"/>
      <c r="E129" s="135">
        <v>299</v>
      </c>
      <c r="F129" s="1081"/>
      <c r="G129" s="1081">
        <f>'UNOS_POREZNI BILANS'!R157-G134-G150</f>
        <v>0</v>
      </c>
      <c r="H129" s="1298"/>
    </row>
    <row r="130" spans="1:8" s="136" customFormat="1">
      <c r="A130" s="137" t="s">
        <v>1683</v>
      </c>
      <c r="B130" s="905" t="s">
        <v>1684</v>
      </c>
      <c r="C130" s="910"/>
      <c r="D130" s="911"/>
      <c r="E130" s="135">
        <v>300</v>
      </c>
      <c r="F130" s="1000"/>
      <c r="G130" s="1027"/>
      <c r="H130" s="1298"/>
    </row>
    <row r="131" spans="1:8" s="136" customFormat="1">
      <c r="A131" s="137" t="s">
        <v>1683</v>
      </c>
      <c r="B131" s="905" t="s">
        <v>1685</v>
      </c>
      <c r="C131" s="910"/>
      <c r="D131" s="911"/>
      <c r="E131" s="135">
        <v>301</v>
      </c>
      <c r="F131" s="1000"/>
      <c r="G131" s="1027"/>
      <c r="H131" s="1298"/>
    </row>
    <row r="132" spans="1:8" s="136" customFormat="1">
      <c r="A132" s="137"/>
      <c r="B132" s="905" t="s">
        <v>2120</v>
      </c>
      <c r="C132" s="910"/>
      <c r="D132" s="911"/>
      <c r="E132" s="135">
        <v>306</v>
      </c>
      <c r="F132" s="1000"/>
      <c r="G132" s="1027">
        <f>'bilans-uspjeha'!AH152</f>
        <v>0</v>
      </c>
      <c r="H132" s="1298"/>
    </row>
    <row r="133" spans="1:8" s="136" customFormat="1">
      <c r="A133" s="137"/>
      <c r="B133" s="905" t="s">
        <v>2121</v>
      </c>
      <c r="C133" s="910"/>
      <c r="D133" s="911"/>
      <c r="E133" s="135">
        <v>307</v>
      </c>
      <c r="F133" s="1000"/>
      <c r="G133" s="1027">
        <f>'bilans-uspjeha'!AH153</f>
        <v>0</v>
      </c>
      <c r="H133" s="1298"/>
    </row>
    <row r="134" spans="1:8" s="136" customFormat="1">
      <c r="A134" s="137" t="s">
        <v>1694</v>
      </c>
      <c r="B134" s="1138" t="s">
        <v>1695</v>
      </c>
      <c r="C134" s="920"/>
      <c r="D134" s="921"/>
      <c r="E134" s="930">
        <v>308</v>
      </c>
      <c r="F134" s="1139"/>
      <c r="G134" s="1081">
        <f>IF(G132&lt;=0,0,G132*10%)</f>
        <v>0</v>
      </c>
      <c r="H134" s="1298"/>
    </row>
    <row r="135" spans="1:8" s="136" customFormat="1">
      <c r="A135" s="137" t="s">
        <v>2384</v>
      </c>
      <c r="B135" s="905" t="s">
        <v>1701</v>
      </c>
      <c r="C135" s="910"/>
      <c r="D135" s="911"/>
      <c r="E135" s="135">
        <v>313</v>
      </c>
      <c r="F135" s="1000"/>
      <c r="G135" s="1027"/>
      <c r="H135" s="1298"/>
    </row>
    <row r="136" spans="1:8" s="136" customFormat="1">
      <c r="A136" s="137"/>
      <c r="B136" s="905" t="s">
        <v>1645</v>
      </c>
      <c r="C136" s="910"/>
      <c r="D136" s="911"/>
      <c r="E136" s="135"/>
      <c r="F136" s="1000"/>
      <c r="G136" s="1027"/>
      <c r="H136" s="1298"/>
    </row>
    <row r="137" spans="1:8" s="136" customFormat="1">
      <c r="A137" s="137"/>
      <c r="B137" s="905" t="s">
        <v>1703</v>
      </c>
      <c r="C137" s="910"/>
      <c r="D137" s="911"/>
      <c r="E137" s="135">
        <v>315</v>
      </c>
      <c r="F137" s="1000"/>
      <c r="G137" s="1027"/>
      <c r="H137" s="1298"/>
    </row>
    <row r="138" spans="1:8" s="136" customFormat="1">
      <c r="A138" s="137"/>
      <c r="B138" s="1136" t="s">
        <v>1704</v>
      </c>
      <c r="C138" s="910"/>
      <c r="D138" s="911"/>
      <c r="E138" s="135">
        <v>316</v>
      </c>
      <c r="F138" s="1000"/>
      <c r="G138" s="1027"/>
      <c r="H138" s="1299"/>
    </row>
    <row r="139" spans="1:8" s="136" customFormat="1">
      <c r="A139" s="137"/>
      <c r="B139" s="905" t="s">
        <v>1705</v>
      </c>
      <c r="C139" s="910"/>
      <c r="D139" s="911"/>
      <c r="E139" s="135">
        <v>317</v>
      </c>
      <c r="F139" s="1000"/>
      <c r="G139" s="1027"/>
    </row>
    <row r="140" spans="1:8" s="136" customFormat="1">
      <c r="A140" s="137"/>
      <c r="B140" s="905" t="s">
        <v>1706</v>
      </c>
      <c r="C140" s="910"/>
      <c r="D140" s="911"/>
      <c r="E140" s="135">
        <v>318</v>
      </c>
      <c r="F140" s="1000"/>
      <c r="G140" s="1027"/>
    </row>
    <row r="141" spans="1:8" s="136" customFormat="1">
      <c r="A141" s="137"/>
      <c r="B141" s="905" t="s">
        <v>1707</v>
      </c>
      <c r="C141" s="910"/>
      <c r="D141" s="911"/>
      <c r="E141" s="135">
        <v>319</v>
      </c>
      <c r="F141" s="1000"/>
      <c r="G141" s="1027"/>
    </row>
    <row r="142" spans="1:8" s="136" customFormat="1">
      <c r="A142" s="137"/>
      <c r="B142" s="905" t="s">
        <v>1708</v>
      </c>
      <c r="C142" s="910"/>
      <c r="D142" s="911"/>
      <c r="E142" s="135">
        <v>320</v>
      </c>
      <c r="F142" s="1000"/>
      <c r="G142" s="1027"/>
    </row>
    <row r="143" spans="1:8" s="136" customFormat="1">
      <c r="A143" s="137"/>
      <c r="B143" s="905" t="s">
        <v>911</v>
      </c>
      <c r="C143" s="910"/>
      <c r="D143" s="911"/>
      <c r="E143" s="135">
        <v>322</v>
      </c>
      <c r="F143" s="1000"/>
      <c r="G143" s="1027"/>
    </row>
    <row r="144" spans="1:8" s="136" customFormat="1">
      <c r="A144" s="137"/>
      <c r="B144" s="905" t="s">
        <v>912</v>
      </c>
      <c r="C144" s="910"/>
      <c r="D144" s="911"/>
      <c r="E144" s="135">
        <v>323</v>
      </c>
      <c r="F144" s="1000"/>
      <c r="G144" s="1027"/>
    </row>
    <row r="145" spans="1:7" s="136" customFormat="1">
      <c r="A145" s="137"/>
      <c r="B145" s="905" t="s">
        <v>913</v>
      </c>
      <c r="C145" s="910"/>
      <c r="D145" s="911"/>
      <c r="E145" s="135">
        <v>324</v>
      </c>
      <c r="F145" s="1000"/>
      <c r="G145" s="1027"/>
    </row>
    <row r="146" spans="1:7" s="136" customFormat="1">
      <c r="A146" s="137"/>
      <c r="B146" s="905" t="s">
        <v>914</v>
      </c>
      <c r="C146" s="910"/>
      <c r="D146" s="911"/>
      <c r="E146" s="135">
        <v>325</v>
      </c>
      <c r="F146" s="1000"/>
      <c r="G146" s="1027"/>
    </row>
    <row r="147" spans="1:7" s="136" customFormat="1">
      <c r="A147" s="137"/>
      <c r="B147" s="905" t="s">
        <v>915</v>
      </c>
      <c r="C147" s="910"/>
      <c r="D147" s="911"/>
      <c r="E147" s="135">
        <v>326</v>
      </c>
      <c r="F147" s="1000"/>
      <c r="G147" s="1027"/>
    </row>
    <row r="148" spans="1:7" s="136" customFormat="1">
      <c r="A148" s="137"/>
      <c r="B148" s="905" t="s">
        <v>2070</v>
      </c>
      <c r="C148" s="910"/>
      <c r="D148" s="911"/>
      <c r="E148" s="135">
        <v>327</v>
      </c>
      <c r="F148" s="1000"/>
      <c r="G148" s="1027">
        <f>'bilans-uspjeha'!AH178</f>
        <v>0</v>
      </c>
    </row>
    <row r="149" spans="1:7" s="136" customFormat="1">
      <c r="A149" s="137"/>
      <c r="B149" s="905" t="s">
        <v>2071</v>
      </c>
      <c r="C149" s="910"/>
      <c r="D149" s="911"/>
      <c r="E149" s="135">
        <v>328</v>
      </c>
      <c r="F149" s="1000"/>
      <c r="G149" s="1027">
        <f>'bilans-uspjeha'!AH179</f>
        <v>0</v>
      </c>
    </row>
    <row r="150" spans="1:7" s="136" customFormat="1">
      <c r="A150" s="137"/>
      <c r="B150" s="1137" t="s">
        <v>917</v>
      </c>
      <c r="C150" s="920"/>
      <c r="D150" s="921"/>
      <c r="E150" s="930">
        <v>329</v>
      </c>
      <c r="F150" s="1139"/>
      <c r="G150" s="1081">
        <f>IF(G148&lt;=0,0,G148*10%)</f>
        <v>0</v>
      </c>
    </row>
    <row r="151" spans="1:7" s="136" customFormat="1">
      <c r="A151" s="137"/>
      <c r="B151" s="905" t="s">
        <v>2197</v>
      </c>
      <c r="C151" s="910"/>
      <c r="D151" s="911"/>
      <c r="E151" s="135">
        <v>334</v>
      </c>
      <c r="F151" s="1000">
        <f>SUM(F152:F153)</f>
        <v>0</v>
      </c>
      <c r="G151" s="1027">
        <f>SUM(G152:G153)</f>
        <v>0</v>
      </c>
    </row>
    <row r="152" spans="1:7" s="136" customFormat="1">
      <c r="A152" s="137"/>
      <c r="B152" s="988" t="s">
        <v>919</v>
      </c>
      <c r="C152" s="910"/>
      <c r="D152" s="911"/>
      <c r="E152" s="135">
        <v>335</v>
      </c>
      <c r="F152" s="1000"/>
      <c r="G152" s="1027"/>
    </row>
    <row r="153" spans="1:7" s="136" customFormat="1">
      <c r="A153" s="137"/>
      <c r="B153" s="988" t="s">
        <v>2199</v>
      </c>
      <c r="C153" s="910"/>
      <c r="D153" s="911"/>
      <c r="E153" s="135">
        <v>336</v>
      </c>
      <c r="F153" s="1000"/>
      <c r="G153" s="1027"/>
    </row>
    <row r="154" spans="1:7" s="136" customFormat="1">
      <c r="A154" s="137"/>
      <c r="B154" s="905" t="s">
        <v>920</v>
      </c>
      <c r="C154" s="910"/>
      <c r="D154" s="911"/>
      <c r="E154" s="135">
        <v>337</v>
      </c>
      <c r="F154" s="1000">
        <f>SUM(F155:F156)</f>
        <v>0</v>
      </c>
      <c r="G154" s="1027">
        <f>SUM(G155:G156)</f>
        <v>0</v>
      </c>
    </row>
    <row r="155" spans="1:7" s="136" customFormat="1">
      <c r="A155" s="137"/>
      <c r="B155" s="988" t="s">
        <v>919</v>
      </c>
      <c r="C155" s="910"/>
      <c r="D155" s="911"/>
      <c r="E155" s="135">
        <v>338</v>
      </c>
      <c r="F155" s="1000"/>
      <c r="G155" s="1027"/>
    </row>
    <row r="156" spans="1:7" s="136" customFormat="1">
      <c r="A156" s="137"/>
      <c r="B156" s="988" t="s">
        <v>2199</v>
      </c>
      <c r="C156" s="910"/>
      <c r="D156" s="911"/>
      <c r="E156" s="135">
        <v>339</v>
      </c>
      <c r="F156" s="1000"/>
      <c r="G156" s="1027"/>
    </row>
    <row r="157" spans="1:7" s="136" customFormat="1">
      <c r="A157" s="137"/>
      <c r="B157" s="905" t="s">
        <v>1248</v>
      </c>
      <c r="C157" s="910"/>
      <c r="D157" s="911"/>
      <c r="E157" s="135">
        <v>340</v>
      </c>
      <c r="F157" s="1000">
        <f>SUM(F158:F159)</f>
        <v>0</v>
      </c>
      <c r="G157" s="1027">
        <f>SUM(G158:G159)</f>
        <v>0</v>
      </c>
    </row>
    <row r="158" spans="1:7" s="136" customFormat="1">
      <c r="A158" s="137"/>
      <c r="B158" s="988" t="s">
        <v>414</v>
      </c>
      <c r="C158" s="910"/>
      <c r="D158" s="911"/>
      <c r="E158" s="135">
        <v>341</v>
      </c>
      <c r="F158" s="1000"/>
      <c r="G158" s="1027"/>
    </row>
    <row r="159" spans="1:7" s="136" customFormat="1">
      <c r="A159" s="137"/>
      <c r="B159" s="988" t="s">
        <v>415</v>
      </c>
      <c r="C159" s="910"/>
      <c r="D159" s="911"/>
      <c r="E159" s="135">
        <v>342</v>
      </c>
      <c r="F159" s="1000"/>
      <c r="G159" s="1027"/>
    </row>
    <row r="160" spans="1:7" s="136" customFormat="1" ht="13.5" thickBot="1">
      <c r="A160" s="137"/>
      <c r="B160" s="905" t="s">
        <v>416</v>
      </c>
      <c r="C160" s="910"/>
      <c r="D160" s="911"/>
      <c r="E160" s="135"/>
      <c r="F160" s="1000"/>
      <c r="G160" s="1027"/>
    </row>
    <row r="161" spans="1:10" s="136" customFormat="1">
      <c r="A161" s="137"/>
      <c r="B161" s="988" t="s">
        <v>417</v>
      </c>
      <c r="C161" s="910"/>
      <c r="D161" s="911"/>
      <c r="E161" s="135">
        <v>343</v>
      </c>
      <c r="F161" s="1000"/>
      <c r="G161" s="1201"/>
      <c r="H161" s="1315" t="s">
        <v>2800</v>
      </c>
      <c r="I161" s="1316"/>
      <c r="J161" s="1317"/>
    </row>
    <row r="162" spans="1:10" s="136" customFormat="1" ht="13.5" thickBot="1">
      <c r="A162" s="137"/>
      <c r="B162" s="988" t="s">
        <v>921</v>
      </c>
      <c r="C162" s="993"/>
      <c r="D162" s="994"/>
      <c r="E162" s="135">
        <v>344</v>
      </c>
      <c r="F162" s="1000"/>
      <c r="G162" s="1201"/>
      <c r="H162" s="1318"/>
      <c r="I162" s="1319"/>
      <c r="J162" s="1320"/>
    </row>
    <row r="163" spans="1:10" s="415" customFormat="1">
      <c r="A163" s="412"/>
      <c r="B163" s="412"/>
      <c r="C163" s="903"/>
      <c r="D163" s="903"/>
      <c r="E163" s="154"/>
      <c r="F163" s="991"/>
      <c r="G163" s="992"/>
    </row>
    <row r="164" spans="1:10" s="415" customFormat="1">
      <c r="A164" s="412"/>
      <c r="B164" s="1293" t="s">
        <v>2</v>
      </c>
      <c r="C164" s="1293"/>
      <c r="D164" s="903"/>
      <c r="E164" s="154"/>
      <c r="F164" s="991"/>
      <c r="G164" s="992"/>
    </row>
    <row r="165" spans="1:10" s="415" customFormat="1">
      <c r="A165" s="412"/>
      <c r="B165" s="1293"/>
      <c r="C165" s="1293"/>
      <c r="D165" s="903"/>
      <c r="E165" s="154"/>
      <c r="F165" s="991"/>
      <c r="G165" s="992"/>
    </row>
    <row r="166" spans="1:10" s="415" customFormat="1">
      <c r="A166" s="412"/>
      <c r="B166" s="412"/>
      <c r="C166" s="903"/>
      <c r="D166" s="903"/>
      <c r="E166" s="154"/>
      <c r="F166" s="991"/>
      <c r="G166" s="992"/>
    </row>
    <row r="167" spans="1:10" s="415" customFormat="1">
      <c r="A167" s="412"/>
      <c r="B167" s="412"/>
      <c r="C167" s="903"/>
      <c r="D167" s="903"/>
      <c r="E167" s="154"/>
      <c r="F167" s="991"/>
      <c r="G167" s="992"/>
    </row>
    <row r="168" spans="1:10" s="16" customFormat="1" ht="16.5" customHeight="1">
      <c r="A168" s="1294" t="s">
        <v>3</v>
      </c>
      <c r="B168" s="1295"/>
      <c r="C168" s="1295"/>
      <c r="D168" s="1295"/>
      <c r="E168" s="1295"/>
      <c r="F168" s="1295"/>
      <c r="G168" s="1296"/>
    </row>
    <row r="169" spans="1:10" s="16" customFormat="1" ht="18.75" customHeight="1">
      <c r="A169" s="996"/>
      <c r="B169" s="997"/>
      <c r="C169" s="1326" t="s">
        <v>2302</v>
      </c>
      <c r="D169" s="1327"/>
      <c r="E169" s="995"/>
      <c r="F169" s="1324" t="s">
        <v>2303</v>
      </c>
      <c r="G169" s="1325"/>
      <c r="I169" s="16" t="s">
        <v>958</v>
      </c>
      <c r="J169" s="16" t="s">
        <v>957</v>
      </c>
    </row>
    <row r="170" spans="1:10" s="128" customFormat="1" ht="17.25" customHeight="1">
      <c r="A170" s="125" t="s">
        <v>1961</v>
      </c>
      <c r="B170" s="122" t="s">
        <v>796</v>
      </c>
      <c r="C170" s="1004" t="s">
        <v>4</v>
      </c>
      <c r="D170" s="1005" t="s">
        <v>5</v>
      </c>
      <c r="E170" s="1001" t="s">
        <v>1038</v>
      </c>
      <c r="F170" s="1028" t="s">
        <v>4</v>
      </c>
      <c r="G170" s="1028" t="s">
        <v>5</v>
      </c>
      <c r="H170" s="1055" t="s">
        <v>1321</v>
      </c>
    </row>
    <row r="171" spans="1:10" s="136" customFormat="1">
      <c r="A171" s="134" t="s">
        <v>1121</v>
      </c>
      <c r="B171" s="990" t="s">
        <v>40</v>
      </c>
      <c r="C171" s="1002">
        <f t="shared" ref="C171:C202" si="4">IF(SUMIF(KontoSk,A171,SaldoSkPS)&lt;0,"Greska!",SUMIF(KontoSk,A171,SaldoSkPS))</f>
        <v>0</v>
      </c>
      <c r="D171" s="1003">
        <f t="shared" ref="D171:D202" si="5">IF(SUMIF(KontoSk,A171&amp;"I",SaldoSkPS)*(-1)&lt;0,"Greska",SUMIF(KontoSk,A171&amp;"I",SaldoSkPS)*(-1))</f>
        <v>0</v>
      </c>
      <c r="E171" s="1009" t="s">
        <v>1208</v>
      </c>
      <c r="F171" s="1029">
        <f t="shared" ref="F171:F202" si="6">IF(SUMIF(KontoSk,A171,SaldoSk)&lt;0,"Greska!",SUMIF(KontoSk,A171,SaldoSk))</f>
        <v>0</v>
      </c>
      <c r="G171" s="1027">
        <f t="shared" ref="G171:G202" si="7">IF(SUMIF(KontoSk,A171&amp;"I",SaldoSk)*(-1)&lt;0,"Greska!",SUMIF(KontoSk,A171&amp;"I",SaldoSk)*(-1))</f>
        <v>0</v>
      </c>
      <c r="H171" s="934">
        <f>(C171-D171)-(F171-G171)</f>
        <v>0</v>
      </c>
      <c r="I171" s="922">
        <f>SUM(H171:H177)</f>
        <v>0</v>
      </c>
      <c r="J171" s="1058" t="s">
        <v>2385</v>
      </c>
    </row>
    <row r="172" spans="1:10" s="136" customFormat="1">
      <c r="A172" s="134" t="s">
        <v>1122</v>
      </c>
      <c r="B172" s="990" t="s">
        <v>41</v>
      </c>
      <c r="C172" s="1002">
        <f t="shared" si="4"/>
        <v>0</v>
      </c>
      <c r="D172" s="1003">
        <f t="shared" si="5"/>
        <v>0</v>
      </c>
      <c r="E172" s="1009" t="s">
        <v>1209</v>
      </c>
      <c r="F172" s="1029">
        <f t="shared" si="6"/>
        <v>0</v>
      </c>
      <c r="G172" s="1027">
        <f t="shared" si="7"/>
        <v>0</v>
      </c>
      <c r="H172" s="934">
        <f t="shared" ref="H172:H235" si="8">(C172-D172)-(F172-G172)</f>
        <v>0</v>
      </c>
      <c r="J172" s="1057"/>
    </row>
    <row r="173" spans="1:10" s="136" customFormat="1">
      <c r="A173" s="134" t="s">
        <v>1123</v>
      </c>
      <c r="B173" s="990" t="s">
        <v>444</v>
      </c>
      <c r="C173" s="1002">
        <f t="shared" si="4"/>
        <v>0</v>
      </c>
      <c r="D173" s="1003">
        <f t="shared" si="5"/>
        <v>0</v>
      </c>
      <c r="E173" s="1009" t="s">
        <v>2518</v>
      </c>
      <c r="F173" s="1029">
        <f t="shared" si="6"/>
        <v>0</v>
      </c>
      <c r="G173" s="1027">
        <f t="shared" si="7"/>
        <v>0</v>
      </c>
      <c r="H173" s="934">
        <f t="shared" si="8"/>
        <v>0</v>
      </c>
      <c r="J173" s="1057"/>
    </row>
    <row r="174" spans="1:10" s="136" customFormat="1">
      <c r="A174" s="134" t="s">
        <v>1124</v>
      </c>
      <c r="B174" s="990" t="s">
        <v>42</v>
      </c>
      <c r="C174" s="1002">
        <f t="shared" si="4"/>
        <v>0</v>
      </c>
      <c r="D174" s="1003">
        <f t="shared" si="5"/>
        <v>0</v>
      </c>
      <c r="E174" s="1009" t="s">
        <v>2519</v>
      </c>
      <c r="F174" s="1029">
        <f t="shared" si="6"/>
        <v>0</v>
      </c>
      <c r="G174" s="1027">
        <f t="shared" si="7"/>
        <v>0</v>
      </c>
      <c r="H174" s="934">
        <f t="shared" si="8"/>
        <v>0</v>
      </c>
      <c r="J174" s="1057"/>
    </row>
    <row r="175" spans="1:10" s="136" customFormat="1">
      <c r="A175" s="134" t="s">
        <v>1125</v>
      </c>
      <c r="B175" s="990" t="s">
        <v>43</v>
      </c>
      <c r="C175" s="1002">
        <f t="shared" si="4"/>
        <v>0</v>
      </c>
      <c r="D175" s="1003">
        <f t="shared" si="5"/>
        <v>0</v>
      </c>
      <c r="E175" s="1009" t="s">
        <v>2519</v>
      </c>
      <c r="F175" s="1029">
        <f t="shared" si="6"/>
        <v>0</v>
      </c>
      <c r="G175" s="1027">
        <f t="shared" si="7"/>
        <v>0</v>
      </c>
      <c r="H175" s="934">
        <f t="shared" si="8"/>
        <v>0</v>
      </c>
      <c r="J175" s="1057"/>
    </row>
    <row r="176" spans="1:10" s="136" customFormat="1">
      <c r="A176" s="134" t="s">
        <v>2523</v>
      </c>
      <c r="B176" s="990" t="s">
        <v>44</v>
      </c>
      <c r="C176" s="1002">
        <f t="shared" si="4"/>
        <v>0</v>
      </c>
      <c r="D176" s="1003">
        <f t="shared" si="5"/>
        <v>0</v>
      </c>
      <c r="E176" s="1009" t="s">
        <v>2520</v>
      </c>
      <c r="F176" s="1029">
        <f t="shared" si="6"/>
        <v>0</v>
      </c>
      <c r="G176" s="1027">
        <f t="shared" si="7"/>
        <v>0</v>
      </c>
      <c r="H176" s="934">
        <f t="shared" si="8"/>
        <v>0</v>
      </c>
      <c r="J176" s="1057"/>
    </row>
    <row r="177" spans="1:10" s="136" customFormat="1">
      <c r="A177" s="134" t="s">
        <v>1126</v>
      </c>
      <c r="B177" s="990" t="s">
        <v>45</v>
      </c>
      <c r="C177" s="1002">
        <f t="shared" si="4"/>
        <v>0</v>
      </c>
      <c r="D177" s="1003">
        <f t="shared" si="5"/>
        <v>0</v>
      </c>
      <c r="E177" s="1009" t="s">
        <v>2520</v>
      </c>
      <c r="F177" s="1029">
        <f t="shared" si="6"/>
        <v>0</v>
      </c>
      <c r="G177" s="1027">
        <f t="shared" si="7"/>
        <v>0</v>
      </c>
      <c r="H177" s="934">
        <f t="shared" si="8"/>
        <v>0</v>
      </c>
      <c r="J177" s="1057"/>
    </row>
    <row r="178" spans="1:10" s="136" customFormat="1">
      <c r="A178" s="134" t="s">
        <v>2092</v>
      </c>
      <c r="B178" s="990" t="s">
        <v>46</v>
      </c>
      <c r="C178" s="1002">
        <f t="shared" si="4"/>
        <v>0</v>
      </c>
      <c r="D178" s="1003">
        <f t="shared" si="5"/>
        <v>0</v>
      </c>
      <c r="E178" s="1009" t="s">
        <v>2522</v>
      </c>
      <c r="F178" s="1029">
        <f t="shared" si="6"/>
        <v>0</v>
      </c>
      <c r="G178" s="1027">
        <f t="shared" si="7"/>
        <v>0</v>
      </c>
      <c r="H178" s="934">
        <f t="shared" si="8"/>
        <v>0</v>
      </c>
      <c r="I178" s="1059">
        <f>SUM(H178:H185)</f>
        <v>0</v>
      </c>
      <c r="J178" s="1060" t="s">
        <v>2386</v>
      </c>
    </row>
    <row r="179" spans="1:10" s="136" customFormat="1">
      <c r="A179" s="134" t="s">
        <v>2093</v>
      </c>
      <c r="B179" s="990" t="s">
        <v>47</v>
      </c>
      <c r="C179" s="1002">
        <f t="shared" si="4"/>
        <v>0</v>
      </c>
      <c r="D179" s="1003">
        <f t="shared" si="5"/>
        <v>0</v>
      </c>
      <c r="E179" s="1009" t="s">
        <v>1121</v>
      </c>
      <c r="F179" s="1029">
        <f t="shared" si="6"/>
        <v>0</v>
      </c>
      <c r="G179" s="1027">
        <f t="shared" si="7"/>
        <v>0</v>
      </c>
      <c r="H179" s="934">
        <f t="shared" si="8"/>
        <v>0</v>
      </c>
      <c r="J179" s="1057"/>
    </row>
    <row r="180" spans="1:10" s="136" customFormat="1">
      <c r="A180" s="134" t="s">
        <v>2094</v>
      </c>
      <c r="B180" s="990" t="s">
        <v>48</v>
      </c>
      <c r="C180" s="1002">
        <f t="shared" si="4"/>
        <v>0</v>
      </c>
      <c r="D180" s="1003">
        <f t="shared" si="5"/>
        <v>0</v>
      </c>
      <c r="E180" s="1009" t="s">
        <v>1122</v>
      </c>
      <c r="F180" s="1029">
        <f t="shared" si="6"/>
        <v>0</v>
      </c>
      <c r="G180" s="1027">
        <f t="shared" si="7"/>
        <v>0</v>
      </c>
      <c r="H180" s="934">
        <f t="shared" si="8"/>
        <v>0</v>
      </c>
      <c r="J180" s="1057"/>
    </row>
    <row r="181" spans="1:10" s="136" customFormat="1">
      <c r="A181" s="134" t="s">
        <v>2095</v>
      </c>
      <c r="B181" s="990" t="s">
        <v>49</v>
      </c>
      <c r="C181" s="1002">
        <f t="shared" si="4"/>
        <v>0</v>
      </c>
      <c r="D181" s="1003">
        <f t="shared" si="5"/>
        <v>0</v>
      </c>
      <c r="E181" s="1009" t="s">
        <v>1122</v>
      </c>
      <c r="F181" s="1029">
        <f t="shared" si="6"/>
        <v>0</v>
      </c>
      <c r="G181" s="1027">
        <f t="shared" si="7"/>
        <v>0</v>
      </c>
      <c r="H181" s="934">
        <f t="shared" si="8"/>
        <v>0</v>
      </c>
      <c r="J181" s="1057"/>
    </row>
    <row r="182" spans="1:10" s="136" customFormat="1">
      <c r="A182" s="134" t="s">
        <v>2096</v>
      </c>
      <c r="B182" s="990" t="s">
        <v>50</v>
      </c>
      <c r="C182" s="1002">
        <f t="shared" si="4"/>
        <v>0</v>
      </c>
      <c r="D182" s="1003">
        <f t="shared" si="5"/>
        <v>0</v>
      </c>
      <c r="E182" s="1009" t="s">
        <v>1122</v>
      </c>
      <c r="F182" s="1029">
        <f t="shared" si="6"/>
        <v>0</v>
      </c>
      <c r="G182" s="1027">
        <f t="shared" si="7"/>
        <v>0</v>
      </c>
      <c r="H182" s="934">
        <f t="shared" si="8"/>
        <v>0</v>
      </c>
      <c r="J182" s="1057"/>
    </row>
    <row r="183" spans="1:10" s="136" customFormat="1">
      <c r="A183" s="134" t="s">
        <v>2527</v>
      </c>
      <c r="B183" s="990" t="s">
        <v>51</v>
      </c>
      <c r="C183" s="1002">
        <f t="shared" si="4"/>
        <v>0</v>
      </c>
      <c r="D183" s="1003">
        <f t="shared" si="5"/>
        <v>0</v>
      </c>
      <c r="E183" s="1009" t="s">
        <v>1124</v>
      </c>
      <c r="F183" s="1029">
        <f t="shared" si="6"/>
        <v>0</v>
      </c>
      <c r="G183" s="1027">
        <f t="shared" si="7"/>
        <v>0</v>
      </c>
      <c r="H183" s="934">
        <f t="shared" si="8"/>
        <v>0</v>
      </c>
      <c r="J183" s="1057"/>
    </row>
    <row r="184" spans="1:10" s="136" customFormat="1">
      <c r="A184" s="134" t="s">
        <v>2528</v>
      </c>
      <c r="B184" s="990" t="s">
        <v>52</v>
      </c>
      <c r="C184" s="1002">
        <f t="shared" si="4"/>
        <v>0</v>
      </c>
      <c r="D184" s="1003">
        <f t="shared" si="5"/>
        <v>0</v>
      </c>
      <c r="E184" s="1009" t="s">
        <v>1123</v>
      </c>
      <c r="F184" s="1029">
        <f t="shared" si="6"/>
        <v>0</v>
      </c>
      <c r="G184" s="1027">
        <f t="shared" si="7"/>
        <v>0</v>
      </c>
      <c r="H184" s="934">
        <f t="shared" si="8"/>
        <v>0</v>
      </c>
      <c r="J184" s="1057"/>
    </row>
    <row r="185" spans="1:10" s="136" customFormat="1">
      <c r="A185" s="134" t="s">
        <v>2097</v>
      </c>
      <c r="B185" s="990" t="s">
        <v>53</v>
      </c>
      <c r="C185" s="1002">
        <f t="shared" si="4"/>
        <v>0</v>
      </c>
      <c r="D185" s="1003">
        <f t="shared" si="5"/>
        <v>0</v>
      </c>
      <c r="E185" s="1009" t="s">
        <v>1124</v>
      </c>
      <c r="F185" s="1029">
        <f t="shared" si="6"/>
        <v>0</v>
      </c>
      <c r="G185" s="1027">
        <f t="shared" si="7"/>
        <v>0</v>
      </c>
      <c r="H185" s="934">
        <f t="shared" si="8"/>
        <v>0</v>
      </c>
      <c r="J185" s="1057"/>
    </row>
    <row r="186" spans="1:10" s="136" customFormat="1">
      <c r="A186" s="134" t="s">
        <v>432</v>
      </c>
      <c r="B186" s="990" t="s">
        <v>54</v>
      </c>
      <c r="C186" s="1002">
        <f t="shared" si="4"/>
        <v>0</v>
      </c>
      <c r="D186" s="1003">
        <f t="shared" si="5"/>
        <v>0</v>
      </c>
      <c r="E186" s="1009" t="s">
        <v>1125</v>
      </c>
      <c r="F186" s="1029">
        <f t="shared" si="6"/>
        <v>0</v>
      </c>
      <c r="G186" s="1027">
        <f t="shared" si="7"/>
        <v>0</v>
      </c>
      <c r="H186" s="934">
        <f t="shared" si="8"/>
        <v>0</v>
      </c>
      <c r="I186" s="1059">
        <f>SUM(H186:H191)</f>
        <v>0</v>
      </c>
      <c r="J186" s="1060" t="s">
        <v>1025</v>
      </c>
    </row>
    <row r="187" spans="1:10" s="136" customFormat="1">
      <c r="A187" s="134" t="s">
        <v>1888</v>
      </c>
      <c r="B187" s="990" t="s">
        <v>55</v>
      </c>
      <c r="C187" s="1002">
        <f t="shared" si="4"/>
        <v>0</v>
      </c>
      <c r="D187" s="1003">
        <f t="shared" si="5"/>
        <v>0</v>
      </c>
      <c r="E187" s="1009" t="s">
        <v>1125</v>
      </c>
      <c r="F187" s="1029">
        <f t="shared" si="6"/>
        <v>0</v>
      </c>
      <c r="G187" s="1027">
        <f t="shared" si="7"/>
        <v>0</v>
      </c>
      <c r="H187" s="934">
        <f t="shared" si="8"/>
        <v>0</v>
      </c>
      <c r="J187" s="1057"/>
    </row>
    <row r="188" spans="1:10" s="136" customFormat="1">
      <c r="A188" s="134" t="s">
        <v>2123</v>
      </c>
      <c r="B188" s="990" t="s">
        <v>56</v>
      </c>
      <c r="C188" s="1002">
        <f t="shared" si="4"/>
        <v>0</v>
      </c>
      <c r="D188" s="1003">
        <f t="shared" si="5"/>
        <v>0</v>
      </c>
      <c r="E188" s="1009" t="s">
        <v>1125</v>
      </c>
      <c r="F188" s="1029">
        <f t="shared" si="6"/>
        <v>0</v>
      </c>
      <c r="G188" s="1027">
        <f t="shared" si="7"/>
        <v>0</v>
      </c>
      <c r="H188" s="934">
        <f t="shared" si="8"/>
        <v>0</v>
      </c>
      <c r="J188" s="1057"/>
    </row>
    <row r="189" spans="1:10" s="136" customFormat="1">
      <c r="A189" s="134" t="s">
        <v>434</v>
      </c>
      <c r="B189" s="990" t="s">
        <v>57</v>
      </c>
      <c r="C189" s="1002">
        <f t="shared" si="4"/>
        <v>0</v>
      </c>
      <c r="D189" s="1003">
        <f t="shared" si="5"/>
        <v>0</v>
      </c>
      <c r="E189" s="1009" t="s">
        <v>1125</v>
      </c>
      <c r="F189" s="1029">
        <f t="shared" si="6"/>
        <v>0</v>
      </c>
      <c r="G189" s="1027">
        <f t="shared" si="7"/>
        <v>0</v>
      </c>
      <c r="H189" s="934">
        <f t="shared" si="8"/>
        <v>0</v>
      </c>
      <c r="J189" s="1057"/>
    </row>
    <row r="190" spans="1:10" s="136" customFormat="1">
      <c r="A190" s="134" t="s">
        <v>1296</v>
      </c>
      <c r="B190" s="990" t="s">
        <v>58</v>
      </c>
      <c r="C190" s="1002">
        <f t="shared" si="4"/>
        <v>0</v>
      </c>
      <c r="D190" s="1003">
        <f t="shared" si="5"/>
        <v>0</v>
      </c>
      <c r="E190" s="1009" t="s">
        <v>1125</v>
      </c>
      <c r="F190" s="1029">
        <f t="shared" si="6"/>
        <v>0</v>
      </c>
      <c r="G190" s="1027">
        <f t="shared" si="7"/>
        <v>0</v>
      </c>
      <c r="H190" s="934">
        <f t="shared" si="8"/>
        <v>0</v>
      </c>
      <c r="J190" s="1057"/>
    </row>
    <row r="191" spans="1:10" s="136" customFormat="1">
      <c r="A191" s="134" t="s">
        <v>1298</v>
      </c>
      <c r="B191" s="990" t="s">
        <v>59</v>
      </c>
      <c r="C191" s="1002">
        <f t="shared" si="4"/>
        <v>0</v>
      </c>
      <c r="D191" s="1003">
        <f t="shared" si="5"/>
        <v>0</v>
      </c>
      <c r="E191" s="1009" t="s">
        <v>1125</v>
      </c>
      <c r="F191" s="1029">
        <f t="shared" si="6"/>
        <v>0</v>
      </c>
      <c r="G191" s="1027">
        <f t="shared" si="7"/>
        <v>0</v>
      </c>
      <c r="H191" s="934">
        <f t="shared" si="8"/>
        <v>0</v>
      </c>
      <c r="J191" s="1057"/>
    </row>
    <row r="192" spans="1:10" s="136" customFormat="1">
      <c r="A192" s="134" t="s">
        <v>433</v>
      </c>
      <c r="B192" s="990" t="s">
        <v>60</v>
      </c>
      <c r="C192" s="1002">
        <f t="shared" si="4"/>
        <v>0</v>
      </c>
      <c r="D192" s="1003">
        <f t="shared" si="5"/>
        <v>0</v>
      </c>
      <c r="E192" s="1009" t="s">
        <v>2524</v>
      </c>
      <c r="F192" s="1029">
        <f t="shared" si="6"/>
        <v>0</v>
      </c>
      <c r="G192" s="1027">
        <f t="shared" si="7"/>
        <v>0</v>
      </c>
      <c r="H192" s="934">
        <f t="shared" si="8"/>
        <v>0</v>
      </c>
      <c r="I192" s="1059">
        <f>SUM(H192:H196)</f>
        <v>0</v>
      </c>
      <c r="J192" s="1060" t="s">
        <v>1027</v>
      </c>
    </row>
    <row r="193" spans="1:10" s="136" customFormat="1">
      <c r="A193" s="134" t="s">
        <v>1301</v>
      </c>
      <c r="B193" s="990" t="s">
        <v>61</v>
      </c>
      <c r="C193" s="1002">
        <f t="shared" si="4"/>
        <v>0</v>
      </c>
      <c r="D193" s="1003">
        <f t="shared" si="5"/>
        <v>0</v>
      </c>
      <c r="E193" s="1009" t="s">
        <v>1126</v>
      </c>
      <c r="F193" s="1029">
        <f t="shared" si="6"/>
        <v>0</v>
      </c>
      <c r="G193" s="1027">
        <f t="shared" si="7"/>
        <v>0</v>
      </c>
      <c r="H193" s="934">
        <f t="shared" si="8"/>
        <v>0</v>
      </c>
      <c r="J193" s="1057"/>
    </row>
    <row r="194" spans="1:10" s="136" customFormat="1">
      <c r="A194" s="134" t="s">
        <v>1302</v>
      </c>
      <c r="B194" s="990" t="s">
        <v>973</v>
      </c>
      <c r="C194" s="1002">
        <f t="shared" si="4"/>
        <v>0</v>
      </c>
      <c r="D194" s="1003">
        <f t="shared" si="5"/>
        <v>0</v>
      </c>
      <c r="E194" s="1009" t="s">
        <v>2525</v>
      </c>
      <c r="F194" s="1029">
        <f t="shared" si="6"/>
        <v>0</v>
      </c>
      <c r="G194" s="1027">
        <f t="shared" si="7"/>
        <v>0</v>
      </c>
      <c r="H194" s="934">
        <f t="shared" si="8"/>
        <v>0</v>
      </c>
      <c r="J194" s="1057"/>
    </row>
    <row r="195" spans="1:10" s="136" customFormat="1">
      <c r="A195" s="134" t="s">
        <v>1305</v>
      </c>
      <c r="B195" s="990" t="s">
        <v>974</v>
      </c>
      <c r="C195" s="1002">
        <f t="shared" si="4"/>
        <v>0</v>
      </c>
      <c r="D195" s="1003">
        <f t="shared" si="5"/>
        <v>0</v>
      </c>
      <c r="E195" s="1009" t="s">
        <v>2526</v>
      </c>
      <c r="F195" s="1029">
        <f t="shared" si="6"/>
        <v>0</v>
      </c>
      <c r="G195" s="1027">
        <f t="shared" si="7"/>
        <v>0</v>
      </c>
      <c r="H195" s="934">
        <f t="shared" si="8"/>
        <v>0</v>
      </c>
      <c r="J195" s="1057"/>
    </row>
    <row r="196" spans="1:10" s="136" customFormat="1">
      <c r="A196" s="134" t="s">
        <v>1307</v>
      </c>
      <c r="B196" s="990" t="s">
        <v>975</v>
      </c>
      <c r="C196" s="1002">
        <f t="shared" si="4"/>
        <v>0</v>
      </c>
      <c r="D196" s="1003">
        <f t="shared" si="5"/>
        <v>0</v>
      </c>
      <c r="E196" s="1009" t="s">
        <v>2526</v>
      </c>
      <c r="F196" s="1029">
        <f t="shared" si="6"/>
        <v>0</v>
      </c>
      <c r="G196" s="1027">
        <f t="shared" si="7"/>
        <v>0</v>
      </c>
      <c r="H196" s="934">
        <f t="shared" si="8"/>
        <v>0</v>
      </c>
      <c r="J196" s="1057"/>
    </row>
    <row r="197" spans="1:10" s="136" customFormat="1">
      <c r="A197" s="134" t="s">
        <v>2147</v>
      </c>
      <c r="B197" s="990" t="s">
        <v>976</v>
      </c>
      <c r="C197" s="1002">
        <f t="shared" si="4"/>
        <v>0</v>
      </c>
      <c r="D197" s="1003">
        <f t="shared" si="5"/>
        <v>0</v>
      </c>
      <c r="E197" s="1009" t="s">
        <v>2092</v>
      </c>
      <c r="F197" s="1029">
        <f t="shared" si="6"/>
        <v>0</v>
      </c>
      <c r="G197" s="1027">
        <f t="shared" si="7"/>
        <v>0</v>
      </c>
      <c r="H197" s="934">
        <f t="shared" si="8"/>
        <v>0</v>
      </c>
      <c r="I197" s="1059">
        <f>SUM(H197:H199)</f>
        <v>0</v>
      </c>
      <c r="J197" s="1060" t="s">
        <v>1029</v>
      </c>
    </row>
    <row r="198" spans="1:10" s="136" customFormat="1">
      <c r="A198" s="134" t="s">
        <v>2152</v>
      </c>
      <c r="B198" s="990" t="s">
        <v>977</v>
      </c>
      <c r="C198" s="1002">
        <f t="shared" si="4"/>
        <v>0</v>
      </c>
      <c r="D198" s="1003">
        <f t="shared" si="5"/>
        <v>0</v>
      </c>
      <c r="E198" s="1009" t="s">
        <v>2092</v>
      </c>
      <c r="F198" s="1029">
        <f t="shared" si="6"/>
        <v>0</v>
      </c>
      <c r="G198" s="1027">
        <f t="shared" si="7"/>
        <v>0</v>
      </c>
      <c r="H198" s="934">
        <f t="shared" si="8"/>
        <v>0</v>
      </c>
      <c r="J198" s="1057"/>
    </row>
    <row r="199" spans="1:10" s="136" customFormat="1">
      <c r="A199" s="134" t="s">
        <v>2154</v>
      </c>
      <c r="B199" s="990" t="s">
        <v>978</v>
      </c>
      <c r="C199" s="1002">
        <f t="shared" si="4"/>
        <v>0</v>
      </c>
      <c r="D199" s="1003">
        <f t="shared" si="5"/>
        <v>0</v>
      </c>
      <c r="E199" s="1009" t="s">
        <v>2092</v>
      </c>
      <c r="F199" s="1029">
        <f t="shared" si="6"/>
        <v>0</v>
      </c>
      <c r="G199" s="1027">
        <f t="shared" si="7"/>
        <v>0</v>
      </c>
      <c r="H199" s="934">
        <f t="shared" si="8"/>
        <v>0</v>
      </c>
      <c r="J199" s="1057"/>
    </row>
    <row r="200" spans="1:10" s="136" customFormat="1">
      <c r="A200" s="134" t="s">
        <v>2157</v>
      </c>
      <c r="B200" s="990" t="s">
        <v>979</v>
      </c>
      <c r="C200" s="1002">
        <f t="shared" si="4"/>
        <v>0</v>
      </c>
      <c r="D200" s="1003">
        <f t="shared" si="5"/>
        <v>0</v>
      </c>
      <c r="E200" s="1009" t="s">
        <v>2094</v>
      </c>
      <c r="F200" s="1029">
        <f t="shared" si="6"/>
        <v>0</v>
      </c>
      <c r="G200" s="1027">
        <f t="shared" si="7"/>
        <v>0</v>
      </c>
      <c r="H200" s="934">
        <f t="shared" si="8"/>
        <v>0</v>
      </c>
      <c r="I200" s="1059">
        <f>SUM(H200:H207)</f>
        <v>0</v>
      </c>
      <c r="J200" s="1060" t="s">
        <v>437</v>
      </c>
    </row>
    <row r="201" spans="1:10" s="136" customFormat="1">
      <c r="A201" s="134" t="s">
        <v>2158</v>
      </c>
      <c r="B201" s="990" t="s">
        <v>980</v>
      </c>
      <c r="C201" s="1002">
        <f t="shared" si="4"/>
        <v>0</v>
      </c>
      <c r="D201" s="1003">
        <f t="shared" si="5"/>
        <v>0</v>
      </c>
      <c r="E201" s="1009" t="s">
        <v>2095</v>
      </c>
      <c r="F201" s="1029">
        <f t="shared" si="6"/>
        <v>0</v>
      </c>
      <c r="G201" s="1027">
        <f t="shared" si="7"/>
        <v>0</v>
      </c>
      <c r="H201" s="934">
        <f t="shared" si="8"/>
        <v>0</v>
      </c>
      <c r="J201" s="1057"/>
    </row>
    <row r="202" spans="1:10" s="136" customFormat="1">
      <c r="A202" s="134" t="s">
        <v>2159</v>
      </c>
      <c r="B202" s="990" t="s">
        <v>981</v>
      </c>
      <c r="C202" s="1002">
        <f t="shared" si="4"/>
        <v>0</v>
      </c>
      <c r="D202" s="1003">
        <f t="shared" si="5"/>
        <v>0</v>
      </c>
      <c r="E202" s="1009" t="s">
        <v>2096</v>
      </c>
      <c r="F202" s="1029">
        <f t="shared" si="6"/>
        <v>0</v>
      </c>
      <c r="G202" s="1027">
        <f t="shared" si="7"/>
        <v>0</v>
      </c>
      <c r="H202" s="934">
        <f t="shared" si="8"/>
        <v>0</v>
      </c>
      <c r="J202" s="1057"/>
    </row>
    <row r="203" spans="1:10" s="136" customFormat="1">
      <c r="A203" s="134" t="s">
        <v>2160</v>
      </c>
      <c r="B203" s="990" t="s">
        <v>982</v>
      </c>
      <c r="C203" s="1002">
        <f t="shared" ref="C203:C221" si="9">IF(SUMIF(KontoSk,A203,SaldoSkPS)&lt;0,"Greska!",SUMIF(KontoSk,A203,SaldoSkPS))</f>
        <v>0</v>
      </c>
      <c r="D203" s="1003">
        <f t="shared" ref="D203:D234" si="10">IF(SUMIF(KontoSk,A203&amp;"I",SaldoSkPS)*(-1)&lt;0,"Greska",SUMIF(KontoSk,A203&amp;"I",SaldoSkPS)*(-1))</f>
        <v>0</v>
      </c>
      <c r="E203" s="1009" t="s">
        <v>2527</v>
      </c>
      <c r="F203" s="1029">
        <f t="shared" ref="F203:F221" si="11">IF(SUMIF(KontoSk,A203,SaldoSk)&lt;0,"Greska!",SUMIF(KontoSk,A203,SaldoSk))</f>
        <v>0</v>
      </c>
      <c r="G203" s="1027">
        <f t="shared" ref="G203:G234" si="12">IF(SUMIF(KontoSk,A203&amp;"I",SaldoSk)*(-1)&lt;0,"Greska!",SUMIF(KontoSk,A203&amp;"I",SaldoSk)*(-1))</f>
        <v>0</v>
      </c>
      <c r="H203" s="934">
        <f t="shared" si="8"/>
        <v>0</v>
      </c>
      <c r="J203" s="1057"/>
    </row>
    <row r="204" spans="1:10" s="136" customFormat="1">
      <c r="A204" s="134" t="s">
        <v>2161</v>
      </c>
      <c r="B204" s="990" t="s">
        <v>983</v>
      </c>
      <c r="C204" s="1002">
        <f t="shared" si="9"/>
        <v>0</v>
      </c>
      <c r="D204" s="1003">
        <f t="shared" si="10"/>
        <v>0</v>
      </c>
      <c r="E204" s="1009" t="s">
        <v>2528</v>
      </c>
      <c r="F204" s="1029">
        <f t="shared" si="11"/>
        <v>0</v>
      </c>
      <c r="G204" s="1027">
        <f t="shared" si="12"/>
        <v>0</v>
      </c>
      <c r="H204" s="934">
        <f t="shared" si="8"/>
        <v>0</v>
      </c>
      <c r="J204" s="1057"/>
    </row>
    <row r="205" spans="1:10" s="136" customFormat="1">
      <c r="A205" s="134" t="s">
        <v>590</v>
      </c>
      <c r="B205" s="990" t="s">
        <v>984</v>
      </c>
      <c r="C205" s="1002">
        <f t="shared" si="9"/>
        <v>0</v>
      </c>
      <c r="D205" s="1003">
        <f t="shared" si="10"/>
        <v>0</v>
      </c>
      <c r="E205" s="1009" t="s">
        <v>2097</v>
      </c>
      <c r="F205" s="1029">
        <f t="shared" si="11"/>
        <v>0</v>
      </c>
      <c r="G205" s="1027">
        <f t="shared" si="12"/>
        <v>0</v>
      </c>
      <c r="H205" s="934">
        <f t="shared" si="8"/>
        <v>0</v>
      </c>
      <c r="J205" s="1057"/>
    </row>
    <row r="206" spans="1:10" s="136" customFormat="1">
      <c r="A206" s="134" t="s">
        <v>591</v>
      </c>
      <c r="B206" s="990" t="s">
        <v>985</v>
      </c>
      <c r="C206" s="1002">
        <f t="shared" si="9"/>
        <v>0</v>
      </c>
      <c r="D206" s="1003">
        <f t="shared" si="10"/>
        <v>0</v>
      </c>
      <c r="E206" s="1009" t="s">
        <v>2529</v>
      </c>
      <c r="F206" s="1029">
        <f t="shared" si="11"/>
        <v>0</v>
      </c>
      <c r="G206" s="1027">
        <f t="shared" si="12"/>
        <v>0</v>
      </c>
      <c r="H206" s="934">
        <f t="shared" si="8"/>
        <v>0</v>
      </c>
      <c r="J206" s="1057"/>
    </row>
    <row r="207" spans="1:10" s="136" customFormat="1">
      <c r="A207" s="134" t="s">
        <v>593</v>
      </c>
      <c r="B207" s="990" t="s">
        <v>986</v>
      </c>
      <c r="C207" s="1002">
        <f t="shared" si="9"/>
        <v>0</v>
      </c>
      <c r="D207" s="1003">
        <f t="shared" si="10"/>
        <v>0</v>
      </c>
      <c r="E207" s="1009" t="s">
        <v>1887</v>
      </c>
      <c r="F207" s="1029">
        <f t="shared" si="11"/>
        <v>0</v>
      </c>
      <c r="G207" s="1027">
        <f t="shared" si="12"/>
        <v>0</v>
      </c>
      <c r="H207" s="934">
        <f t="shared" si="8"/>
        <v>0</v>
      </c>
      <c r="J207" s="1057"/>
    </row>
    <row r="208" spans="1:10" s="136" customFormat="1">
      <c r="A208" s="134" t="s">
        <v>2072</v>
      </c>
      <c r="B208" s="990" t="s">
        <v>987</v>
      </c>
      <c r="C208" s="1002">
        <f t="shared" si="9"/>
        <v>0</v>
      </c>
      <c r="D208" s="1003">
        <f t="shared" si="10"/>
        <v>0</v>
      </c>
      <c r="E208" s="1009"/>
      <c r="F208" s="1029">
        <f t="shared" si="11"/>
        <v>0</v>
      </c>
      <c r="G208" s="1027">
        <f t="shared" si="12"/>
        <v>0</v>
      </c>
      <c r="H208" s="934">
        <f t="shared" si="8"/>
        <v>0</v>
      </c>
      <c r="J208" s="1057"/>
    </row>
    <row r="209" spans="1:11" s="136" customFormat="1">
      <c r="A209" s="134" t="s">
        <v>594</v>
      </c>
      <c r="B209" s="990" t="s">
        <v>988</v>
      </c>
      <c r="C209" s="1002">
        <f t="shared" si="9"/>
        <v>0</v>
      </c>
      <c r="D209" s="1003">
        <f t="shared" si="10"/>
        <v>0</v>
      </c>
      <c r="E209" s="1009" t="s">
        <v>1888</v>
      </c>
      <c r="F209" s="1029">
        <f t="shared" si="11"/>
        <v>0</v>
      </c>
      <c r="G209" s="1027">
        <f t="shared" si="12"/>
        <v>0</v>
      </c>
      <c r="H209" s="934">
        <f t="shared" si="8"/>
        <v>0</v>
      </c>
      <c r="I209" s="1059">
        <f>SUM(H209:H212)</f>
        <v>0</v>
      </c>
      <c r="J209" s="1060" t="s">
        <v>728</v>
      </c>
    </row>
    <row r="210" spans="1:11" s="136" customFormat="1">
      <c r="A210" s="134" t="s">
        <v>595</v>
      </c>
      <c r="B210" s="990" t="s">
        <v>989</v>
      </c>
      <c r="C210" s="1002">
        <f t="shared" si="9"/>
        <v>0</v>
      </c>
      <c r="D210" s="1003">
        <f t="shared" si="10"/>
        <v>0</v>
      </c>
      <c r="E210" s="1009" t="s">
        <v>2123</v>
      </c>
      <c r="F210" s="1029">
        <f t="shared" si="11"/>
        <v>0</v>
      </c>
      <c r="G210" s="1027">
        <f t="shared" si="12"/>
        <v>0</v>
      </c>
      <c r="H210" s="934">
        <f t="shared" si="8"/>
        <v>0</v>
      </c>
      <c r="J210" s="1057"/>
    </row>
    <row r="211" spans="1:11" s="136" customFormat="1">
      <c r="A211" s="134" t="s">
        <v>596</v>
      </c>
      <c r="B211" s="990" t="s">
        <v>990</v>
      </c>
      <c r="C211" s="1002">
        <f t="shared" si="9"/>
        <v>0</v>
      </c>
      <c r="D211" s="1003">
        <f t="shared" si="10"/>
        <v>0</v>
      </c>
      <c r="E211" s="1009" t="s">
        <v>2123</v>
      </c>
      <c r="F211" s="1029">
        <f t="shared" si="11"/>
        <v>0</v>
      </c>
      <c r="G211" s="1027">
        <f t="shared" si="12"/>
        <v>0</v>
      </c>
      <c r="H211" s="934">
        <f t="shared" si="8"/>
        <v>0</v>
      </c>
      <c r="J211" s="1057"/>
    </row>
    <row r="212" spans="1:11" s="136" customFormat="1">
      <c r="A212" s="134" t="s">
        <v>924</v>
      </c>
      <c r="B212" s="990" t="s">
        <v>991</v>
      </c>
      <c r="C212" s="1002">
        <f t="shared" si="9"/>
        <v>0</v>
      </c>
      <c r="D212" s="1003">
        <f t="shared" si="10"/>
        <v>0</v>
      </c>
      <c r="E212" s="1009" t="s">
        <v>2123</v>
      </c>
      <c r="F212" s="1029">
        <f t="shared" si="11"/>
        <v>0</v>
      </c>
      <c r="G212" s="1027">
        <f t="shared" si="12"/>
        <v>0</v>
      </c>
      <c r="H212" s="934">
        <f t="shared" si="8"/>
        <v>0</v>
      </c>
      <c r="J212" s="1057"/>
    </row>
    <row r="213" spans="1:11" s="136" customFormat="1">
      <c r="A213" s="134" t="s">
        <v>2073</v>
      </c>
      <c r="B213" s="990" t="s">
        <v>992</v>
      </c>
      <c r="C213" s="1002">
        <f t="shared" si="9"/>
        <v>0</v>
      </c>
      <c r="D213" s="1003">
        <f t="shared" si="10"/>
        <v>0</v>
      </c>
      <c r="E213" s="1009"/>
      <c r="F213" s="1029">
        <f t="shared" si="11"/>
        <v>0</v>
      </c>
      <c r="G213" s="1027">
        <f t="shared" si="12"/>
        <v>0</v>
      </c>
      <c r="H213" s="934">
        <f t="shared" si="8"/>
        <v>0</v>
      </c>
      <c r="J213" s="1057"/>
    </row>
    <row r="214" spans="1:11" s="136" customFormat="1">
      <c r="A214" s="134" t="s">
        <v>925</v>
      </c>
      <c r="B214" s="990" t="s">
        <v>993</v>
      </c>
      <c r="C214" s="1002">
        <f t="shared" si="9"/>
        <v>0</v>
      </c>
      <c r="D214" s="1003">
        <f t="shared" si="10"/>
        <v>0</v>
      </c>
      <c r="E214" s="1009" t="s">
        <v>2124</v>
      </c>
      <c r="F214" s="1029">
        <f t="shared" si="11"/>
        <v>0</v>
      </c>
      <c r="G214" s="1027">
        <f t="shared" si="12"/>
        <v>0</v>
      </c>
      <c r="H214" s="934">
        <f t="shared" si="8"/>
        <v>0</v>
      </c>
      <c r="I214" s="1059">
        <f>H214+H216</f>
        <v>0</v>
      </c>
      <c r="J214" s="1060" t="s">
        <v>2637</v>
      </c>
      <c r="K214" s="136" t="s">
        <v>1874</v>
      </c>
    </row>
    <row r="215" spans="1:11" s="136" customFormat="1">
      <c r="A215" s="134" t="s">
        <v>926</v>
      </c>
      <c r="B215" s="990" t="s">
        <v>994</v>
      </c>
      <c r="C215" s="1002">
        <f t="shared" si="9"/>
        <v>0</v>
      </c>
      <c r="D215" s="1003">
        <f t="shared" si="10"/>
        <v>0</v>
      </c>
      <c r="E215" s="1009" t="s">
        <v>434</v>
      </c>
      <c r="F215" s="1029">
        <f t="shared" si="11"/>
        <v>0</v>
      </c>
      <c r="G215" s="1027">
        <f t="shared" si="12"/>
        <v>0</v>
      </c>
      <c r="H215" s="934">
        <f t="shared" si="8"/>
        <v>0</v>
      </c>
      <c r="I215" s="1059">
        <f>H215</f>
        <v>0</v>
      </c>
      <c r="J215" s="1060" t="str">
        <f>A215</f>
        <v>091</v>
      </c>
    </row>
    <row r="216" spans="1:11" s="136" customFormat="1">
      <c r="A216" s="134" t="s">
        <v>2319</v>
      </c>
      <c r="B216" s="990" t="s">
        <v>995</v>
      </c>
      <c r="C216" s="1002">
        <f t="shared" si="9"/>
        <v>0</v>
      </c>
      <c r="D216" s="1003">
        <f t="shared" si="10"/>
        <v>0</v>
      </c>
      <c r="E216" s="1009" t="s">
        <v>434</v>
      </c>
      <c r="F216" s="1029">
        <f t="shared" si="11"/>
        <v>0</v>
      </c>
      <c r="G216" s="1027">
        <f t="shared" si="12"/>
        <v>0</v>
      </c>
      <c r="H216" s="934">
        <f t="shared" si="8"/>
        <v>0</v>
      </c>
      <c r="J216" s="1057"/>
    </row>
    <row r="217" spans="1:11" s="136" customFormat="1">
      <c r="A217" s="134" t="s">
        <v>2320</v>
      </c>
      <c r="B217" s="990" t="s">
        <v>996</v>
      </c>
      <c r="C217" s="1002">
        <f t="shared" si="9"/>
        <v>0</v>
      </c>
      <c r="D217" s="1003">
        <f t="shared" si="10"/>
        <v>0</v>
      </c>
      <c r="E217" s="1009" t="s">
        <v>1298</v>
      </c>
      <c r="F217" s="1029">
        <f t="shared" si="11"/>
        <v>0</v>
      </c>
      <c r="G217" s="1027">
        <f t="shared" si="12"/>
        <v>0</v>
      </c>
      <c r="H217" s="934">
        <f t="shared" si="8"/>
        <v>0</v>
      </c>
      <c r="I217" s="1059">
        <f>SUM(H217:H259)</f>
        <v>0</v>
      </c>
      <c r="J217" s="1060" t="s">
        <v>522</v>
      </c>
      <c r="K217" s="136" t="s">
        <v>1875</v>
      </c>
    </row>
    <row r="218" spans="1:11" s="136" customFormat="1">
      <c r="A218" s="134" t="s">
        <v>2082</v>
      </c>
      <c r="B218" s="990" t="s">
        <v>997</v>
      </c>
      <c r="C218" s="1002">
        <f t="shared" si="9"/>
        <v>0</v>
      </c>
      <c r="D218" s="1003">
        <f t="shared" si="10"/>
        <v>0</v>
      </c>
      <c r="E218" s="1009" t="s">
        <v>1298</v>
      </c>
      <c r="F218" s="1029">
        <f t="shared" si="11"/>
        <v>0</v>
      </c>
      <c r="G218" s="1027">
        <f t="shared" si="12"/>
        <v>0</v>
      </c>
      <c r="H218" s="934">
        <f t="shared" si="8"/>
        <v>0</v>
      </c>
      <c r="J218" s="1057"/>
    </row>
    <row r="219" spans="1:11" s="136" customFormat="1">
      <c r="A219" s="134" t="s">
        <v>2083</v>
      </c>
      <c r="B219" s="990" t="s">
        <v>998</v>
      </c>
      <c r="C219" s="1002">
        <f t="shared" si="9"/>
        <v>0</v>
      </c>
      <c r="D219" s="1003">
        <f t="shared" si="10"/>
        <v>0</v>
      </c>
      <c r="E219" s="1009" t="s">
        <v>1298</v>
      </c>
      <c r="F219" s="1029">
        <f t="shared" si="11"/>
        <v>0</v>
      </c>
      <c r="G219" s="1027">
        <f t="shared" si="12"/>
        <v>0</v>
      </c>
      <c r="H219" s="934">
        <f t="shared" si="8"/>
        <v>0</v>
      </c>
      <c r="J219" s="1057"/>
    </row>
    <row r="220" spans="1:11" s="136" customFormat="1">
      <c r="A220" s="134" t="s">
        <v>2084</v>
      </c>
      <c r="B220" s="990" t="s">
        <v>999</v>
      </c>
      <c r="C220" s="1002">
        <f t="shared" si="9"/>
        <v>0</v>
      </c>
      <c r="D220" s="1003">
        <f t="shared" si="10"/>
        <v>0</v>
      </c>
      <c r="E220" s="1009" t="s">
        <v>1298</v>
      </c>
      <c r="F220" s="1029">
        <f t="shared" si="11"/>
        <v>0</v>
      </c>
      <c r="G220" s="1027">
        <f t="shared" si="12"/>
        <v>0</v>
      </c>
      <c r="H220" s="934">
        <f t="shared" si="8"/>
        <v>0</v>
      </c>
      <c r="J220" s="1057"/>
    </row>
    <row r="221" spans="1:11" s="136" customFormat="1">
      <c r="A221" s="134" t="s">
        <v>2085</v>
      </c>
      <c r="B221" s="990" t="s">
        <v>1000</v>
      </c>
      <c r="C221" s="1002">
        <f t="shared" si="9"/>
        <v>0</v>
      </c>
      <c r="D221" s="1003">
        <f t="shared" si="10"/>
        <v>0</v>
      </c>
      <c r="E221" s="1009" t="s">
        <v>1298</v>
      </c>
      <c r="F221" s="1029">
        <f t="shared" si="11"/>
        <v>0</v>
      </c>
      <c r="G221" s="1027">
        <f t="shared" si="12"/>
        <v>0</v>
      </c>
      <c r="H221" s="934">
        <f t="shared" si="8"/>
        <v>0</v>
      </c>
      <c r="J221" s="1057"/>
    </row>
    <row r="222" spans="1:11" s="136" customFormat="1">
      <c r="A222" s="134" t="s">
        <v>2089</v>
      </c>
      <c r="B222" s="990" t="s">
        <v>1001</v>
      </c>
      <c r="C222" s="1002">
        <f>SUMIF(KontoSk,A222,SaldoSkPS)</f>
        <v>0</v>
      </c>
      <c r="D222" s="1003">
        <f t="shared" si="10"/>
        <v>0</v>
      </c>
      <c r="E222" s="1009" t="s">
        <v>1298</v>
      </c>
      <c r="F222" s="1029">
        <f>SUMIF(KontoSk,A222,SaldoSk)</f>
        <v>0</v>
      </c>
      <c r="G222" s="1027">
        <f t="shared" si="12"/>
        <v>0</v>
      </c>
      <c r="H222" s="934">
        <f t="shared" si="8"/>
        <v>0</v>
      </c>
      <c r="J222" s="1057"/>
    </row>
    <row r="223" spans="1:11" s="136" customFormat="1">
      <c r="A223" s="134" t="s">
        <v>2090</v>
      </c>
      <c r="B223" s="990" t="s">
        <v>1002</v>
      </c>
      <c r="C223" s="1002">
        <f>SUMIF(KontoSk,A223,SaldoSkPS)</f>
        <v>0</v>
      </c>
      <c r="D223" s="1003">
        <f t="shared" si="10"/>
        <v>0</v>
      </c>
      <c r="E223" s="1009" t="s">
        <v>1298</v>
      </c>
      <c r="F223" s="1029">
        <f>SUMIF(KontoSk,A223,SaldoSk)</f>
        <v>0</v>
      </c>
      <c r="G223" s="1027">
        <f t="shared" si="12"/>
        <v>0</v>
      </c>
      <c r="H223" s="934">
        <f t="shared" si="8"/>
        <v>0</v>
      </c>
      <c r="J223" s="1057"/>
    </row>
    <row r="224" spans="1:11" s="136" customFormat="1">
      <c r="A224" s="134" t="s">
        <v>2091</v>
      </c>
      <c r="B224" s="990" t="s">
        <v>1003</v>
      </c>
      <c r="C224" s="1002">
        <f t="shared" ref="C224:C229" si="13">IF(SUMIF(KontoSk,A224,SaldoSkPS)&lt;0,"Greska!",SUMIF(KontoSk,A224,SaldoSkPS))</f>
        <v>0</v>
      </c>
      <c r="D224" s="1003">
        <f t="shared" si="10"/>
        <v>0</v>
      </c>
      <c r="E224" s="1009" t="s">
        <v>1299</v>
      </c>
      <c r="F224" s="1029">
        <f t="shared" ref="F224:F229" si="14">IF(SUMIF(KontoSk,A224,SaldoSk)&lt;0,"Greska!",SUMIF(KontoSk,A224,SaldoSk))</f>
        <v>0</v>
      </c>
      <c r="G224" s="1027">
        <f t="shared" si="12"/>
        <v>0</v>
      </c>
      <c r="H224" s="934">
        <f t="shared" si="8"/>
        <v>0</v>
      </c>
      <c r="J224" s="1057"/>
    </row>
    <row r="225" spans="1:10" s="136" customFormat="1">
      <c r="A225" s="134" t="s">
        <v>2098</v>
      </c>
      <c r="B225" s="990" t="s">
        <v>1004</v>
      </c>
      <c r="C225" s="1002">
        <f t="shared" si="13"/>
        <v>0</v>
      </c>
      <c r="D225" s="1003">
        <f t="shared" si="10"/>
        <v>0</v>
      </c>
      <c r="E225" s="1009" t="s">
        <v>1299</v>
      </c>
      <c r="F225" s="1029">
        <f t="shared" si="14"/>
        <v>0</v>
      </c>
      <c r="G225" s="1027">
        <f t="shared" si="12"/>
        <v>0</v>
      </c>
      <c r="H225" s="934">
        <f t="shared" si="8"/>
        <v>0</v>
      </c>
      <c r="J225" s="1057"/>
    </row>
    <row r="226" spans="1:10" s="136" customFormat="1">
      <c r="A226" s="134" t="s">
        <v>2099</v>
      </c>
      <c r="B226" s="990" t="s">
        <v>1005</v>
      </c>
      <c r="C226" s="1002">
        <f t="shared" si="13"/>
        <v>0</v>
      </c>
      <c r="D226" s="1003">
        <f t="shared" si="10"/>
        <v>0</v>
      </c>
      <c r="E226" s="1009" t="s">
        <v>1299</v>
      </c>
      <c r="F226" s="1029">
        <f t="shared" si="14"/>
        <v>0</v>
      </c>
      <c r="G226" s="1027">
        <f t="shared" si="12"/>
        <v>0</v>
      </c>
      <c r="H226" s="934">
        <f t="shared" si="8"/>
        <v>0</v>
      </c>
      <c r="J226" s="1057"/>
    </row>
    <row r="227" spans="1:10" s="136" customFormat="1">
      <c r="A227" s="134" t="s">
        <v>2100</v>
      </c>
      <c r="B227" s="990" t="s">
        <v>1006</v>
      </c>
      <c r="C227" s="1002">
        <f t="shared" si="13"/>
        <v>0</v>
      </c>
      <c r="D227" s="1003">
        <f t="shared" si="10"/>
        <v>0</v>
      </c>
      <c r="E227" s="1009" t="s">
        <v>1299</v>
      </c>
      <c r="F227" s="1029">
        <f t="shared" si="14"/>
        <v>0</v>
      </c>
      <c r="G227" s="1027">
        <f t="shared" si="12"/>
        <v>0</v>
      </c>
      <c r="H227" s="934">
        <f t="shared" si="8"/>
        <v>0</v>
      </c>
      <c r="J227" s="1057"/>
    </row>
    <row r="228" spans="1:10" s="136" customFormat="1">
      <c r="A228" s="134" t="s">
        <v>2101</v>
      </c>
      <c r="B228" s="990" t="s">
        <v>1007</v>
      </c>
      <c r="C228" s="1002">
        <f t="shared" si="13"/>
        <v>0</v>
      </c>
      <c r="D228" s="1003">
        <f t="shared" si="10"/>
        <v>0</v>
      </c>
      <c r="E228" s="1009" t="s">
        <v>1299</v>
      </c>
      <c r="F228" s="1029">
        <f t="shared" si="14"/>
        <v>0</v>
      </c>
      <c r="G228" s="1027">
        <f t="shared" si="12"/>
        <v>0</v>
      </c>
      <c r="H228" s="934">
        <f t="shared" si="8"/>
        <v>0</v>
      </c>
      <c r="J228" s="1057"/>
    </row>
    <row r="229" spans="1:10" s="136" customFormat="1">
      <c r="A229" s="134" t="s">
        <v>2102</v>
      </c>
      <c r="B229" s="990" t="s">
        <v>1008</v>
      </c>
      <c r="C229" s="1002">
        <f t="shared" si="13"/>
        <v>0</v>
      </c>
      <c r="D229" s="1003">
        <f t="shared" si="10"/>
        <v>0</v>
      </c>
      <c r="E229" s="1009" t="s">
        <v>1299</v>
      </c>
      <c r="F229" s="1029">
        <f t="shared" si="14"/>
        <v>0</v>
      </c>
      <c r="G229" s="1027">
        <f t="shared" si="12"/>
        <v>0</v>
      </c>
      <c r="H229" s="934">
        <f t="shared" si="8"/>
        <v>0</v>
      </c>
      <c r="J229" s="1057"/>
    </row>
    <row r="230" spans="1:10" s="136" customFormat="1">
      <c r="A230" s="134" t="s">
        <v>424</v>
      </c>
      <c r="B230" s="990" t="s">
        <v>1832</v>
      </c>
      <c r="C230" s="1002">
        <f>SUMIF(KontoSk,A230,SaldoSkPS)</f>
        <v>0</v>
      </c>
      <c r="D230" s="1003">
        <f t="shared" si="10"/>
        <v>0</v>
      </c>
      <c r="E230" s="1009" t="s">
        <v>1299</v>
      </c>
      <c r="F230" s="1029">
        <f>SUMIF(KontoSk,A230,SaldoSk)</f>
        <v>0</v>
      </c>
      <c r="G230" s="1027">
        <f t="shared" si="12"/>
        <v>0</v>
      </c>
      <c r="H230" s="934">
        <f t="shared" si="8"/>
        <v>0</v>
      </c>
      <c r="J230" s="1057"/>
    </row>
    <row r="231" spans="1:10" s="136" customFormat="1">
      <c r="A231" s="134" t="s">
        <v>425</v>
      </c>
      <c r="B231" s="990" t="s">
        <v>1009</v>
      </c>
      <c r="C231" s="1002">
        <f>SUMIF(KontoSk,A231,SaldoSkPS)</f>
        <v>0</v>
      </c>
      <c r="D231" s="1003">
        <f t="shared" si="10"/>
        <v>0</v>
      </c>
      <c r="E231" s="1009" t="s">
        <v>1299</v>
      </c>
      <c r="F231" s="1029">
        <f>SUMIF(KontoSk,A231,SaldoSk)</f>
        <v>0</v>
      </c>
      <c r="G231" s="1027">
        <f t="shared" si="12"/>
        <v>0</v>
      </c>
      <c r="H231" s="934">
        <f t="shared" si="8"/>
        <v>0</v>
      </c>
      <c r="J231" s="1057"/>
    </row>
    <row r="232" spans="1:10" s="136" customFormat="1">
      <c r="A232" s="134" t="s">
        <v>426</v>
      </c>
      <c r="B232" s="990" t="s">
        <v>1010</v>
      </c>
      <c r="C232" s="1002">
        <f t="shared" ref="C232:C238" si="15">IF(SUMIF(KontoSk,A232,SaldoSkPS)&lt;0,"Greska!",SUMIF(KontoSk,A232,SaldoSkPS))</f>
        <v>0</v>
      </c>
      <c r="D232" s="1003">
        <f t="shared" si="10"/>
        <v>0</v>
      </c>
      <c r="E232" s="1009" t="s">
        <v>1300</v>
      </c>
      <c r="F232" s="1029">
        <f t="shared" ref="F232:F238" si="16">IF(SUMIF(KontoSk,A232,SaldoSk)&lt;0,"Greska!",SUMIF(KontoSk,A232,SaldoSk))</f>
        <v>0</v>
      </c>
      <c r="G232" s="1027">
        <f t="shared" si="12"/>
        <v>0</v>
      </c>
      <c r="H232" s="934">
        <f t="shared" si="8"/>
        <v>0</v>
      </c>
      <c r="J232" s="1057"/>
    </row>
    <row r="233" spans="1:10" s="136" customFormat="1">
      <c r="A233" s="134" t="s">
        <v>427</v>
      </c>
      <c r="B233" s="990" t="s">
        <v>1011</v>
      </c>
      <c r="C233" s="1002">
        <f t="shared" si="15"/>
        <v>0</v>
      </c>
      <c r="D233" s="1003">
        <f t="shared" si="10"/>
        <v>0</v>
      </c>
      <c r="E233" s="1009" t="s">
        <v>1300</v>
      </c>
      <c r="F233" s="1029">
        <f t="shared" si="16"/>
        <v>0</v>
      </c>
      <c r="G233" s="1027">
        <f t="shared" si="12"/>
        <v>0</v>
      </c>
      <c r="H233" s="934">
        <f t="shared" si="8"/>
        <v>0</v>
      </c>
      <c r="J233" s="1057"/>
    </row>
    <row r="234" spans="1:10" s="136" customFormat="1">
      <c r="A234" s="134" t="s">
        <v>428</v>
      </c>
      <c r="B234" s="990" t="s">
        <v>1012</v>
      </c>
      <c r="C234" s="1002">
        <f>SUMIF(KontoSk,A234,SaldoSkPS)</f>
        <v>0</v>
      </c>
      <c r="D234" s="1003">
        <f t="shared" si="10"/>
        <v>0</v>
      </c>
      <c r="E234" s="1009" t="s">
        <v>1300</v>
      </c>
      <c r="F234" s="1029">
        <f>IF(SUMIF(KontoSk,A234,SaldoSk)&gt;0,"Greska!",SUMIF(KontoSk,A234,SaldoSk))</f>
        <v>0</v>
      </c>
      <c r="G234" s="1027">
        <f t="shared" si="12"/>
        <v>0</v>
      </c>
      <c r="H234" s="934">
        <f t="shared" si="8"/>
        <v>0</v>
      </c>
      <c r="J234" s="1057"/>
    </row>
    <row r="235" spans="1:10" s="136" customFormat="1">
      <c r="A235" s="134" t="s">
        <v>429</v>
      </c>
      <c r="B235" s="990" t="s">
        <v>1013</v>
      </c>
      <c r="C235" s="1002">
        <f>SUMIF(KontoSk,A235,SaldoSkPS)</f>
        <v>0</v>
      </c>
      <c r="D235" s="1003">
        <f t="shared" ref="D235:D266" si="17">IF(SUMIF(KontoSk,A235&amp;"I",SaldoSkPS)*(-1)&lt;0,"Greska",SUMIF(KontoSk,A235&amp;"I",SaldoSkPS)*(-1))</f>
        <v>0</v>
      </c>
      <c r="E235" s="1009" t="s">
        <v>1300</v>
      </c>
      <c r="F235" s="1029">
        <f>IF(SUMIF(KontoSk,A235,SaldoSk)&gt;0,"Greska!",SUMIF(KontoSk,A235,SaldoSk))</f>
        <v>0</v>
      </c>
      <c r="G235" s="1027">
        <f t="shared" ref="G235:G266" si="18">IF(SUMIF(KontoSk,A235&amp;"I",SaldoSk)*(-1)&lt;0,"Greska!",SUMIF(KontoSk,A235&amp;"I",SaldoSk)*(-1))</f>
        <v>0</v>
      </c>
      <c r="H235" s="934">
        <f t="shared" si="8"/>
        <v>0</v>
      </c>
      <c r="J235" s="1057"/>
    </row>
    <row r="236" spans="1:10" s="136" customFormat="1">
      <c r="A236" s="134" t="s">
        <v>430</v>
      </c>
      <c r="B236" s="990" t="s">
        <v>1810</v>
      </c>
      <c r="C236" s="1002">
        <f t="shared" si="15"/>
        <v>0</v>
      </c>
      <c r="D236" s="1003">
        <f t="shared" si="17"/>
        <v>0</v>
      </c>
      <c r="E236" s="1009" t="s">
        <v>1300</v>
      </c>
      <c r="F236" s="1029">
        <f t="shared" si="16"/>
        <v>0</v>
      </c>
      <c r="G236" s="1027">
        <f t="shared" si="18"/>
        <v>0</v>
      </c>
      <c r="H236" s="934">
        <f t="shared" ref="H236:H299" si="19">(C236-D236)-(F236-G236)</f>
        <v>0</v>
      </c>
      <c r="J236" s="1057"/>
    </row>
    <row r="237" spans="1:10" s="136" customFormat="1">
      <c r="A237" s="134" t="s">
        <v>431</v>
      </c>
      <c r="B237" s="990" t="s">
        <v>1811</v>
      </c>
      <c r="C237" s="1002">
        <f t="shared" si="15"/>
        <v>0</v>
      </c>
      <c r="D237" s="1003">
        <f t="shared" si="17"/>
        <v>0</v>
      </c>
      <c r="E237" s="1009" t="s">
        <v>1300</v>
      </c>
      <c r="F237" s="1029">
        <f t="shared" si="16"/>
        <v>0</v>
      </c>
      <c r="G237" s="1027">
        <f t="shared" si="18"/>
        <v>0</v>
      </c>
      <c r="H237" s="934">
        <f t="shared" si="19"/>
        <v>0</v>
      </c>
      <c r="J237" s="1057"/>
    </row>
    <row r="238" spans="1:10" s="136" customFormat="1">
      <c r="A238" s="134" t="s">
        <v>435</v>
      </c>
      <c r="B238" s="990" t="s">
        <v>1812</v>
      </c>
      <c r="C238" s="1002">
        <f t="shared" si="15"/>
        <v>0</v>
      </c>
      <c r="D238" s="1003">
        <f t="shared" si="17"/>
        <v>0</v>
      </c>
      <c r="E238" s="1009" t="s">
        <v>1300</v>
      </c>
      <c r="F238" s="1029">
        <f t="shared" si="16"/>
        <v>0</v>
      </c>
      <c r="G238" s="1027">
        <f t="shared" si="18"/>
        <v>0</v>
      </c>
      <c r="H238" s="934">
        <f t="shared" si="19"/>
        <v>0</v>
      </c>
      <c r="J238" s="1057"/>
    </row>
    <row r="239" spans="1:10" s="136" customFormat="1">
      <c r="A239" s="134" t="s">
        <v>438</v>
      </c>
      <c r="B239" s="990" t="s">
        <v>1832</v>
      </c>
      <c r="C239" s="1002">
        <f>SUMIF(KontoSk,A239,SaldoSkPS)</f>
        <v>0</v>
      </c>
      <c r="D239" s="1003">
        <f t="shared" si="17"/>
        <v>0</v>
      </c>
      <c r="E239" s="1009" t="s">
        <v>1300</v>
      </c>
      <c r="F239" s="1029">
        <f>SUMIF(KontoSk,A239,SaldoSk)</f>
        <v>0</v>
      </c>
      <c r="G239" s="1027">
        <f t="shared" si="18"/>
        <v>0</v>
      </c>
      <c r="H239" s="934">
        <f t="shared" si="19"/>
        <v>0</v>
      </c>
      <c r="J239" s="1057"/>
    </row>
    <row r="240" spans="1:10" s="136" customFormat="1">
      <c r="A240" s="134" t="s">
        <v>779</v>
      </c>
      <c r="B240" s="990" t="s">
        <v>1813</v>
      </c>
      <c r="C240" s="1002">
        <f>SUMIF(KontoSk,A240,SaldoSkPS)</f>
        <v>0</v>
      </c>
      <c r="D240" s="1003">
        <f t="shared" si="17"/>
        <v>0</v>
      </c>
      <c r="E240" s="1009" t="s">
        <v>1300</v>
      </c>
      <c r="F240" s="1029">
        <f>SUMIF(KontoSk,A240,SaldoSk)</f>
        <v>0</v>
      </c>
      <c r="G240" s="1027">
        <f t="shared" si="18"/>
        <v>0</v>
      </c>
      <c r="H240" s="934">
        <f t="shared" si="19"/>
        <v>0</v>
      </c>
      <c r="J240" s="1057"/>
    </row>
    <row r="241" spans="1:10" s="136" customFormat="1">
      <c r="A241" s="134" t="s">
        <v>780</v>
      </c>
      <c r="B241" s="990" t="s">
        <v>1814</v>
      </c>
      <c r="C241" s="1002">
        <f t="shared" ref="C241:C247" si="20">IF(SUMIF(KontoSk,A241,SaldoSkPS)&lt;0,"Greska!",SUMIF(KontoSk,A241,SaldoSkPS))</f>
        <v>0</v>
      </c>
      <c r="D241" s="1003">
        <f t="shared" si="17"/>
        <v>0</v>
      </c>
      <c r="E241" s="1009" t="s">
        <v>433</v>
      </c>
      <c r="F241" s="1029">
        <f t="shared" ref="F241:F247" si="21">IF(SUMIF(KontoSk,A241,SaldoSk)&lt;0,"Greska!",SUMIF(KontoSk,A241,SaldoSk))</f>
        <v>0</v>
      </c>
      <c r="G241" s="1027">
        <f t="shared" si="18"/>
        <v>0</v>
      </c>
      <c r="H241" s="934">
        <f t="shared" si="19"/>
        <v>0</v>
      </c>
      <c r="J241" s="1057"/>
    </row>
    <row r="242" spans="1:10" s="136" customFormat="1">
      <c r="A242" s="134" t="s">
        <v>781</v>
      </c>
      <c r="B242" s="990" t="s">
        <v>1815</v>
      </c>
      <c r="C242" s="1002">
        <f t="shared" si="20"/>
        <v>0</v>
      </c>
      <c r="D242" s="1003">
        <f t="shared" si="17"/>
        <v>0</v>
      </c>
      <c r="E242" s="1009" t="s">
        <v>433</v>
      </c>
      <c r="F242" s="1029">
        <f t="shared" si="21"/>
        <v>0</v>
      </c>
      <c r="G242" s="1027">
        <f t="shared" si="18"/>
        <v>0</v>
      </c>
      <c r="H242" s="934">
        <f t="shared" si="19"/>
        <v>0</v>
      </c>
      <c r="J242" s="1057"/>
    </row>
    <row r="243" spans="1:10" s="136" customFormat="1">
      <c r="A243" s="134" t="s">
        <v>782</v>
      </c>
      <c r="B243" s="990" t="s">
        <v>1816</v>
      </c>
      <c r="C243" s="1002">
        <f t="shared" si="20"/>
        <v>0</v>
      </c>
      <c r="D243" s="1003">
        <f t="shared" si="17"/>
        <v>0</v>
      </c>
      <c r="E243" s="1009" t="s">
        <v>433</v>
      </c>
      <c r="F243" s="1029">
        <f t="shared" si="21"/>
        <v>0</v>
      </c>
      <c r="G243" s="1027">
        <f t="shared" si="18"/>
        <v>0</v>
      </c>
      <c r="H243" s="934">
        <f t="shared" si="19"/>
        <v>0</v>
      </c>
      <c r="J243" s="1057"/>
    </row>
    <row r="244" spans="1:10" s="136" customFormat="1">
      <c r="A244" s="134" t="s">
        <v>783</v>
      </c>
      <c r="B244" s="990" t="s">
        <v>1817</v>
      </c>
      <c r="C244" s="1002">
        <f t="shared" si="20"/>
        <v>0</v>
      </c>
      <c r="D244" s="1003">
        <f t="shared" si="17"/>
        <v>0</v>
      </c>
      <c r="E244" s="1009" t="s">
        <v>433</v>
      </c>
      <c r="F244" s="1029">
        <f t="shared" si="21"/>
        <v>0</v>
      </c>
      <c r="G244" s="1027">
        <f t="shared" si="18"/>
        <v>0</v>
      </c>
      <c r="H244" s="934">
        <f t="shared" si="19"/>
        <v>0</v>
      </c>
      <c r="J244" s="1057"/>
    </row>
    <row r="245" spans="1:10" s="136" customFormat="1">
      <c r="A245" s="134" t="s">
        <v>784</v>
      </c>
      <c r="B245" s="990" t="s">
        <v>1818</v>
      </c>
      <c r="C245" s="1002">
        <f t="shared" si="20"/>
        <v>0</v>
      </c>
      <c r="D245" s="1003">
        <f t="shared" si="17"/>
        <v>0</v>
      </c>
      <c r="E245" s="1009" t="s">
        <v>433</v>
      </c>
      <c r="F245" s="1029">
        <f t="shared" si="21"/>
        <v>0</v>
      </c>
      <c r="G245" s="1027">
        <f t="shared" si="18"/>
        <v>0</v>
      </c>
      <c r="H245" s="934">
        <f t="shared" si="19"/>
        <v>0</v>
      </c>
      <c r="J245" s="1057"/>
    </row>
    <row r="246" spans="1:10" s="136" customFormat="1">
      <c r="A246" s="134" t="s">
        <v>785</v>
      </c>
      <c r="B246" s="990" t="s">
        <v>1819</v>
      </c>
      <c r="C246" s="1002">
        <f t="shared" si="20"/>
        <v>0</v>
      </c>
      <c r="D246" s="1003">
        <f t="shared" si="17"/>
        <v>0</v>
      </c>
      <c r="E246" s="1009" t="s">
        <v>433</v>
      </c>
      <c r="F246" s="1029">
        <f t="shared" si="21"/>
        <v>0</v>
      </c>
      <c r="G246" s="1027">
        <f t="shared" si="18"/>
        <v>0</v>
      </c>
      <c r="H246" s="934">
        <f t="shared" si="19"/>
        <v>0</v>
      </c>
      <c r="J246" s="1057"/>
    </row>
    <row r="247" spans="1:10" s="136" customFormat="1">
      <c r="A247" s="134" t="s">
        <v>786</v>
      </c>
      <c r="B247" s="990" t="s">
        <v>1820</v>
      </c>
      <c r="C247" s="1002">
        <f t="shared" si="20"/>
        <v>0</v>
      </c>
      <c r="D247" s="1003">
        <f t="shared" si="17"/>
        <v>0</v>
      </c>
      <c r="E247" s="1009" t="s">
        <v>433</v>
      </c>
      <c r="F247" s="1029">
        <f t="shared" si="21"/>
        <v>0</v>
      </c>
      <c r="G247" s="1027">
        <f t="shared" si="18"/>
        <v>0</v>
      </c>
      <c r="H247" s="934">
        <f t="shared" si="19"/>
        <v>0</v>
      </c>
      <c r="J247" s="1057"/>
    </row>
    <row r="248" spans="1:10" s="136" customFormat="1">
      <c r="A248" s="134" t="s">
        <v>787</v>
      </c>
      <c r="B248" s="990" t="s">
        <v>1012</v>
      </c>
      <c r="C248" s="1002">
        <f>SUMIF(KontoSk,A248,SaldoSkPS)</f>
        <v>0</v>
      </c>
      <c r="D248" s="1003">
        <f t="shared" si="17"/>
        <v>0</v>
      </c>
      <c r="E248" s="1009" t="s">
        <v>433</v>
      </c>
      <c r="F248" s="1029">
        <f>SUMIF(KontoSk,A248,SaldoSk)</f>
        <v>0</v>
      </c>
      <c r="G248" s="1027">
        <f t="shared" si="18"/>
        <v>0</v>
      </c>
      <c r="H248" s="934">
        <f t="shared" si="19"/>
        <v>0</v>
      </c>
      <c r="J248" s="1057"/>
    </row>
    <row r="249" spans="1:10" s="136" customFormat="1">
      <c r="A249" s="134" t="s">
        <v>788</v>
      </c>
      <c r="B249" s="990" t="s">
        <v>1013</v>
      </c>
      <c r="C249" s="1002">
        <f>SUMIF(KontoSk,A249,SaldoSkPS)</f>
        <v>0</v>
      </c>
      <c r="D249" s="1003">
        <f t="shared" si="17"/>
        <v>0</v>
      </c>
      <c r="E249" s="1009" t="s">
        <v>433</v>
      </c>
      <c r="F249" s="1029">
        <f>SUMIF(KontoSk,A249,SaldoSk)</f>
        <v>0</v>
      </c>
      <c r="G249" s="1027">
        <f t="shared" si="18"/>
        <v>0</v>
      </c>
      <c r="H249" s="934">
        <f t="shared" si="19"/>
        <v>0</v>
      </c>
      <c r="J249" s="1057"/>
    </row>
    <row r="250" spans="1:10" s="136" customFormat="1">
      <c r="A250" s="134" t="s">
        <v>2542</v>
      </c>
      <c r="B250" s="990" t="s">
        <v>1821</v>
      </c>
      <c r="C250" s="1002">
        <f>SUMIF(KontoSk,A250,SaldoSkPS)</f>
        <v>0</v>
      </c>
      <c r="D250" s="1003">
        <f t="shared" si="17"/>
        <v>0</v>
      </c>
      <c r="E250" s="1009" t="s">
        <v>433</v>
      </c>
      <c r="F250" s="1029">
        <f>SUMIF(KontoSk,A250,SaldoSk)</f>
        <v>0</v>
      </c>
      <c r="G250" s="1027">
        <f t="shared" si="18"/>
        <v>0</v>
      </c>
      <c r="H250" s="934">
        <f t="shared" si="19"/>
        <v>0</v>
      </c>
      <c r="J250" s="1057"/>
    </row>
    <row r="251" spans="1:10" s="136" customFormat="1">
      <c r="A251" s="134" t="s">
        <v>2543</v>
      </c>
      <c r="B251" s="990" t="s">
        <v>1822</v>
      </c>
      <c r="C251" s="1002">
        <f t="shared" ref="C251:C258" si="22">IF(SUMIF(KontoSk,A251,SaldoSkPS)&lt;0,"Greska!",SUMIF(KontoSk,A251,SaldoSkPS))</f>
        <v>0</v>
      </c>
      <c r="D251" s="1003">
        <f t="shared" si="17"/>
        <v>0</v>
      </c>
      <c r="E251" s="1009" t="s">
        <v>1301</v>
      </c>
      <c r="F251" s="1029">
        <f t="shared" ref="F251:F258" si="23">IF(SUMIF(KontoSk,A251,SaldoSk)&lt;0,"Greska!",SUMIF(KontoSk,A251,SaldoSk))</f>
        <v>0</v>
      </c>
      <c r="G251" s="1027">
        <f t="shared" si="18"/>
        <v>0</v>
      </c>
      <c r="H251" s="934">
        <f t="shared" si="19"/>
        <v>0</v>
      </c>
      <c r="J251" s="1057"/>
    </row>
    <row r="252" spans="1:10" s="136" customFormat="1">
      <c r="A252" s="134" t="s">
        <v>1462</v>
      </c>
      <c r="B252" s="990" t="s">
        <v>1823</v>
      </c>
      <c r="C252" s="1002">
        <f t="shared" si="22"/>
        <v>0</v>
      </c>
      <c r="D252" s="1003">
        <f t="shared" si="17"/>
        <v>0</v>
      </c>
      <c r="E252" s="1009" t="s">
        <v>1301</v>
      </c>
      <c r="F252" s="1029">
        <f t="shared" si="23"/>
        <v>0</v>
      </c>
      <c r="G252" s="1027">
        <f t="shared" si="18"/>
        <v>0</v>
      </c>
      <c r="H252" s="934">
        <f t="shared" si="19"/>
        <v>0</v>
      </c>
      <c r="J252" s="1057"/>
    </row>
    <row r="253" spans="1:10" s="136" customFormat="1">
      <c r="A253" s="134" t="s">
        <v>1463</v>
      </c>
      <c r="B253" s="990" t="s">
        <v>1824</v>
      </c>
      <c r="C253" s="1002">
        <f t="shared" si="22"/>
        <v>0</v>
      </c>
      <c r="D253" s="1003">
        <f t="shared" si="17"/>
        <v>0</v>
      </c>
      <c r="E253" s="1009" t="s">
        <v>1301</v>
      </c>
      <c r="F253" s="1029">
        <f t="shared" si="23"/>
        <v>0</v>
      </c>
      <c r="G253" s="1027">
        <f t="shared" si="18"/>
        <v>0</v>
      </c>
      <c r="H253" s="934">
        <f t="shared" si="19"/>
        <v>0</v>
      </c>
      <c r="J253" s="1057"/>
    </row>
    <row r="254" spans="1:10" s="136" customFormat="1">
      <c r="A254" s="134" t="s">
        <v>1464</v>
      </c>
      <c r="B254" s="990" t="s">
        <v>1220</v>
      </c>
      <c r="C254" s="1002">
        <f t="shared" si="22"/>
        <v>0</v>
      </c>
      <c r="D254" s="1003">
        <f t="shared" si="17"/>
        <v>0</v>
      </c>
      <c r="E254" s="1009" t="s">
        <v>1301</v>
      </c>
      <c r="F254" s="1029">
        <f t="shared" si="23"/>
        <v>0</v>
      </c>
      <c r="G254" s="1027">
        <f t="shared" si="18"/>
        <v>0</v>
      </c>
      <c r="H254" s="934">
        <f t="shared" si="19"/>
        <v>0</v>
      </c>
      <c r="J254" s="1057"/>
    </row>
    <row r="255" spans="1:10" s="136" customFormat="1">
      <c r="A255" s="134" t="s">
        <v>1465</v>
      </c>
      <c r="B255" s="990" t="s">
        <v>1221</v>
      </c>
      <c r="C255" s="1002">
        <f t="shared" si="22"/>
        <v>0</v>
      </c>
      <c r="D255" s="1003">
        <f t="shared" si="17"/>
        <v>0</v>
      </c>
      <c r="E255" s="1009" t="s">
        <v>1301</v>
      </c>
      <c r="F255" s="1029">
        <f t="shared" si="23"/>
        <v>0</v>
      </c>
      <c r="G255" s="1027">
        <f t="shared" si="18"/>
        <v>0</v>
      </c>
      <c r="H255" s="934">
        <f t="shared" si="19"/>
        <v>0</v>
      </c>
      <c r="J255" s="1057"/>
    </row>
    <row r="256" spans="1:10" s="136" customFormat="1">
      <c r="A256" s="134" t="s">
        <v>1466</v>
      </c>
      <c r="B256" s="990" t="s">
        <v>1222</v>
      </c>
      <c r="C256" s="1002">
        <f t="shared" si="22"/>
        <v>0</v>
      </c>
      <c r="D256" s="1003">
        <f t="shared" si="17"/>
        <v>0</v>
      </c>
      <c r="E256" s="1009" t="s">
        <v>1301</v>
      </c>
      <c r="F256" s="1029">
        <f t="shared" si="23"/>
        <v>0</v>
      </c>
      <c r="G256" s="1027">
        <f t="shared" si="18"/>
        <v>0</v>
      </c>
      <c r="H256" s="934">
        <f t="shared" si="19"/>
        <v>0</v>
      </c>
      <c r="J256" s="1057"/>
    </row>
    <row r="257" spans="1:10" s="136" customFormat="1">
      <c r="A257" s="134" t="s">
        <v>1467</v>
      </c>
      <c r="B257" s="990" t="s">
        <v>1223</v>
      </c>
      <c r="C257" s="1002">
        <f t="shared" si="22"/>
        <v>0</v>
      </c>
      <c r="D257" s="1003">
        <f t="shared" si="17"/>
        <v>0</v>
      </c>
      <c r="E257" s="1009" t="s">
        <v>1301</v>
      </c>
      <c r="F257" s="1029">
        <f t="shared" si="23"/>
        <v>0</v>
      </c>
      <c r="G257" s="1027">
        <f t="shared" si="18"/>
        <v>0</v>
      </c>
      <c r="H257" s="934">
        <f t="shared" si="19"/>
        <v>0</v>
      </c>
      <c r="J257" s="1057"/>
    </row>
    <row r="258" spans="1:10" s="136" customFormat="1">
      <c r="A258" s="134" t="s">
        <v>1468</v>
      </c>
      <c r="B258" s="990" t="s">
        <v>1224</v>
      </c>
      <c r="C258" s="1002">
        <f t="shared" si="22"/>
        <v>0</v>
      </c>
      <c r="D258" s="1003">
        <f t="shared" si="17"/>
        <v>0</v>
      </c>
      <c r="E258" s="1009" t="s">
        <v>1301</v>
      </c>
      <c r="F258" s="1029">
        <f t="shared" si="23"/>
        <v>0</v>
      </c>
      <c r="G258" s="1027">
        <f t="shared" si="18"/>
        <v>0</v>
      </c>
      <c r="H258" s="934">
        <f t="shared" si="19"/>
        <v>0</v>
      </c>
      <c r="J258" s="1057"/>
    </row>
    <row r="259" spans="1:10" s="136" customFormat="1">
      <c r="A259" s="134" t="s">
        <v>1470</v>
      </c>
      <c r="B259" s="990" t="s">
        <v>399</v>
      </c>
      <c r="C259" s="1002">
        <f>SUMIF(KontoSk,A259,SaldoSkPS)</f>
        <v>0</v>
      </c>
      <c r="D259" s="1003">
        <f t="shared" si="17"/>
        <v>0</v>
      </c>
      <c r="E259" s="1009" t="s">
        <v>1301</v>
      </c>
      <c r="F259" s="1029">
        <f>SUMIF(KontoSk,A259,SaldoSk)</f>
        <v>0</v>
      </c>
      <c r="G259" s="1027">
        <f t="shared" si="18"/>
        <v>0</v>
      </c>
      <c r="H259" s="934">
        <f t="shared" si="19"/>
        <v>0</v>
      </c>
      <c r="J259" s="1057"/>
    </row>
    <row r="260" spans="1:10" s="136" customFormat="1">
      <c r="A260" s="134" t="s">
        <v>1471</v>
      </c>
      <c r="B260" s="990" t="s">
        <v>400</v>
      </c>
      <c r="C260" s="1002">
        <f>IF(SUMIF(KontoSk,A260,SaldoSkPS)&lt;0,"Greska!",SUMIF(KontoSk,A260,SaldoSkPS))</f>
        <v>0</v>
      </c>
      <c r="D260" s="1003">
        <f t="shared" si="17"/>
        <v>0</v>
      </c>
      <c r="E260" s="1009" t="s">
        <v>1302</v>
      </c>
      <c r="F260" s="1029">
        <f>IF(SUMIF(KontoSk,A260,SaldoSk)&lt;0,"Greska!",SUMIF(KontoSk,A260,SaldoSk))</f>
        <v>0</v>
      </c>
      <c r="G260" s="1027">
        <f t="shared" si="18"/>
        <v>0</v>
      </c>
      <c r="H260" s="934">
        <f t="shared" si="19"/>
        <v>0</v>
      </c>
      <c r="I260" s="1059">
        <f>SUM(H260:H262)</f>
        <v>0</v>
      </c>
      <c r="J260" s="1060" t="s">
        <v>1098</v>
      </c>
    </row>
    <row r="261" spans="1:10" s="136" customFormat="1">
      <c r="A261" s="134" t="s">
        <v>1472</v>
      </c>
      <c r="B261" s="990" t="s">
        <v>1234</v>
      </c>
      <c r="C261" s="1002">
        <f>IF(SUMIF(KontoSk,A261,SaldoSkPS)&lt;0,"Greska!",SUMIF(KontoSk,A261,SaldoSkPS))</f>
        <v>0</v>
      </c>
      <c r="D261" s="1003">
        <f t="shared" si="17"/>
        <v>0</v>
      </c>
      <c r="E261" s="1009" t="s">
        <v>1302</v>
      </c>
      <c r="F261" s="1029">
        <f>IF(SUMIF(KontoSk,A261,SaldoSk)&lt;0,"Greska!",SUMIF(KontoSk,A261,SaldoSk))</f>
        <v>0</v>
      </c>
      <c r="G261" s="1027">
        <f t="shared" si="18"/>
        <v>0</v>
      </c>
      <c r="H261" s="934">
        <f t="shared" si="19"/>
        <v>0</v>
      </c>
      <c r="J261" s="1057"/>
    </row>
    <row r="262" spans="1:10" s="136" customFormat="1">
      <c r="A262" s="134" t="s">
        <v>1201</v>
      </c>
      <c r="B262" s="990" t="s">
        <v>1235</v>
      </c>
      <c r="C262" s="1002">
        <f>SUMIF(KontoSk,A262,SaldoSkPS)</f>
        <v>0</v>
      </c>
      <c r="D262" s="1003">
        <f t="shared" si="17"/>
        <v>0</v>
      </c>
      <c r="E262" s="1009" t="s">
        <v>1302</v>
      </c>
      <c r="F262" s="1029">
        <f>SUMIF(KontoSk,A262,SaldoSk)</f>
        <v>0</v>
      </c>
      <c r="G262" s="1027">
        <f t="shared" si="18"/>
        <v>0</v>
      </c>
      <c r="H262" s="934">
        <f t="shared" si="19"/>
        <v>0</v>
      </c>
      <c r="J262" s="1057"/>
    </row>
    <row r="263" spans="1:10" s="136" customFormat="1">
      <c r="A263" s="134" t="s">
        <v>894</v>
      </c>
      <c r="B263" s="990" t="s">
        <v>1236</v>
      </c>
      <c r="C263" s="1002">
        <f t="shared" ref="C263:C281" si="24">IF(SUMIF(KontoSk,A263,SaldoSkPS)&lt;0,"Greska!",SUMIF(KontoSk,A263,SaldoSkPS))</f>
        <v>0</v>
      </c>
      <c r="D263" s="1003">
        <f t="shared" si="17"/>
        <v>0</v>
      </c>
      <c r="E263" s="1009" t="s">
        <v>1305</v>
      </c>
      <c r="F263" s="1029">
        <f t="shared" ref="F263:F281" si="25">IF(SUMIF(KontoSk,A263,SaldoSk)&lt;0,"Greska!",SUMIF(KontoSk,A263,SaldoSk))</f>
        <v>0</v>
      </c>
      <c r="G263" s="1027">
        <f t="shared" si="18"/>
        <v>0</v>
      </c>
      <c r="H263" s="934">
        <f t="shared" si="19"/>
        <v>0</v>
      </c>
      <c r="I263" s="1059">
        <f>SUM(H263:H272)</f>
        <v>0</v>
      </c>
      <c r="J263" s="1060" t="s">
        <v>145</v>
      </c>
    </row>
    <row r="264" spans="1:10" s="136" customFormat="1">
      <c r="A264" s="134" t="s">
        <v>895</v>
      </c>
      <c r="B264" s="990" t="s">
        <v>1237</v>
      </c>
      <c r="C264" s="1002">
        <f t="shared" si="24"/>
        <v>0</v>
      </c>
      <c r="D264" s="1003">
        <f t="shared" si="17"/>
        <v>0</v>
      </c>
      <c r="E264" s="1009" t="s">
        <v>1305</v>
      </c>
      <c r="F264" s="1029">
        <f t="shared" si="25"/>
        <v>0</v>
      </c>
      <c r="G264" s="1027">
        <f t="shared" si="18"/>
        <v>0</v>
      </c>
      <c r="H264" s="934">
        <f t="shared" si="19"/>
        <v>0</v>
      </c>
      <c r="J264" s="1057"/>
    </row>
    <row r="265" spans="1:10" s="136" customFormat="1">
      <c r="A265" s="134" t="s">
        <v>515</v>
      </c>
      <c r="B265" s="990" t="s">
        <v>1238</v>
      </c>
      <c r="C265" s="1002">
        <f t="shared" si="24"/>
        <v>0</v>
      </c>
      <c r="D265" s="1003">
        <f t="shared" si="17"/>
        <v>0</v>
      </c>
      <c r="E265" s="1009" t="s">
        <v>1305</v>
      </c>
      <c r="F265" s="1029">
        <f t="shared" si="25"/>
        <v>0</v>
      </c>
      <c r="G265" s="1027">
        <f t="shared" si="18"/>
        <v>0</v>
      </c>
      <c r="H265" s="934">
        <f t="shared" si="19"/>
        <v>0</v>
      </c>
      <c r="J265" s="1057"/>
    </row>
    <row r="266" spans="1:10" s="136" customFormat="1">
      <c r="A266" s="134" t="s">
        <v>516</v>
      </c>
      <c r="B266" s="990" t="s">
        <v>1239</v>
      </c>
      <c r="C266" s="1002">
        <f t="shared" si="24"/>
        <v>0</v>
      </c>
      <c r="D266" s="1003">
        <f t="shared" si="17"/>
        <v>0</v>
      </c>
      <c r="E266" s="1009" t="s">
        <v>1305</v>
      </c>
      <c r="F266" s="1029">
        <f t="shared" si="25"/>
        <v>0</v>
      </c>
      <c r="G266" s="1027">
        <f t="shared" si="18"/>
        <v>0</v>
      </c>
      <c r="H266" s="934">
        <f t="shared" si="19"/>
        <v>0</v>
      </c>
      <c r="J266" s="1057"/>
    </row>
    <row r="267" spans="1:10" s="136" customFormat="1">
      <c r="A267" s="134" t="s">
        <v>517</v>
      </c>
      <c r="B267" s="990" t="s">
        <v>1240</v>
      </c>
      <c r="C267" s="1002">
        <f t="shared" si="24"/>
        <v>0</v>
      </c>
      <c r="D267" s="1003">
        <f t="shared" ref="D267:D298" si="26">IF(SUMIF(KontoSk,A267&amp;"I",SaldoSkPS)*(-1)&lt;0,"Greska",SUMIF(KontoSk,A267&amp;"I",SaldoSkPS)*(-1))</f>
        <v>0</v>
      </c>
      <c r="E267" s="1009" t="s">
        <v>1305</v>
      </c>
      <c r="F267" s="1029">
        <f t="shared" si="25"/>
        <v>0</v>
      </c>
      <c r="G267" s="1027">
        <f t="shared" ref="G267:G298" si="27">IF(SUMIF(KontoSk,A267&amp;"I",SaldoSk)*(-1)&lt;0,"Greska!",SUMIF(KontoSk,A267&amp;"I",SaldoSk)*(-1))</f>
        <v>0</v>
      </c>
      <c r="H267" s="934">
        <f t="shared" si="19"/>
        <v>0</v>
      </c>
      <c r="J267" s="1057"/>
    </row>
    <row r="268" spans="1:10" s="136" customFormat="1">
      <c r="A268" s="134" t="s">
        <v>518</v>
      </c>
      <c r="B268" s="990" t="s">
        <v>1241</v>
      </c>
      <c r="C268" s="1002">
        <f t="shared" si="24"/>
        <v>0</v>
      </c>
      <c r="D268" s="1003">
        <f t="shared" si="26"/>
        <v>0</v>
      </c>
      <c r="E268" s="1009" t="s">
        <v>1305</v>
      </c>
      <c r="F268" s="1029">
        <f t="shared" si="25"/>
        <v>0</v>
      </c>
      <c r="G268" s="1027">
        <f t="shared" si="27"/>
        <v>0</v>
      </c>
      <c r="H268" s="934">
        <f t="shared" si="19"/>
        <v>0</v>
      </c>
      <c r="J268" s="1057"/>
    </row>
    <row r="269" spans="1:10" s="136" customFormat="1">
      <c r="A269" s="134" t="s">
        <v>520</v>
      </c>
      <c r="B269" s="990" t="s">
        <v>1242</v>
      </c>
      <c r="C269" s="1002">
        <f t="shared" si="24"/>
        <v>0</v>
      </c>
      <c r="D269" s="1003">
        <f t="shared" si="26"/>
        <v>0</v>
      </c>
      <c r="E269" s="1009" t="s">
        <v>1305</v>
      </c>
      <c r="F269" s="1029">
        <f t="shared" si="25"/>
        <v>0</v>
      </c>
      <c r="G269" s="1027">
        <f t="shared" si="27"/>
        <v>0</v>
      </c>
      <c r="H269" s="934">
        <f t="shared" si="19"/>
        <v>0</v>
      </c>
      <c r="J269" s="1057"/>
    </row>
    <row r="270" spans="1:10" s="136" customFormat="1">
      <c r="A270" s="134" t="s">
        <v>2321</v>
      </c>
      <c r="B270" s="990" t="s">
        <v>1243</v>
      </c>
      <c r="C270" s="1002">
        <f t="shared" si="24"/>
        <v>0</v>
      </c>
      <c r="D270" s="1003">
        <f t="shared" si="26"/>
        <v>0</v>
      </c>
      <c r="E270" s="1009" t="s">
        <v>1306</v>
      </c>
      <c r="F270" s="1029">
        <f t="shared" si="25"/>
        <v>0</v>
      </c>
      <c r="G270" s="1027">
        <f t="shared" si="27"/>
        <v>0</v>
      </c>
      <c r="H270" s="934">
        <f t="shared" si="19"/>
        <v>0</v>
      </c>
      <c r="J270" s="1057"/>
    </row>
    <row r="271" spans="1:10" s="136" customFormat="1">
      <c r="A271" s="134" t="s">
        <v>331</v>
      </c>
      <c r="B271" s="990" t="s">
        <v>1244</v>
      </c>
      <c r="C271" s="1002">
        <f t="shared" si="24"/>
        <v>0</v>
      </c>
      <c r="D271" s="1003">
        <f t="shared" si="26"/>
        <v>0</v>
      </c>
      <c r="E271" s="1009" t="s">
        <v>1305</v>
      </c>
      <c r="F271" s="1029">
        <f t="shared" si="25"/>
        <v>0</v>
      </c>
      <c r="G271" s="1027">
        <f t="shared" si="27"/>
        <v>0</v>
      </c>
      <c r="H271" s="934">
        <f t="shared" si="19"/>
        <v>0</v>
      </c>
      <c r="J271" s="1057"/>
    </row>
    <row r="272" spans="1:10" s="136" customFormat="1">
      <c r="A272" s="134" t="s">
        <v>332</v>
      </c>
      <c r="B272" s="990" t="s">
        <v>1245</v>
      </c>
      <c r="C272" s="1002">
        <f t="shared" si="24"/>
        <v>0</v>
      </c>
      <c r="D272" s="1003">
        <f t="shared" si="26"/>
        <v>0</v>
      </c>
      <c r="E272" s="1009" t="s">
        <v>1305</v>
      </c>
      <c r="F272" s="1029">
        <f t="shared" si="25"/>
        <v>0</v>
      </c>
      <c r="G272" s="1027">
        <f t="shared" si="27"/>
        <v>0</v>
      </c>
      <c r="H272" s="934">
        <f t="shared" si="19"/>
        <v>0</v>
      </c>
      <c r="J272" s="1057"/>
    </row>
    <row r="273" spans="1:10" s="136" customFormat="1">
      <c r="A273" s="134" t="s">
        <v>2544</v>
      </c>
      <c r="B273" s="990" t="s">
        <v>1246</v>
      </c>
      <c r="C273" s="1002">
        <f t="shared" si="24"/>
        <v>0</v>
      </c>
      <c r="D273" s="1003">
        <f t="shared" si="26"/>
        <v>0</v>
      </c>
      <c r="E273" s="1009" t="s">
        <v>2145</v>
      </c>
      <c r="F273" s="1029">
        <f t="shared" si="25"/>
        <v>0</v>
      </c>
      <c r="G273" s="1027">
        <f t="shared" si="27"/>
        <v>0</v>
      </c>
      <c r="H273" s="934">
        <f t="shared" si="19"/>
        <v>0</v>
      </c>
      <c r="I273" s="1059">
        <f>SUM(H273:H276)</f>
        <v>0</v>
      </c>
      <c r="J273" s="1060" t="s">
        <v>1103</v>
      </c>
    </row>
    <row r="274" spans="1:10" s="136" customFormat="1">
      <c r="A274" s="134" t="s">
        <v>2545</v>
      </c>
      <c r="B274" s="990" t="s">
        <v>1247</v>
      </c>
      <c r="C274" s="1002">
        <f t="shared" si="24"/>
        <v>0</v>
      </c>
      <c r="D274" s="1003">
        <f t="shared" si="26"/>
        <v>0</v>
      </c>
      <c r="E274" s="1009" t="s">
        <v>2146</v>
      </c>
      <c r="F274" s="1029">
        <f t="shared" si="25"/>
        <v>0</v>
      </c>
      <c r="G274" s="1027">
        <f t="shared" si="27"/>
        <v>0</v>
      </c>
      <c r="H274" s="934">
        <f t="shared" si="19"/>
        <v>0</v>
      </c>
      <c r="J274" s="1057"/>
    </row>
    <row r="275" spans="1:10" s="136" customFormat="1">
      <c r="A275" s="134" t="s">
        <v>2546</v>
      </c>
      <c r="B275" s="990" t="s">
        <v>1049</v>
      </c>
      <c r="C275" s="1002">
        <f t="shared" si="24"/>
        <v>0</v>
      </c>
      <c r="D275" s="1003">
        <f t="shared" si="26"/>
        <v>0</v>
      </c>
      <c r="E275" s="1009" t="s">
        <v>2147</v>
      </c>
      <c r="F275" s="1029">
        <f t="shared" si="25"/>
        <v>0</v>
      </c>
      <c r="G275" s="1027">
        <f t="shared" si="27"/>
        <v>0</v>
      </c>
      <c r="H275" s="934">
        <f t="shared" si="19"/>
        <v>0</v>
      </c>
      <c r="J275" s="1057"/>
    </row>
    <row r="276" spans="1:10" s="136" customFormat="1">
      <c r="A276" s="134" t="s">
        <v>1161</v>
      </c>
      <c r="B276" s="990" t="s">
        <v>2074</v>
      </c>
      <c r="C276" s="1002">
        <f t="shared" si="24"/>
        <v>0</v>
      </c>
      <c r="D276" s="1003">
        <f t="shared" si="26"/>
        <v>0</v>
      </c>
      <c r="E276" s="1009"/>
      <c r="F276" s="1029">
        <f t="shared" si="25"/>
        <v>0</v>
      </c>
      <c r="G276" s="1027">
        <f t="shared" si="27"/>
        <v>0</v>
      </c>
      <c r="H276" s="934">
        <f t="shared" si="19"/>
        <v>0</v>
      </c>
      <c r="J276" s="1057"/>
    </row>
    <row r="277" spans="1:10" s="136" customFormat="1">
      <c r="A277" s="134" t="s">
        <v>140</v>
      </c>
      <c r="B277" s="990" t="s">
        <v>1050</v>
      </c>
      <c r="C277" s="1002">
        <f t="shared" si="24"/>
        <v>0</v>
      </c>
      <c r="D277" s="1003">
        <f t="shared" si="26"/>
        <v>0</v>
      </c>
      <c r="E277" s="1009" t="s">
        <v>2148</v>
      </c>
      <c r="F277" s="1029">
        <f t="shared" si="25"/>
        <v>0</v>
      </c>
      <c r="G277" s="1027">
        <f t="shared" si="27"/>
        <v>0</v>
      </c>
      <c r="H277" s="934">
        <f t="shared" si="19"/>
        <v>0</v>
      </c>
      <c r="I277" s="1059">
        <f>SUM(H277:H282)</f>
        <v>0</v>
      </c>
      <c r="J277" s="1060" t="s">
        <v>1104</v>
      </c>
    </row>
    <row r="278" spans="1:10" s="136" customFormat="1">
      <c r="A278" s="134" t="s">
        <v>1162</v>
      </c>
      <c r="B278" s="990" t="s">
        <v>1051</v>
      </c>
      <c r="C278" s="1002">
        <f t="shared" si="24"/>
        <v>0</v>
      </c>
      <c r="D278" s="1003">
        <f t="shared" si="26"/>
        <v>0</v>
      </c>
      <c r="E278" s="1009" t="s">
        <v>2148</v>
      </c>
      <c r="F278" s="1029">
        <f t="shared" si="25"/>
        <v>0</v>
      </c>
      <c r="G278" s="1027">
        <f t="shared" si="27"/>
        <v>0</v>
      </c>
      <c r="H278" s="934">
        <f t="shared" si="19"/>
        <v>0</v>
      </c>
      <c r="J278" s="1057"/>
    </row>
    <row r="279" spans="1:10" s="136" customFormat="1">
      <c r="A279" s="134" t="s">
        <v>1163</v>
      </c>
      <c r="B279" s="990" t="s">
        <v>1052</v>
      </c>
      <c r="C279" s="1002">
        <f t="shared" si="24"/>
        <v>0</v>
      </c>
      <c r="D279" s="1003">
        <f t="shared" si="26"/>
        <v>0</v>
      </c>
      <c r="E279" s="1009" t="s">
        <v>2148</v>
      </c>
      <c r="F279" s="1029">
        <f t="shared" si="25"/>
        <v>0</v>
      </c>
      <c r="G279" s="1027">
        <f t="shared" si="27"/>
        <v>0</v>
      </c>
      <c r="H279" s="934">
        <f t="shared" si="19"/>
        <v>0</v>
      </c>
      <c r="J279" s="1057"/>
    </row>
    <row r="280" spans="1:10" s="136" customFormat="1">
      <c r="A280" s="134" t="s">
        <v>141</v>
      </c>
      <c r="B280" s="990" t="s">
        <v>1053</v>
      </c>
      <c r="C280" s="1002">
        <f t="shared" si="24"/>
        <v>0</v>
      </c>
      <c r="D280" s="1003">
        <f t="shared" si="26"/>
        <v>0</v>
      </c>
      <c r="E280" s="1009" t="s">
        <v>2148</v>
      </c>
      <c r="F280" s="1029">
        <f t="shared" si="25"/>
        <v>0</v>
      </c>
      <c r="G280" s="1027">
        <f t="shared" si="27"/>
        <v>0</v>
      </c>
      <c r="H280" s="934">
        <f t="shared" si="19"/>
        <v>0</v>
      </c>
      <c r="J280" s="1057"/>
    </row>
    <row r="281" spans="1:10" s="136" customFormat="1">
      <c r="A281" s="134" t="s">
        <v>144</v>
      </c>
      <c r="B281" s="990" t="s">
        <v>1054</v>
      </c>
      <c r="C281" s="1002">
        <f t="shared" si="24"/>
        <v>0</v>
      </c>
      <c r="D281" s="1003">
        <f t="shared" si="26"/>
        <v>0</v>
      </c>
      <c r="E281" s="1009" t="s">
        <v>2148</v>
      </c>
      <c r="F281" s="1029">
        <f t="shared" si="25"/>
        <v>0</v>
      </c>
      <c r="G281" s="1027">
        <f t="shared" si="27"/>
        <v>0</v>
      </c>
      <c r="H281" s="934">
        <f t="shared" si="19"/>
        <v>0</v>
      </c>
      <c r="J281" s="1057"/>
    </row>
    <row r="282" spans="1:10" s="136" customFormat="1">
      <c r="A282" s="134" t="s">
        <v>1167</v>
      </c>
      <c r="B282" s="990" t="s">
        <v>1055</v>
      </c>
      <c r="C282" s="1002">
        <f>SUMIF(KontoSk,A282,SaldoSkPS)</f>
        <v>0</v>
      </c>
      <c r="D282" s="1003">
        <f t="shared" si="26"/>
        <v>0</v>
      </c>
      <c r="E282" s="1009" t="s">
        <v>2148</v>
      </c>
      <c r="F282" s="1029">
        <f>SUMIF(KontoSk,A282,SaldoSk)</f>
        <v>0</v>
      </c>
      <c r="G282" s="1027">
        <f t="shared" si="27"/>
        <v>0</v>
      </c>
      <c r="H282" s="934">
        <f t="shared" si="19"/>
        <v>0</v>
      </c>
      <c r="J282" s="1057"/>
    </row>
    <row r="283" spans="1:10" s="136" customFormat="1">
      <c r="A283" s="134" t="s">
        <v>142</v>
      </c>
      <c r="B283" s="990" t="s">
        <v>1056</v>
      </c>
      <c r="C283" s="1002">
        <f t="shared" ref="C283:C289" si="28">IF(SUMIF(KontoSk,A283,SaldoSkPS)&lt;0,"Greska!",SUMIF(KontoSk,A283,SaldoSkPS))</f>
        <v>0</v>
      </c>
      <c r="D283" s="1003">
        <f t="shared" si="26"/>
        <v>0</v>
      </c>
      <c r="E283" s="1009" t="s">
        <v>2149</v>
      </c>
      <c r="F283" s="1029">
        <f t="shared" ref="F283:F289" si="29">IF(SUMIF(KontoSk,A283,SaldoSk)&lt;0,"Greska!",SUMIF(KontoSk,A283,SaldoSk))</f>
        <v>0</v>
      </c>
      <c r="G283" s="1027">
        <f t="shared" si="27"/>
        <v>0</v>
      </c>
      <c r="H283" s="934">
        <f t="shared" si="19"/>
        <v>0</v>
      </c>
      <c r="I283" s="1059">
        <f>SUM(H283:H290)</f>
        <v>0</v>
      </c>
      <c r="J283" s="1060" t="s">
        <v>1105</v>
      </c>
    </row>
    <row r="284" spans="1:10" s="136" customFormat="1">
      <c r="A284" s="134" t="s">
        <v>1168</v>
      </c>
      <c r="B284" s="990" t="s">
        <v>1057</v>
      </c>
      <c r="C284" s="1002">
        <f t="shared" si="28"/>
        <v>0</v>
      </c>
      <c r="D284" s="1003">
        <f t="shared" si="26"/>
        <v>0</v>
      </c>
      <c r="E284" s="1009" t="s">
        <v>2149</v>
      </c>
      <c r="F284" s="1029">
        <f t="shared" si="29"/>
        <v>0</v>
      </c>
      <c r="G284" s="1027">
        <f t="shared" si="27"/>
        <v>0</v>
      </c>
      <c r="H284" s="934">
        <f t="shared" si="19"/>
        <v>0</v>
      </c>
      <c r="J284" s="1057"/>
    </row>
    <row r="285" spans="1:10" s="136" customFormat="1">
      <c r="A285" s="134" t="s">
        <v>1169</v>
      </c>
      <c r="B285" s="990" t="s">
        <v>1058</v>
      </c>
      <c r="C285" s="1002">
        <f t="shared" si="28"/>
        <v>0</v>
      </c>
      <c r="D285" s="1003">
        <f t="shared" si="26"/>
        <v>0</v>
      </c>
      <c r="E285" s="1009" t="s">
        <v>2149</v>
      </c>
      <c r="F285" s="1029">
        <f t="shared" si="29"/>
        <v>0</v>
      </c>
      <c r="G285" s="1027">
        <f t="shared" si="27"/>
        <v>0</v>
      </c>
      <c r="H285" s="934">
        <f t="shared" si="19"/>
        <v>0</v>
      </c>
      <c r="J285" s="1057"/>
    </row>
    <row r="286" spans="1:10" s="136" customFormat="1">
      <c r="A286" s="134" t="s">
        <v>1170</v>
      </c>
      <c r="B286" s="990" t="s">
        <v>1059</v>
      </c>
      <c r="C286" s="1002">
        <f t="shared" si="28"/>
        <v>0</v>
      </c>
      <c r="D286" s="1003">
        <f t="shared" si="26"/>
        <v>0</v>
      </c>
      <c r="E286" s="1009" t="s">
        <v>2149</v>
      </c>
      <c r="F286" s="1029">
        <f t="shared" si="29"/>
        <v>0</v>
      </c>
      <c r="G286" s="1027">
        <f t="shared" si="27"/>
        <v>0</v>
      </c>
      <c r="H286" s="934">
        <f t="shared" si="19"/>
        <v>0</v>
      </c>
      <c r="J286" s="1057"/>
    </row>
    <row r="287" spans="1:10" s="136" customFormat="1">
      <c r="A287" s="134" t="s">
        <v>184</v>
      </c>
      <c r="B287" s="990" t="s">
        <v>1060</v>
      </c>
      <c r="C287" s="1002">
        <f t="shared" si="28"/>
        <v>0</v>
      </c>
      <c r="D287" s="1003">
        <f t="shared" si="26"/>
        <v>0</v>
      </c>
      <c r="E287" s="1009" t="s">
        <v>2149</v>
      </c>
      <c r="F287" s="1029">
        <f t="shared" si="29"/>
        <v>0</v>
      </c>
      <c r="G287" s="1027">
        <f t="shared" si="27"/>
        <v>0</v>
      </c>
      <c r="H287" s="934">
        <f t="shared" si="19"/>
        <v>0</v>
      </c>
      <c r="J287" s="1057"/>
    </row>
    <row r="288" spans="1:10" s="136" customFormat="1">
      <c r="A288" s="134" t="s">
        <v>185</v>
      </c>
      <c r="B288" s="990" t="s">
        <v>1061</v>
      </c>
      <c r="C288" s="1002">
        <f t="shared" si="28"/>
        <v>0</v>
      </c>
      <c r="D288" s="1003">
        <f t="shared" si="26"/>
        <v>0</v>
      </c>
      <c r="E288" s="1009" t="s">
        <v>2149</v>
      </c>
      <c r="F288" s="1029">
        <f t="shared" si="29"/>
        <v>0</v>
      </c>
      <c r="G288" s="1027">
        <f t="shared" si="27"/>
        <v>0</v>
      </c>
      <c r="H288" s="934">
        <f t="shared" si="19"/>
        <v>0</v>
      </c>
      <c r="J288" s="1057"/>
    </row>
    <row r="289" spans="1:10" s="136" customFormat="1">
      <c r="A289" s="134" t="s">
        <v>188</v>
      </c>
      <c r="B289" s="990" t="s">
        <v>1062</v>
      </c>
      <c r="C289" s="1002">
        <f t="shared" si="28"/>
        <v>0</v>
      </c>
      <c r="D289" s="1003">
        <f t="shared" si="26"/>
        <v>0</v>
      </c>
      <c r="E289" s="1009" t="s">
        <v>2149</v>
      </c>
      <c r="F289" s="1029">
        <f t="shared" si="29"/>
        <v>0</v>
      </c>
      <c r="G289" s="1027">
        <f t="shared" si="27"/>
        <v>0</v>
      </c>
      <c r="H289" s="934">
        <f t="shared" si="19"/>
        <v>0</v>
      </c>
      <c r="J289" s="1057"/>
    </row>
    <row r="290" spans="1:10" s="136" customFormat="1">
      <c r="A290" s="134" t="s">
        <v>189</v>
      </c>
      <c r="B290" s="990" t="s">
        <v>1063</v>
      </c>
      <c r="C290" s="1002">
        <f>SUMIF(KontoSk,A290,SaldoSkPS)</f>
        <v>0</v>
      </c>
      <c r="D290" s="1003">
        <f t="shared" si="26"/>
        <v>0</v>
      </c>
      <c r="E290" s="1009" t="s">
        <v>2149</v>
      </c>
      <c r="F290" s="1029">
        <f>SUMIF(KontoSk,A290,SaldoSk)</f>
        <v>0</v>
      </c>
      <c r="G290" s="1027">
        <f t="shared" si="27"/>
        <v>0</v>
      </c>
      <c r="H290" s="934">
        <f t="shared" si="19"/>
        <v>0</v>
      </c>
      <c r="J290" s="1057"/>
    </row>
    <row r="291" spans="1:10" s="136" customFormat="1">
      <c r="A291" s="134" t="s">
        <v>190</v>
      </c>
      <c r="B291" s="990" t="s">
        <v>1064</v>
      </c>
      <c r="C291" s="1002">
        <f t="shared" ref="C291:C315" si="30">IF(SUMIF(KontoSk,A291,SaldoSkPS)&lt;0,"Greska!",SUMIF(KontoSk,A291,SaldoSkPS))</f>
        <v>0</v>
      </c>
      <c r="D291" s="1003">
        <f t="shared" si="26"/>
        <v>0</v>
      </c>
      <c r="E291" s="1009" t="s">
        <v>2151</v>
      </c>
      <c r="F291" s="1029">
        <f t="shared" ref="F291:F315" si="31">IF(SUMIF(KontoSk,A291,SaldoSk)&lt;0,"Greska!",SUMIF(KontoSk,A291,SaldoSk))</f>
        <v>0</v>
      </c>
      <c r="G291" s="1027">
        <f t="shared" si="27"/>
        <v>0</v>
      </c>
      <c r="H291" s="934">
        <f t="shared" si="19"/>
        <v>0</v>
      </c>
      <c r="I291" s="1059">
        <f>SUM(H291:H298)</f>
        <v>0</v>
      </c>
      <c r="J291" s="1060" t="s">
        <v>817</v>
      </c>
    </row>
    <row r="292" spans="1:10" s="136" customFormat="1">
      <c r="A292" s="134" t="s">
        <v>191</v>
      </c>
      <c r="B292" s="990" t="s">
        <v>1065</v>
      </c>
      <c r="C292" s="1002">
        <f t="shared" si="30"/>
        <v>0</v>
      </c>
      <c r="D292" s="1003">
        <f t="shared" si="26"/>
        <v>0</v>
      </c>
      <c r="E292" s="1009" t="s">
        <v>2152</v>
      </c>
      <c r="F292" s="1029">
        <f t="shared" si="31"/>
        <v>0</v>
      </c>
      <c r="G292" s="1027">
        <f t="shared" si="27"/>
        <v>0</v>
      </c>
      <c r="H292" s="934">
        <f t="shared" si="19"/>
        <v>0</v>
      </c>
      <c r="J292" s="1057"/>
    </row>
    <row r="293" spans="1:10" s="136" customFormat="1">
      <c r="A293" s="134" t="s">
        <v>192</v>
      </c>
      <c r="B293" s="990" t="s">
        <v>1066</v>
      </c>
      <c r="C293" s="1002">
        <f t="shared" si="30"/>
        <v>0</v>
      </c>
      <c r="D293" s="1003">
        <f t="shared" si="26"/>
        <v>0</v>
      </c>
      <c r="E293" s="1009" t="s">
        <v>2153</v>
      </c>
      <c r="F293" s="1029">
        <f t="shared" si="31"/>
        <v>0</v>
      </c>
      <c r="G293" s="1027">
        <f t="shared" si="27"/>
        <v>0</v>
      </c>
      <c r="H293" s="934">
        <f t="shared" si="19"/>
        <v>0</v>
      </c>
      <c r="J293" s="1057"/>
    </row>
    <row r="294" spans="1:10" s="136" customFormat="1">
      <c r="A294" s="134" t="s">
        <v>168</v>
      </c>
      <c r="B294" s="990" t="s">
        <v>1920</v>
      </c>
      <c r="C294" s="1002">
        <f t="shared" si="30"/>
        <v>0</v>
      </c>
      <c r="D294" s="1003">
        <f t="shared" si="26"/>
        <v>0</v>
      </c>
      <c r="E294" s="1009" t="s">
        <v>2154</v>
      </c>
      <c r="F294" s="1029">
        <f t="shared" si="31"/>
        <v>0</v>
      </c>
      <c r="G294" s="1027">
        <f t="shared" si="27"/>
        <v>0</v>
      </c>
      <c r="H294" s="934">
        <f t="shared" si="19"/>
        <v>0</v>
      </c>
      <c r="J294" s="1057"/>
    </row>
    <row r="295" spans="1:10" s="136" customFormat="1">
      <c r="A295" s="134" t="s">
        <v>169</v>
      </c>
      <c r="B295" s="990" t="s">
        <v>1921</v>
      </c>
      <c r="C295" s="1002">
        <f t="shared" si="30"/>
        <v>0</v>
      </c>
      <c r="D295" s="1003">
        <f t="shared" si="26"/>
        <v>0</v>
      </c>
      <c r="E295" s="1009" t="s">
        <v>2154</v>
      </c>
      <c r="F295" s="1029">
        <f t="shared" si="31"/>
        <v>0</v>
      </c>
      <c r="G295" s="1027">
        <f t="shared" si="27"/>
        <v>0</v>
      </c>
      <c r="H295" s="934">
        <f t="shared" si="19"/>
        <v>0</v>
      </c>
      <c r="J295" s="1057"/>
    </row>
    <row r="296" spans="1:10" s="136" customFormat="1">
      <c r="A296" s="134" t="s">
        <v>170</v>
      </c>
      <c r="B296" s="990" t="s">
        <v>1922</v>
      </c>
      <c r="C296" s="1002">
        <f t="shared" si="30"/>
        <v>0</v>
      </c>
      <c r="D296" s="1003">
        <f t="shared" si="26"/>
        <v>0</v>
      </c>
      <c r="E296" s="1009" t="s">
        <v>2155</v>
      </c>
      <c r="F296" s="1029">
        <f t="shared" si="31"/>
        <v>0</v>
      </c>
      <c r="G296" s="1027">
        <f t="shared" si="27"/>
        <v>0</v>
      </c>
      <c r="H296" s="934">
        <f t="shared" si="19"/>
        <v>0</v>
      </c>
      <c r="J296" s="1057"/>
    </row>
    <row r="297" spans="1:10" s="136" customFormat="1">
      <c r="A297" s="134" t="s">
        <v>171</v>
      </c>
      <c r="B297" s="990" t="s">
        <v>1923</v>
      </c>
      <c r="C297" s="1002">
        <f t="shared" si="30"/>
        <v>0</v>
      </c>
      <c r="D297" s="1003">
        <f t="shared" si="26"/>
        <v>0</v>
      </c>
      <c r="E297" s="1009" t="s">
        <v>2156</v>
      </c>
      <c r="F297" s="1029">
        <f t="shared" si="31"/>
        <v>0</v>
      </c>
      <c r="G297" s="1027">
        <f t="shared" si="27"/>
        <v>0</v>
      </c>
      <c r="H297" s="934">
        <f t="shared" si="19"/>
        <v>0</v>
      </c>
      <c r="J297" s="1057"/>
    </row>
    <row r="298" spans="1:10" s="136" customFormat="1">
      <c r="A298" s="134" t="s">
        <v>173</v>
      </c>
      <c r="B298" s="990" t="s">
        <v>1924</v>
      </c>
      <c r="C298" s="1002">
        <f t="shared" si="30"/>
        <v>0</v>
      </c>
      <c r="D298" s="1003">
        <f t="shared" si="26"/>
        <v>0</v>
      </c>
      <c r="E298" s="1009" t="s">
        <v>2157</v>
      </c>
      <c r="F298" s="1029">
        <f t="shared" si="31"/>
        <v>0</v>
      </c>
      <c r="G298" s="1027">
        <f t="shared" si="27"/>
        <v>0</v>
      </c>
      <c r="H298" s="934">
        <f t="shared" si="19"/>
        <v>0</v>
      </c>
      <c r="J298" s="1057"/>
    </row>
    <row r="299" spans="1:10" s="136" customFormat="1">
      <c r="A299" s="134" t="s">
        <v>174</v>
      </c>
      <c r="B299" s="990" t="s">
        <v>1925</v>
      </c>
      <c r="C299" s="1002">
        <f t="shared" si="30"/>
        <v>0</v>
      </c>
      <c r="D299" s="1003">
        <f t="shared" ref="D299:D315" si="32">IF(SUMIF(KontoSk,A299&amp;"I",SaldoSkPS)*(-1)&lt;0,"Greska",SUMIF(KontoSk,A299&amp;"I",SaldoSkPS)*(-1))</f>
        <v>0</v>
      </c>
      <c r="E299" s="1009"/>
      <c r="F299" s="1029">
        <f t="shared" si="31"/>
        <v>0</v>
      </c>
      <c r="G299" s="1027">
        <f t="shared" ref="G299:G315" si="33">IF(SUMIF(KontoSk,A299&amp;"I",SaldoSk)*(-1)&lt;0,"Greska!",SUMIF(KontoSk,A299&amp;"I",SaldoSk)*(-1))</f>
        <v>0</v>
      </c>
      <c r="H299" s="934">
        <f t="shared" si="19"/>
        <v>0</v>
      </c>
      <c r="J299" s="1057"/>
    </row>
    <row r="300" spans="1:10" s="136" customFormat="1">
      <c r="A300" s="134" t="s">
        <v>2730</v>
      </c>
      <c r="B300" s="990" t="s">
        <v>1926</v>
      </c>
      <c r="C300" s="1002">
        <f t="shared" si="30"/>
        <v>0</v>
      </c>
      <c r="D300" s="1003">
        <f t="shared" si="32"/>
        <v>0</v>
      </c>
      <c r="E300" s="1009" t="s">
        <v>2158</v>
      </c>
      <c r="F300" s="1029">
        <f t="shared" si="31"/>
        <v>0</v>
      </c>
      <c r="G300" s="1027">
        <f t="shared" si="33"/>
        <v>0</v>
      </c>
      <c r="H300" s="934">
        <f t="shared" ref="H300:H315" si="34">(C300-D300)-(F300-G300)</f>
        <v>0</v>
      </c>
      <c r="I300" s="1059">
        <f>SUM(H300:H308)</f>
        <v>0</v>
      </c>
      <c r="J300" s="1060" t="s">
        <v>1108</v>
      </c>
    </row>
    <row r="301" spans="1:10" s="136" customFormat="1">
      <c r="A301" s="134" t="s">
        <v>2731</v>
      </c>
      <c r="B301" s="990" t="s">
        <v>1927</v>
      </c>
      <c r="C301" s="1002">
        <f t="shared" si="30"/>
        <v>0</v>
      </c>
      <c r="D301" s="1003">
        <f t="shared" si="32"/>
        <v>0</v>
      </c>
      <c r="E301" s="1009" t="s">
        <v>2158</v>
      </c>
      <c r="F301" s="1029">
        <f t="shared" si="31"/>
        <v>0</v>
      </c>
      <c r="G301" s="1027">
        <f t="shared" si="33"/>
        <v>0</v>
      </c>
      <c r="H301" s="934">
        <f t="shared" si="34"/>
        <v>0</v>
      </c>
      <c r="J301" s="1057"/>
    </row>
    <row r="302" spans="1:10" s="136" customFormat="1">
      <c r="A302" s="134" t="s">
        <v>2732</v>
      </c>
      <c r="B302" s="990" t="s">
        <v>1928</v>
      </c>
      <c r="C302" s="1002">
        <f t="shared" si="30"/>
        <v>0</v>
      </c>
      <c r="D302" s="1003">
        <f t="shared" si="32"/>
        <v>0</v>
      </c>
      <c r="E302" s="1009" t="s">
        <v>2158</v>
      </c>
      <c r="F302" s="1029">
        <f t="shared" si="31"/>
        <v>0</v>
      </c>
      <c r="G302" s="1027">
        <f t="shared" si="33"/>
        <v>0</v>
      </c>
      <c r="H302" s="934">
        <f t="shared" si="34"/>
        <v>0</v>
      </c>
      <c r="J302" s="1057"/>
    </row>
    <row r="303" spans="1:10" s="136" customFormat="1">
      <c r="A303" s="134" t="s">
        <v>2733</v>
      </c>
      <c r="B303" s="990" t="s">
        <v>1929</v>
      </c>
      <c r="C303" s="1002">
        <f t="shared" si="30"/>
        <v>0</v>
      </c>
      <c r="D303" s="1003">
        <f t="shared" si="32"/>
        <v>0</v>
      </c>
      <c r="E303" s="1009" t="s">
        <v>2158</v>
      </c>
      <c r="F303" s="1029">
        <f t="shared" si="31"/>
        <v>0</v>
      </c>
      <c r="G303" s="1027">
        <f t="shared" si="33"/>
        <v>0</v>
      </c>
      <c r="H303" s="934">
        <f t="shared" si="34"/>
        <v>0</v>
      </c>
      <c r="J303" s="1057"/>
    </row>
    <row r="304" spans="1:10" s="136" customFormat="1">
      <c r="A304" s="134" t="s">
        <v>2734</v>
      </c>
      <c r="B304" s="990" t="s">
        <v>1930</v>
      </c>
      <c r="C304" s="1002">
        <f t="shared" si="30"/>
        <v>0</v>
      </c>
      <c r="D304" s="1003">
        <f t="shared" si="32"/>
        <v>0</v>
      </c>
      <c r="E304" s="1009" t="s">
        <v>2158</v>
      </c>
      <c r="F304" s="1029">
        <f t="shared" si="31"/>
        <v>0</v>
      </c>
      <c r="G304" s="1027">
        <f t="shared" si="33"/>
        <v>0</v>
      </c>
      <c r="H304" s="934">
        <f t="shared" si="34"/>
        <v>0</v>
      </c>
      <c r="J304" s="1057"/>
    </row>
    <row r="305" spans="1:10" s="136" customFormat="1">
      <c r="A305" s="134" t="s">
        <v>2735</v>
      </c>
      <c r="B305" s="990" t="s">
        <v>1931</v>
      </c>
      <c r="C305" s="1002">
        <f t="shared" si="30"/>
        <v>0</v>
      </c>
      <c r="D305" s="1003">
        <f t="shared" si="32"/>
        <v>0</v>
      </c>
      <c r="E305" s="1009" t="s">
        <v>2158</v>
      </c>
      <c r="F305" s="1029">
        <f t="shared" si="31"/>
        <v>0</v>
      </c>
      <c r="G305" s="1027">
        <f t="shared" si="33"/>
        <v>0</v>
      </c>
      <c r="H305" s="934">
        <f t="shared" si="34"/>
        <v>0</v>
      </c>
      <c r="J305" s="1057"/>
    </row>
    <row r="306" spans="1:10" s="136" customFormat="1">
      <c r="A306" s="134" t="s">
        <v>2736</v>
      </c>
      <c r="B306" s="990" t="s">
        <v>1932</v>
      </c>
      <c r="C306" s="1002">
        <f t="shared" si="30"/>
        <v>0</v>
      </c>
      <c r="D306" s="1003">
        <f t="shared" si="32"/>
        <v>0</v>
      </c>
      <c r="E306" s="1009" t="s">
        <v>2158</v>
      </c>
      <c r="F306" s="1029">
        <f t="shared" si="31"/>
        <v>0</v>
      </c>
      <c r="G306" s="1027">
        <f t="shared" si="33"/>
        <v>0</v>
      </c>
      <c r="H306" s="934">
        <f t="shared" si="34"/>
        <v>0</v>
      </c>
      <c r="J306" s="1057"/>
    </row>
    <row r="307" spans="1:10" s="136" customFormat="1">
      <c r="A307" s="134" t="s">
        <v>2738</v>
      </c>
      <c r="B307" s="990" t="s">
        <v>739</v>
      </c>
      <c r="C307" s="1002">
        <f t="shared" si="30"/>
        <v>0</v>
      </c>
      <c r="D307" s="1003">
        <f t="shared" si="32"/>
        <v>0</v>
      </c>
      <c r="E307" s="1009" t="s">
        <v>2158</v>
      </c>
      <c r="F307" s="1029">
        <f t="shared" si="31"/>
        <v>0</v>
      </c>
      <c r="G307" s="1027">
        <f t="shared" si="33"/>
        <v>0</v>
      </c>
      <c r="H307" s="934">
        <f t="shared" si="34"/>
        <v>0</v>
      </c>
      <c r="J307" s="1057"/>
    </row>
    <row r="308" spans="1:10" s="136" customFormat="1">
      <c r="A308" s="134" t="s">
        <v>2739</v>
      </c>
      <c r="B308" s="990" t="s">
        <v>740</v>
      </c>
      <c r="C308" s="1002">
        <f t="shared" si="30"/>
        <v>0</v>
      </c>
      <c r="D308" s="1003">
        <f t="shared" si="32"/>
        <v>0</v>
      </c>
      <c r="E308" s="1009" t="s">
        <v>2158</v>
      </c>
      <c r="F308" s="1029">
        <f t="shared" si="31"/>
        <v>0</v>
      </c>
      <c r="G308" s="1027">
        <f t="shared" si="33"/>
        <v>0</v>
      </c>
      <c r="H308" s="934">
        <f t="shared" si="34"/>
        <v>0</v>
      </c>
      <c r="J308" s="1057"/>
    </row>
    <row r="309" spans="1:10" s="136" customFormat="1">
      <c r="A309" s="134" t="s">
        <v>2740</v>
      </c>
      <c r="B309" s="990" t="s">
        <v>741</v>
      </c>
      <c r="C309" s="1002">
        <f t="shared" si="30"/>
        <v>0</v>
      </c>
      <c r="D309" s="1003">
        <f t="shared" si="32"/>
        <v>0</v>
      </c>
      <c r="E309" s="1009" t="s">
        <v>2159</v>
      </c>
      <c r="F309" s="1029">
        <f t="shared" si="31"/>
        <v>0</v>
      </c>
      <c r="G309" s="1027">
        <f t="shared" si="33"/>
        <v>0</v>
      </c>
      <c r="H309" s="934">
        <f t="shared" si="34"/>
        <v>0</v>
      </c>
      <c r="I309" s="1059">
        <f>SUM(H309:H314)</f>
        <v>0</v>
      </c>
      <c r="J309" s="1060" t="s">
        <v>1109</v>
      </c>
    </row>
    <row r="310" spans="1:10" s="136" customFormat="1">
      <c r="A310" s="134" t="s">
        <v>2741</v>
      </c>
      <c r="B310" s="990" t="s">
        <v>742</v>
      </c>
      <c r="C310" s="1002">
        <f t="shared" si="30"/>
        <v>0</v>
      </c>
      <c r="D310" s="1003">
        <f t="shared" si="32"/>
        <v>0</v>
      </c>
      <c r="E310" s="1009" t="s">
        <v>2159</v>
      </c>
      <c r="F310" s="1029">
        <f t="shared" si="31"/>
        <v>0</v>
      </c>
      <c r="G310" s="1027">
        <f t="shared" si="33"/>
        <v>0</v>
      </c>
      <c r="H310" s="934">
        <f t="shared" si="34"/>
        <v>0</v>
      </c>
      <c r="J310" s="1057"/>
    </row>
    <row r="311" spans="1:10" s="136" customFormat="1">
      <c r="A311" s="134" t="s">
        <v>2742</v>
      </c>
      <c r="B311" s="990" t="s">
        <v>743</v>
      </c>
      <c r="C311" s="1002">
        <f t="shared" si="30"/>
        <v>0</v>
      </c>
      <c r="D311" s="1003">
        <f t="shared" si="32"/>
        <v>0</v>
      </c>
      <c r="E311" s="1009" t="s">
        <v>2159</v>
      </c>
      <c r="F311" s="1029">
        <f t="shared" si="31"/>
        <v>0</v>
      </c>
      <c r="G311" s="1027">
        <f t="shared" si="33"/>
        <v>0</v>
      </c>
      <c r="H311" s="934">
        <f t="shared" si="34"/>
        <v>0</v>
      </c>
      <c r="J311" s="1057"/>
    </row>
    <row r="312" spans="1:10" s="136" customFormat="1">
      <c r="A312" s="134" t="s">
        <v>2743</v>
      </c>
      <c r="B312" s="990" t="s">
        <v>744</v>
      </c>
      <c r="C312" s="1002">
        <f t="shared" si="30"/>
        <v>0</v>
      </c>
      <c r="D312" s="1003">
        <f t="shared" si="32"/>
        <v>0</v>
      </c>
      <c r="E312" s="1009" t="s">
        <v>2159</v>
      </c>
      <c r="F312" s="1029">
        <f t="shared" si="31"/>
        <v>0</v>
      </c>
      <c r="G312" s="1027">
        <f t="shared" si="33"/>
        <v>0</v>
      </c>
      <c r="H312" s="934">
        <f t="shared" si="34"/>
        <v>0</v>
      </c>
      <c r="J312" s="1057"/>
    </row>
    <row r="313" spans="1:10" s="136" customFormat="1">
      <c r="A313" s="134" t="s">
        <v>2748</v>
      </c>
      <c r="B313" s="990" t="s">
        <v>993</v>
      </c>
      <c r="C313" s="1002">
        <f t="shared" si="30"/>
        <v>0</v>
      </c>
      <c r="D313" s="1003">
        <f t="shared" si="32"/>
        <v>0</v>
      </c>
      <c r="E313" s="1009" t="s">
        <v>2160</v>
      </c>
      <c r="F313" s="1029">
        <f t="shared" si="31"/>
        <v>0</v>
      </c>
      <c r="G313" s="1027">
        <f t="shared" si="33"/>
        <v>0</v>
      </c>
      <c r="H313" s="934">
        <f t="shared" si="34"/>
        <v>0</v>
      </c>
      <c r="J313" s="1057"/>
    </row>
    <row r="314" spans="1:10" s="136" customFormat="1">
      <c r="A314" s="134" t="s">
        <v>2749</v>
      </c>
      <c r="B314" s="990" t="s">
        <v>745</v>
      </c>
      <c r="C314" s="1002">
        <f t="shared" si="30"/>
        <v>0</v>
      </c>
      <c r="D314" s="1003">
        <f t="shared" si="32"/>
        <v>0</v>
      </c>
      <c r="E314" s="1009" t="s">
        <v>2159</v>
      </c>
      <c r="F314" s="1029">
        <f t="shared" si="31"/>
        <v>0</v>
      </c>
      <c r="G314" s="1027">
        <f t="shared" si="33"/>
        <v>0</v>
      </c>
      <c r="H314" s="934">
        <f t="shared" si="34"/>
        <v>0</v>
      </c>
      <c r="J314" s="1057"/>
    </row>
    <row r="315" spans="1:10" s="136" customFormat="1">
      <c r="A315" s="134" t="s">
        <v>2750</v>
      </c>
      <c r="B315" s="990" t="s">
        <v>746</v>
      </c>
      <c r="C315" s="1002">
        <f t="shared" si="30"/>
        <v>0</v>
      </c>
      <c r="D315" s="1003">
        <f t="shared" si="32"/>
        <v>0</v>
      </c>
      <c r="E315" s="1009" t="s">
        <v>2161</v>
      </c>
      <c r="F315" s="1029">
        <f t="shared" si="31"/>
        <v>0</v>
      </c>
      <c r="G315" s="1027">
        <f t="shared" si="33"/>
        <v>0</v>
      </c>
      <c r="H315" s="934">
        <f t="shared" si="34"/>
        <v>0</v>
      </c>
      <c r="I315" s="1059">
        <f>H315</f>
        <v>0</v>
      </c>
      <c r="J315" s="1060" t="s">
        <v>1110</v>
      </c>
    </row>
    <row r="316" spans="1:10" s="136" customFormat="1">
      <c r="A316" s="134" t="s">
        <v>2760</v>
      </c>
      <c r="B316" s="990" t="s">
        <v>747</v>
      </c>
      <c r="C316" s="1002">
        <f t="shared" ref="C316:C330" si="35">IF(SUMIF(KontoSk,A316,SaldoSkPS)*(-1)&lt;0,"Greska!",SUMIF(KontoSk,A316,SaldoSkPS)*(-1))</f>
        <v>0</v>
      </c>
      <c r="D316" s="1016"/>
      <c r="E316" s="1009" t="s">
        <v>2084</v>
      </c>
      <c r="F316" s="1029">
        <f t="shared" ref="F316:F330" si="36">IF(SUMIF(KontoSk,A316,SaldoSk)*(-1)&lt;0,"Greska!",SUMIF(KontoSk,A316,SaldoSk)*(-1))</f>
        <v>0</v>
      </c>
      <c r="G316" s="1017"/>
      <c r="H316" s="1054">
        <f>F316-C316</f>
        <v>0</v>
      </c>
      <c r="I316" s="1061">
        <f>SUM(H316:H321)</f>
        <v>0</v>
      </c>
      <c r="J316" s="1060" t="s">
        <v>1111</v>
      </c>
    </row>
    <row r="317" spans="1:10" s="136" customFormat="1">
      <c r="A317" s="134" t="s">
        <v>2762</v>
      </c>
      <c r="B317" s="990" t="s">
        <v>748</v>
      </c>
      <c r="C317" s="1002">
        <f t="shared" si="35"/>
        <v>0</v>
      </c>
      <c r="D317" s="1016"/>
      <c r="E317" s="1009" t="s">
        <v>2085</v>
      </c>
      <c r="F317" s="1029">
        <f t="shared" si="36"/>
        <v>0</v>
      </c>
      <c r="G317" s="1017"/>
      <c r="H317" s="1054">
        <f t="shared" ref="H317:H380" si="37">F317-C317</f>
        <v>0</v>
      </c>
      <c r="J317" s="1057"/>
    </row>
    <row r="318" spans="1:10" s="136" customFormat="1">
      <c r="A318" s="134" t="s">
        <v>2763</v>
      </c>
      <c r="B318" s="990" t="s">
        <v>749</v>
      </c>
      <c r="C318" s="1002">
        <f t="shared" si="35"/>
        <v>0</v>
      </c>
      <c r="D318" s="1016"/>
      <c r="E318" s="1009" t="s">
        <v>2086</v>
      </c>
      <c r="F318" s="1029">
        <f t="shared" si="36"/>
        <v>0</v>
      </c>
      <c r="G318" s="1017"/>
      <c r="H318" s="1054">
        <f t="shared" si="37"/>
        <v>0</v>
      </c>
      <c r="J318" s="1057"/>
    </row>
    <row r="319" spans="1:10" s="136" customFormat="1">
      <c r="A319" s="134" t="s">
        <v>2764</v>
      </c>
      <c r="B319" s="990" t="s">
        <v>750</v>
      </c>
      <c r="C319" s="1002">
        <f t="shared" si="35"/>
        <v>0</v>
      </c>
      <c r="D319" s="1016"/>
      <c r="E319" s="1009" t="s">
        <v>2087</v>
      </c>
      <c r="F319" s="1029">
        <f t="shared" si="36"/>
        <v>0</v>
      </c>
      <c r="G319" s="1017"/>
      <c r="H319" s="1054">
        <f t="shared" si="37"/>
        <v>0</v>
      </c>
      <c r="J319" s="1057"/>
    </row>
    <row r="320" spans="1:10" s="136" customFormat="1">
      <c r="A320" s="134" t="s">
        <v>2765</v>
      </c>
      <c r="B320" s="990" t="s">
        <v>751</v>
      </c>
      <c r="C320" s="1002">
        <f t="shared" si="35"/>
        <v>0</v>
      </c>
      <c r="D320" s="1016"/>
      <c r="E320" s="1009" t="s">
        <v>2088</v>
      </c>
      <c r="F320" s="1029">
        <f t="shared" si="36"/>
        <v>0</v>
      </c>
      <c r="G320" s="1017"/>
      <c r="H320" s="1054">
        <f t="shared" si="37"/>
        <v>0</v>
      </c>
      <c r="J320" s="1057"/>
    </row>
    <row r="321" spans="1:10" s="136" customFormat="1">
      <c r="A321" s="134" t="s">
        <v>1375</v>
      </c>
      <c r="B321" s="990" t="s">
        <v>752</v>
      </c>
      <c r="C321" s="1002">
        <f t="shared" si="35"/>
        <v>0</v>
      </c>
      <c r="D321" s="1016"/>
      <c r="E321" s="1009" t="s">
        <v>2089</v>
      </c>
      <c r="F321" s="1029">
        <f t="shared" si="36"/>
        <v>0</v>
      </c>
      <c r="G321" s="1017"/>
      <c r="H321" s="1054">
        <f t="shared" si="37"/>
        <v>0</v>
      </c>
      <c r="J321" s="1057"/>
    </row>
    <row r="322" spans="1:10" s="136" customFormat="1">
      <c r="A322" s="134" t="s">
        <v>1376</v>
      </c>
      <c r="B322" s="990" t="s">
        <v>753</v>
      </c>
      <c r="C322" s="1002">
        <f t="shared" si="35"/>
        <v>0</v>
      </c>
      <c r="D322" s="1016"/>
      <c r="E322" s="1009" t="s">
        <v>2090</v>
      </c>
      <c r="F322" s="1029">
        <f t="shared" si="36"/>
        <v>0</v>
      </c>
      <c r="G322" s="1017"/>
      <c r="H322" s="1054">
        <f t="shared" si="37"/>
        <v>0</v>
      </c>
      <c r="I322" s="1061">
        <f>SUM(H322:H324)</f>
        <v>0</v>
      </c>
      <c r="J322" s="1060" t="s">
        <v>1112</v>
      </c>
    </row>
    <row r="323" spans="1:10" s="136" customFormat="1">
      <c r="A323" s="134" t="s">
        <v>1378</v>
      </c>
      <c r="B323" s="990" t="s">
        <v>754</v>
      </c>
      <c r="C323" s="1002">
        <f t="shared" si="35"/>
        <v>0</v>
      </c>
      <c r="D323" s="1016"/>
      <c r="E323" s="1009" t="s">
        <v>2090</v>
      </c>
      <c r="F323" s="1029">
        <f t="shared" si="36"/>
        <v>0</v>
      </c>
      <c r="G323" s="1017"/>
      <c r="H323" s="1054">
        <f t="shared" si="37"/>
        <v>0</v>
      </c>
      <c r="J323" s="1057"/>
    </row>
    <row r="324" spans="1:10" s="136" customFormat="1">
      <c r="A324" s="134" t="s">
        <v>1385</v>
      </c>
      <c r="B324" s="990" t="s">
        <v>755</v>
      </c>
      <c r="C324" s="1002">
        <f t="shared" si="35"/>
        <v>0</v>
      </c>
      <c r="D324" s="1016"/>
      <c r="E324" s="1009" t="s">
        <v>2090</v>
      </c>
      <c r="F324" s="1029">
        <f t="shared" si="36"/>
        <v>0</v>
      </c>
      <c r="G324" s="1017"/>
      <c r="H324" s="1054">
        <f t="shared" si="37"/>
        <v>0</v>
      </c>
      <c r="J324" s="1057"/>
    </row>
    <row r="325" spans="1:10" s="136" customFormat="1">
      <c r="A325" s="134" t="s">
        <v>1386</v>
      </c>
      <c r="B325" s="990" t="s">
        <v>756</v>
      </c>
      <c r="C325" s="1002">
        <f t="shared" si="35"/>
        <v>0</v>
      </c>
      <c r="D325" s="1016"/>
      <c r="E325" s="1009" t="s">
        <v>2091</v>
      </c>
      <c r="F325" s="1029">
        <f t="shared" si="36"/>
        <v>0</v>
      </c>
      <c r="G325" s="1017"/>
      <c r="H325" s="1054">
        <f t="shared" si="37"/>
        <v>0</v>
      </c>
      <c r="I325" s="1061">
        <f>SUM(H325:H327)</f>
        <v>0</v>
      </c>
      <c r="J325" s="1060" t="s">
        <v>1113</v>
      </c>
    </row>
    <row r="326" spans="1:10" s="136" customFormat="1">
      <c r="A326" s="134" t="s">
        <v>1387</v>
      </c>
      <c r="B326" s="990" t="s">
        <v>757</v>
      </c>
      <c r="C326" s="1002">
        <f t="shared" si="35"/>
        <v>0</v>
      </c>
      <c r="D326" s="1016"/>
      <c r="E326" s="1009" t="s">
        <v>2099</v>
      </c>
      <c r="F326" s="1029">
        <f t="shared" si="36"/>
        <v>0</v>
      </c>
      <c r="G326" s="1017"/>
      <c r="H326" s="1054">
        <f t="shared" si="37"/>
        <v>0</v>
      </c>
      <c r="J326" s="1057"/>
    </row>
    <row r="327" spans="1:10" s="136" customFormat="1">
      <c r="A327" s="134" t="s">
        <v>1388</v>
      </c>
      <c r="B327" s="990" t="s">
        <v>758</v>
      </c>
      <c r="C327" s="1002">
        <f t="shared" si="35"/>
        <v>0</v>
      </c>
      <c r="D327" s="1016"/>
      <c r="E327" s="1009" t="s">
        <v>2100</v>
      </c>
      <c r="F327" s="1029">
        <f t="shared" si="36"/>
        <v>0</v>
      </c>
      <c r="G327" s="1017"/>
      <c r="H327" s="1054">
        <f t="shared" si="37"/>
        <v>0</v>
      </c>
      <c r="J327" s="1057"/>
    </row>
    <row r="328" spans="1:10" s="136" customFormat="1">
      <c r="A328" s="134" t="s">
        <v>349</v>
      </c>
      <c r="B328" s="990" t="s">
        <v>759</v>
      </c>
      <c r="C328" s="1002">
        <f t="shared" si="35"/>
        <v>0</v>
      </c>
      <c r="D328" s="1016"/>
      <c r="E328" s="1009" t="s">
        <v>2101</v>
      </c>
      <c r="F328" s="1029">
        <f t="shared" si="36"/>
        <v>0</v>
      </c>
      <c r="G328" s="1017"/>
      <c r="H328" s="1054">
        <f t="shared" si="37"/>
        <v>0</v>
      </c>
      <c r="I328" s="1061">
        <f>SUM(H328:H332)</f>
        <v>0</v>
      </c>
      <c r="J328" s="1060" t="s">
        <v>1114</v>
      </c>
    </row>
    <row r="329" spans="1:10" s="136" customFormat="1">
      <c r="A329" s="134" t="s">
        <v>350</v>
      </c>
      <c r="B329" s="990" t="s">
        <v>760</v>
      </c>
      <c r="C329" s="1002">
        <f t="shared" si="35"/>
        <v>0</v>
      </c>
      <c r="D329" s="1016"/>
      <c r="E329" s="1009" t="s">
        <v>2101</v>
      </c>
      <c r="F329" s="1029">
        <f t="shared" si="36"/>
        <v>0</v>
      </c>
      <c r="G329" s="1017"/>
      <c r="H329" s="1054">
        <f t="shared" si="37"/>
        <v>0</v>
      </c>
      <c r="J329" s="1057"/>
    </row>
    <row r="330" spans="1:10" s="136" customFormat="1">
      <c r="A330" s="134" t="s">
        <v>351</v>
      </c>
      <c r="B330" s="990" t="s">
        <v>761</v>
      </c>
      <c r="C330" s="1002">
        <f t="shared" si="35"/>
        <v>0</v>
      </c>
      <c r="D330" s="1016"/>
      <c r="E330" s="1009" t="s">
        <v>2102</v>
      </c>
      <c r="F330" s="1029">
        <f t="shared" si="36"/>
        <v>0</v>
      </c>
      <c r="G330" s="1017"/>
      <c r="H330" s="1054">
        <f t="shared" si="37"/>
        <v>0</v>
      </c>
      <c r="J330" s="1057"/>
    </row>
    <row r="331" spans="1:10" s="136" customFormat="1">
      <c r="A331" s="1142" t="s">
        <v>352</v>
      </c>
      <c r="B331" s="1143" t="s">
        <v>762</v>
      </c>
      <c r="C331" s="1144">
        <f>IF(SUMIF(KontoSk,A331,SaldoSkPS)&lt;0,"Greska!",SUMIF(KontoSk,A331,SaldoSkPS))</f>
        <v>0</v>
      </c>
      <c r="D331" s="1147"/>
      <c r="E331" s="1145" t="s">
        <v>2103</v>
      </c>
      <c r="F331" s="1146">
        <f>IF(SUMIF(KontoSk,A331,SaldoSk)&lt;0,"Greska!",SUMIF(KontoSk,A331,SaldoSk))</f>
        <v>0</v>
      </c>
      <c r="G331" s="1017"/>
      <c r="H331" s="1054">
        <f t="shared" si="37"/>
        <v>0</v>
      </c>
      <c r="J331" s="1057"/>
    </row>
    <row r="332" spans="1:10" s="136" customFormat="1">
      <c r="A332" s="134" t="s">
        <v>358</v>
      </c>
      <c r="B332" s="990" t="s">
        <v>763</v>
      </c>
      <c r="C332" s="1002">
        <f>IF(SUMIF(KontoSk,A332,SaldoSkPS)*(-1)&lt;0,"Greska!",SUMIF(KontoSk,A332,SaldoSkPS)*(-1))</f>
        <v>0</v>
      </c>
      <c r="D332" s="1016"/>
      <c r="E332" s="1009" t="s">
        <v>2101</v>
      </c>
      <c r="F332" s="1029">
        <f>IF(SUMIF(KontoSk,A332,SaldoSk)*(-1)&lt;0,"Greska!",SUMIF(KontoSk,A332,SaldoSk)*(-1))</f>
        <v>0</v>
      </c>
      <c r="G332" s="1017"/>
      <c r="H332" s="1054">
        <f t="shared" si="37"/>
        <v>0</v>
      </c>
      <c r="J332" s="1057"/>
    </row>
    <row r="333" spans="1:10" s="136" customFormat="1">
      <c r="A333" s="134" t="s">
        <v>359</v>
      </c>
      <c r="B333" s="990" t="s">
        <v>764</v>
      </c>
      <c r="C333" s="1002">
        <f>IF(SUMIF(KontoSk,A333,SaldoSkPS)*(-1)&lt;0,"Greska!",SUMIF(KontoSk,A333,SaldoSkPS)*(-1))</f>
        <v>0</v>
      </c>
      <c r="D333" s="1016"/>
      <c r="E333" s="1009" t="s">
        <v>424</v>
      </c>
      <c r="F333" s="1029">
        <f>IF(SUMIF(KontoSk,A333,SaldoSk)*(-1)&lt;0,"Greska!",SUMIF(KontoSk,A333,SaldoSk)*(-1))</f>
        <v>0</v>
      </c>
      <c r="G333" s="1017"/>
      <c r="H333" s="1054">
        <f t="shared" si="37"/>
        <v>0</v>
      </c>
      <c r="I333" s="1061">
        <f>SUM(H333:H336)</f>
        <v>0</v>
      </c>
      <c r="J333" s="1060" t="s">
        <v>1115</v>
      </c>
    </row>
    <row r="334" spans="1:10" s="136" customFormat="1">
      <c r="A334" s="134" t="s">
        <v>360</v>
      </c>
      <c r="B334" s="990" t="s">
        <v>765</v>
      </c>
      <c r="C334" s="1002">
        <f>IF(SUMIF(KontoSk,A334,SaldoSkPS)*(-1)&lt;0,"Greska!",SUMIF(KontoSk,A334,SaldoSkPS)*(-1))</f>
        <v>0</v>
      </c>
      <c r="D334" s="1016"/>
      <c r="E334" s="1009" t="s">
        <v>425</v>
      </c>
      <c r="F334" s="1029">
        <f>IF(SUMIF(KontoSk,A334,SaldoSk)*(-1)&lt;0,"Greska!",SUMIF(KontoSk,A334,SaldoSk)*(-1))</f>
        <v>0</v>
      </c>
      <c r="G334" s="1017"/>
      <c r="H334" s="1054">
        <f t="shared" si="37"/>
        <v>0</v>
      </c>
      <c r="J334" s="1057"/>
    </row>
    <row r="335" spans="1:10" s="136" customFormat="1">
      <c r="A335" s="134" t="s">
        <v>361</v>
      </c>
      <c r="B335" s="990" t="s">
        <v>766</v>
      </c>
      <c r="C335" s="1002">
        <f>IF(SUMIF(KontoSk,A335,SaldoSkPS)*(-1)&lt;0,"Greska!",SUMIF(KontoSk,A335,SaldoSkPS)*(-1))</f>
        <v>0</v>
      </c>
      <c r="D335" s="1016"/>
      <c r="E335" s="1009" t="s">
        <v>426</v>
      </c>
      <c r="F335" s="1029">
        <f>IF(SUMIF(KontoSk,A335,SaldoSk)*(-1)&lt;0,"Greska!",SUMIF(KontoSk,A335,SaldoSk)*(-1))</f>
        <v>0</v>
      </c>
      <c r="G335" s="1017"/>
      <c r="H335" s="1054">
        <f t="shared" si="37"/>
        <v>0</v>
      </c>
      <c r="J335" s="1057"/>
    </row>
    <row r="336" spans="1:10" s="136" customFormat="1">
      <c r="A336" s="134" t="s">
        <v>153</v>
      </c>
      <c r="B336" s="990" t="s">
        <v>767</v>
      </c>
      <c r="C336" s="1002">
        <f>IF(SUMIF(KontoSk,A336,SaldoSkPS)*(-1)&lt;0,"Greska!",SUMIF(KontoSk,A336,SaldoSkPS)*(-1))</f>
        <v>0</v>
      </c>
      <c r="D336" s="1016"/>
      <c r="E336" s="1009" t="s">
        <v>427</v>
      </c>
      <c r="F336" s="1029">
        <f>IF(SUMIF(KontoSk,A336,SaldoSk)*(-1)&lt;0,"Greska!",SUMIF(KontoSk,A336,SaldoSk)*(-1))</f>
        <v>0</v>
      </c>
      <c r="G336" s="1017"/>
      <c r="H336" s="1054">
        <f t="shared" si="37"/>
        <v>0</v>
      </c>
      <c r="J336" s="1057"/>
    </row>
    <row r="337" spans="1:13" s="136" customFormat="1">
      <c r="A337" s="1142" t="s">
        <v>2574</v>
      </c>
      <c r="B337" s="1143" t="s">
        <v>1984</v>
      </c>
      <c r="C337" s="1144">
        <f>IF(SUMIF(KontoSk,A337,SaldoSkPS)&lt;0,"Greska!",SUMIF(KontoSk,A337,SaldoSkPS))</f>
        <v>0</v>
      </c>
      <c r="D337" s="1147"/>
      <c r="E337" s="1145" t="s">
        <v>429</v>
      </c>
      <c r="F337" s="1146">
        <f>IF(SUMIF(KontoSk,A337,SaldoSk)&lt;0,"Greska!",SUMIF(KontoSk,A337,SaldoSk))</f>
        <v>0</v>
      </c>
      <c r="G337" s="1017"/>
      <c r="H337" s="1054">
        <f t="shared" si="37"/>
        <v>0</v>
      </c>
      <c r="I337" s="1061">
        <f>SUM(H337:H340)</f>
        <v>0</v>
      </c>
      <c r="J337" s="1060" t="s">
        <v>1116</v>
      </c>
    </row>
    <row r="338" spans="1:13" s="136" customFormat="1">
      <c r="A338" s="1142" t="s">
        <v>2575</v>
      </c>
      <c r="B338" s="1143" t="s">
        <v>1985</v>
      </c>
      <c r="C338" s="1144">
        <f>IF(SUMIF(KontoSk,A338,SaldoSkPS)&lt;0,"Greska!",SUMIF(KontoSk,A338,SaldoSkPS))</f>
        <v>0</v>
      </c>
      <c r="D338" s="1147"/>
      <c r="E338" s="1145" t="s">
        <v>430</v>
      </c>
      <c r="F338" s="1146">
        <f>IF(SUMIF(KontoSk,A338,SaldoSk)&lt;0,"Greska!",SUMIF(KontoSk,A338,SaldoSk))</f>
        <v>0</v>
      </c>
      <c r="G338" s="1017"/>
      <c r="H338" s="1054">
        <f t="shared" si="37"/>
        <v>0</v>
      </c>
      <c r="J338" s="1057"/>
    </row>
    <row r="339" spans="1:13" s="136" customFormat="1">
      <c r="A339" s="1142" t="s">
        <v>2576</v>
      </c>
      <c r="B339" s="1143" t="s">
        <v>1986</v>
      </c>
      <c r="C339" s="1144">
        <f>IF(SUMIF(KontoSk,A339,SaldoSkPS)&lt;0,"Greska!",SUMIF(KontoSk,A339,SaldoSkPS))</f>
        <v>0</v>
      </c>
      <c r="D339" s="1147"/>
      <c r="E339" s="1145" t="s">
        <v>431</v>
      </c>
      <c r="F339" s="1146">
        <f>IF(SUMIF(KontoSk,A339,SaldoSk)&lt;0,"Greska!",SUMIF(KontoSk,A339,SaldoSk))</f>
        <v>0</v>
      </c>
      <c r="G339" s="1017"/>
      <c r="H339" s="1054">
        <f t="shared" si="37"/>
        <v>0</v>
      </c>
      <c r="J339" s="1057"/>
    </row>
    <row r="340" spans="1:13" s="136" customFormat="1">
      <c r="A340" s="1142" t="s">
        <v>2577</v>
      </c>
      <c r="B340" s="1143" t="s">
        <v>1987</v>
      </c>
      <c r="C340" s="1144">
        <f>IF(SUMIF(KontoSk,A340,SaldoSkPS)&lt;0,"Greska!",SUMIF(KontoSk,A340,SaldoSkPS))</f>
        <v>0</v>
      </c>
      <c r="D340" s="1147"/>
      <c r="E340" s="1145" t="s">
        <v>435</v>
      </c>
      <c r="F340" s="1146">
        <f>IF(SUMIF(KontoSk,A340,SaldoSk)&lt;0,"Greska!",SUMIF(KontoSk,A340,SaldoSk))</f>
        <v>0</v>
      </c>
      <c r="G340" s="1017"/>
      <c r="H340" s="1054">
        <f t="shared" si="37"/>
        <v>0</v>
      </c>
      <c r="J340" s="1057"/>
    </row>
    <row r="341" spans="1:13" s="136" customFormat="1">
      <c r="A341" s="1142" t="s">
        <v>1401</v>
      </c>
      <c r="B341" s="1143" t="s">
        <v>1988</v>
      </c>
      <c r="C341" s="1144">
        <f>IF(SUMIF(KontoSk,A341,SaldoSkPS)&lt;0,"Greska!",SUMIF(KontoSk,A341,SaldoSkPS))</f>
        <v>0</v>
      </c>
      <c r="D341" s="1147"/>
      <c r="E341" s="1145" t="s">
        <v>436</v>
      </c>
      <c r="F341" s="1146">
        <f>IF(SUMIF(KontoSk,A341,SaldoSk)&lt;0,"Greska!",SUMIF(KontoSk,A341,SaldoSk))</f>
        <v>0</v>
      </c>
      <c r="G341" s="1017"/>
      <c r="H341" s="1054">
        <f t="shared" si="37"/>
        <v>0</v>
      </c>
      <c r="I341" s="1061">
        <f>H341</f>
        <v>0</v>
      </c>
      <c r="J341" s="1060" t="s">
        <v>1117</v>
      </c>
    </row>
    <row r="342" spans="1:13" s="136" customFormat="1">
      <c r="A342" s="134" t="s">
        <v>1402</v>
      </c>
      <c r="B342" s="990" t="s">
        <v>1989</v>
      </c>
      <c r="C342" s="1002">
        <f t="shared" ref="C342:C373" si="38">IF(SUMIF(KontoSk,A342,SaldoSkPS)*(-1)&lt;0,"Greska!",SUMIF(KontoSk,A342,SaldoSkPS)*(-1))</f>
        <v>0</v>
      </c>
      <c r="D342" s="1016"/>
      <c r="E342" s="1009" t="s">
        <v>779</v>
      </c>
      <c r="F342" s="1029">
        <f t="shared" ref="F342:F373" si="39">IF(SUMIF(KontoSk,A342,SaldoSk)*(-1)&lt;0,"Greska!",SUMIF(KontoSk,A342,SaldoSk)*(-1))</f>
        <v>0</v>
      </c>
      <c r="G342" s="1017"/>
      <c r="H342" s="1054">
        <f t="shared" si="37"/>
        <v>0</v>
      </c>
      <c r="I342" s="1061">
        <f>SUM(H342:H351)</f>
        <v>0</v>
      </c>
      <c r="J342" s="1060" t="s">
        <v>146</v>
      </c>
    </row>
    <row r="343" spans="1:13" s="136" customFormat="1">
      <c r="A343" s="134" t="s">
        <v>1403</v>
      </c>
      <c r="B343" s="990" t="s">
        <v>1990</v>
      </c>
      <c r="C343" s="1002">
        <f t="shared" si="38"/>
        <v>0</v>
      </c>
      <c r="D343" s="1016"/>
      <c r="E343" s="1009" t="s">
        <v>779</v>
      </c>
      <c r="F343" s="1029">
        <f t="shared" si="39"/>
        <v>0</v>
      </c>
      <c r="G343" s="1017"/>
      <c r="H343" s="1054">
        <f t="shared" si="37"/>
        <v>0</v>
      </c>
      <c r="I343" s="1280" t="s">
        <v>2948</v>
      </c>
      <c r="J343" s="1281"/>
      <c r="K343" s="1280"/>
      <c r="L343" s="1280"/>
      <c r="M343" s="1280"/>
    </row>
    <row r="344" spans="1:13" s="136" customFormat="1">
      <c r="A344" s="134" t="s">
        <v>1404</v>
      </c>
      <c r="B344" s="990" t="s">
        <v>305</v>
      </c>
      <c r="C344" s="1002">
        <f t="shared" si="38"/>
        <v>0</v>
      </c>
      <c r="D344" s="1016"/>
      <c r="E344" s="1009" t="s">
        <v>779</v>
      </c>
      <c r="F344" s="1029">
        <f t="shared" si="39"/>
        <v>0</v>
      </c>
      <c r="G344" s="1017"/>
      <c r="H344" s="1054">
        <f t="shared" si="37"/>
        <v>0</v>
      </c>
      <c r="I344" s="1280" t="s">
        <v>2949</v>
      </c>
      <c r="J344" s="1281"/>
      <c r="K344" s="1280"/>
      <c r="L344" s="1280"/>
      <c r="M344" s="1280"/>
    </row>
    <row r="345" spans="1:13" s="136" customFormat="1">
      <c r="A345" s="134" t="s">
        <v>1405</v>
      </c>
      <c r="B345" s="990" t="s">
        <v>306</v>
      </c>
      <c r="C345" s="1002">
        <f t="shared" si="38"/>
        <v>0</v>
      </c>
      <c r="D345" s="1016"/>
      <c r="E345" s="1009" t="s">
        <v>779</v>
      </c>
      <c r="F345" s="1029">
        <f t="shared" si="39"/>
        <v>0</v>
      </c>
      <c r="G345" s="1017"/>
      <c r="H345" s="1054">
        <f t="shared" si="37"/>
        <v>0</v>
      </c>
      <c r="I345" s="1335">
        <f>'bilans-stanja'!AH106</f>
        <v>0</v>
      </c>
      <c r="J345" s="1335"/>
      <c r="K345" s="1335"/>
      <c r="L345" s="1335"/>
      <c r="M345" s="1335"/>
    </row>
    <row r="346" spans="1:13" s="136" customFormat="1">
      <c r="A346" s="134" t="s">
        <v>1406</v>
      </c>
      <c r="B346" s="990" t="s">
        <v>307</v>
      </c>
      <c r="C346" s="1002">
        <f t="shared" si="38"/>
        <v>0</v>
      </c>
      <c r="D346" s="1016"/>
      <c r="E346" s="1009" t="s">
        <v>779</v>
      </c>
      <c r="F346" s="1029">
        <f t="shared" si="39"/>
        <v>0</v>
      </c>
      <c r="G346" s="1017"/>
      <c r="H346" s="1054">
        <f t="shared" si="37"/>
        <v>0</v>
      </c>
      <c r="I346" s="1335">
        <f>'bilans-stanja'!AR106</f>
        <v>0</v>
      </c>
      <c r="J346" s="1335"/>
      <c r="K346" s="1335"/>
      <c r="L346" s="1335"/>
      <c r="M346" s="1335"/>
    </row>
    <row r="347" spans="1:13" s="136" customFormat="1">
      <c r="A347" s="134" t="s">
        <v>1527</v>
      </c>
      <c r="B347" s="990" t="s">
        <v>308</v>
      </c>
      <c r="C347" s="1002">
        <f t="shared" si="38"/>
        <v>0</v>
      </c>
      <c r="D347" s="1016"/>
      <c r="E347" s="1009" t="s">
        <v>779</v>
      </c>
      <c r="F347" s="1029">
        <f t="shared" si="39"/>
        <v>0</v>
      </c>
      <c r="G347" s="1017"/>
      <c r="H347" s="1054">
        <f t="shared" si="37"/>
        <v>0</v>
      </c>
      <c r="J347" s="1057"/>
    </row>
    <row r="348" spans="1:13" s="136" customFormat="1">
      <c r="A348" s="134" t="s">
        <v>1528</v>
      </c>
      <c r="B348" s="990" t="s">
        <v>309</v>
      </c>
      <c r="C348" s="1002">
        <f t="shared" si="38"/>
        <v>0</v>
      </c>
      <c r="D348" s="1016"/>
      <c r="E348" s="1009" t="s">
        <v>779</v>
      </c>
      <c r="F348" s="1029">
        <f t="shared" si="39"/>
        <v>0</v>
      </c>
      <c r="G348" s="1017"/>
      <c r="H348" s="1054">
        <f t="shared" si="37"/>
        <v>0</v>
      </c>
      <c r="J348" s="1057"/>
    </row>
    <row r="349" spans="1:13" s="136" customFormat="1">
      <c r="A349" s="134" t="s">
        <v>1529</v>
      </c>
      <c r="B349" s="990" t="s">
        <v>310</v>
      </c>
      <c r="C349" s="1002">
        <f t="shared" si="38"/>
        <v>0</v>
      </c>
      <c r="D349" s="1016"/>
      <c r="E349" s="1009" t="s">
        <v>780</v>
      </c>
      <c r="F349" s="1029">
        <f t="shared" si="39"/>
        <v>0</v>
      </c>
      <c r="G349" s="1017"/>
      <c r="H349" s="1054">
        <f t="shared" si="37"/>
        <v>0</v>
      </c>
      <c r="J349" s="1057"/>
    </row>
    <row r="350" spans="1:13" s="136" customFormat="1">
      <c r="A350" s="134" t="s">
        <v>1530</v>
      </c>
      <c r="B350" s="990" t="s">
        <v>311</v>
      </c>
      <c r="C350" s="1002">
        <f t="shared" si="38"/>
        <v>0</v>
      </c>
      <c r="D350" s="1016"/>
      <c r="E350" s="1009" t="s">
        <v>2542</v>
      </c>
      <c r="F350" s="1029">
        <f t="shared" si="39"/>
        <v>0</v>
      </c>
      <c r="G350" s="1017"/>
      <c r="H350" s="1054">
        <f t="shared" si="37"/>
        <v>0</v>
      </c>
      <c r="J350" s="1057"/>
    </row>
    <row r="351" spans="1:13" s="136" customFormat="1">
      <c r="A351" s="134" t="s">
        <v>1531</v>
      </c>
      <c r="B351" s="990" t="s">
        <v>312</v>
      </c>
      <c r="C351" s="1002">
        <f t="shared" si="38"/>
        <v>0</v>
      </c>
      <c r="D351" s="1016"/>
      <c r="E351" s="1009" t="s">
        <v>780</v>
      </c>
      <c r="F351" s="1029">
        <f t="shared" si="39"/>
        <v>0</v>
      </c>
      <c r="G351" s="1017"/>
      <c r="H351" s="1054">
        <f t="shared" si="37"/>
        <v>0</v>
      </c>
      <c r="J351" s="1057"/>
    </row>
    <row r="352" spans="1:13" s="136" customFormat="1">
      <c r="A352" s="134" t="s">
        <v>1532</v>
      </c>
      <c r="B352" s="990" t="s">
        <v>313</v>
      </c>
      <c r="C352" s="1002">
        <f t="shared" si="38"/>
        <v>0</v>
      </c>
      <c r="D352" s="1016"/>
      <c r="E352" s="1009" t="s">
        <v>782</v>
      </c>
      <c r="F352" s="1029">
        <f t="shared" si="39"/>
        <v>0</v>
      </c>
      <c r="G352" s="1017"/>
      <c r="H352" s="1054">
        <f t="shared" si="37"/>
        <v>0</v>
      </c>
      <c r="I352" s="1061">
        <f>SUM(H352:H360)</f>
        <v>0</v>
      </c>
      <c r="J352" s="1060" t="s">
        <v>147</v>
      </c>
    </row>
    <row r="353" spans="1:10" s="136" customFormat="1">
      <c r="A353" s="134" t="s">
        <v>1533</v>
      </c>
      <c r="B353" s="990" t="s">
        <v>314</v>
      </c>
      <c r="C353" s="1002">
        <f t="shared" si="38"/>
        <v>0</v>
      </c>
      <c r="D353" s="1016"/>
      <c r="E353" s="1009" t="s">
        <v>783</v>
      </c>
      <c r="F353" s="1029">
        <f t="shared" si="39"/>
        <v>0</v>
      </c>
      <c r="G353" s="1017"/>
      <c r="H353" s="1054">
        <f t="shared" si="37"/>
        <v>0</v>
      </c>
      <c r="J353" s="1057"/>
    </row>
    <row r="354" spans="1:10" s="136" customFormat="1">
      <c r="A354" s="134" t="s">
        <v>1534</v>
      </c>
      <c r="B354" s="990" t="s">
        <v>315</v>
      </c>
      <c r="C354" s="1002">
        <f t="shared" si="38"/>
        <v>0</v>
      </c>
      <c r="D354" s="1016"/>
      <c r="E354" s="1009" t="s">
        <v>784</v>
      </c>
      <c r="F354" s="1029">
        <f t="shared" si="39"/>
        <v>0</v>
      </c>
      <c r="G354" s="1017"/>
      <c r="H354" s="1054">
        <f t="shared" si="37"/>
        <v>0</v>
      </c>
      <c r="J354" s="1057"/>
    </row>
    <row r="355" spans="1:10" s="136" customFormat="1">
      <c r="A355" s="134" t="s">
        <v>1535</v>
      </c>
      <c r="B355" s="990" t="s">
        <v>316</v>
      </c>
      <c r="C355" s="1002">
        <f t="shared" si="38"/>
        <v>0</v>
      </c>
      <c r="D355" s="1016"/>
      <c r="E355" s="1009" t="s">
        <v>785</v>
      </c>
      <c r="F355" s="1029">
        <f t="shared" si="39"/>
        <v>0</v>
      </c>
      <c r="G355" s="1017"/>
      <c r="H355" s="1054">
        <f t="shared" si="37"/>
        <v>0</v>
      </c>
      <c r="J355" s="1057"/>
    </row>
    <row r="356" spans="1:10" s="136" customFormat="1">
      <c r="A356" s="134" t="s">
        <v>1536</v>
      </c>
      <c r="B356" s="990" t="s">
        <v>317</v>
      </c>
      <c r="C356" s="1002">
        <f t="shared" si="38"/>
        <v>0</v>
      </c>
      <c r="D356" s="1016"/>
      <c r="E356" s="1009" t="s">
        <v>785</v>
      </c>
      <c r="F356" s="1029">
        <f t="shared" si="39"/>
        <v>0</v>
      </c>
      <c r="G356" s="1017"/>
      <c r="H356" s="1054">
        <f t="shared" si="37"/>
        <v>0</v>
      </c>
      <c r="J356" s="1057"/>
    </row>
    <row r="357" spans="1:10" s="136" customFormat="1">
      <c r="A357" s="134" t="s">
        <v>1537</v>
      </c>
      <c r="B357" s="990" t="s">
        <v>318</v>
      </c>
      <c r="C357" s="1002">
        <f t="shared" si="38"/>
        <v>0</v>
      </c>
      <c r="D357" s="1016"/>
      <c r="E357" s="1009" t="s">
        <v>786</v>
      </c>
      <c r="F357" s="1029">
        <f t="shared" si="39"/>
        <v>0</v>
      </c>
      <c r="G357" s="1017"/>
      <c r="H357" s="1054">
        <f t="shared" si="37"/>
        <v>0</v>
      </c>
      <c r="J357" s="1057"/>
    </row>
    <row r="358" spans="1:10" s="136" customFormat="1">
      <c r="A358" s="137" t="s">
        <v>1538</v>
      </c>
      <c r="B358" s="905" t="s">
        <v>818</v>
      </c>
      <c r="C358" s="1002">
        <f t="shared" si="38"/>
        <v>0</v>
      </c>
      <c r="D358" s="1016"/>
      <c r="E358" s="1010" t="s">
        <v>786</v>
      </c>
      <c r="F358" s="1029">
        <f t="shared" si="39"/>
        <v>0</v>
      </c>
      <c r="G358" s="1017"/>
      <c r="H358" s="1054">
        <f t="shared" si="37"/>
        <v>0</v>
      </c>
      <c r="J358" s="1057"/>
    </row>
    <row r="359" spans="1:10" s="142" customFormat="1">
      <c r="A359" s="161" t="s">
        <v>1539</v>
      </c>
      <c r="B359" s="161" t="s">
        <v>819</v>
      </c>
      <c r="C359" s="1002">
        <f t="shared" si="38"/>
        <v>0</v>
      </c>
      <c r="D359" s="1016"/>
      <c r="E359" s="1011" t="s">
        <v>787</v>
      </c>
      <c r="F359" s="1029">
        <f t="shared" si="39"/>
        <v>0</v>
      </c>
      <c r="G359" s="1017"/>
      <c r="H359" s="1054">
        <f t="shared" si="37"/>
        <v>0</v>
      </c>
      <c r="J359" s="1057"/>
    </row>
    <row r="360" spans="1:10" s="136" customFormat="1">
      <c r="A360" s="137" t="s">
        <v>1540</v>
      </c>
      <c r="B360" s="137" t="s">
        <v>820</v>
      </c>
      <c r="C360" s="1002">
        <f t="shared" si="38"/>
        <v>0</v>
      </c>
      <c r="D360" s="1016"/>
      <c r="E360" s="1011" t="s">
        <v>788</v>
      </c>
      <c r="F360" s="1029">
        <f t="shared" si="39"/>
        <v>0</v>
      </c>
      <c r="G360" s="1018"/>
      <c r="H360" s="1054">
        <f t="shared" si="37"/>
        <v>0</v>
      </c>
      <c r="J360" s="1057"/>
    </row>
    <row r="361" spans="1:10" s="136" customFormat="1">
      <c r="A361" s="137" t="s">
        <v>1541</v>
      </c>
      <c r="B361" s="137" t="s">
        <v>821</v>
      </c>
      <c r="C361" s="1002">
        <f t="shared" si="38"/>
        <v>0</v>
      </c>
      <c r="D361" s="1016"/>
      <c r="E361" s="1011" t="s">
        <v>1463</v>
      </c>
      <c r="F361" s="1029">
        <f t="shared" si="39"/>
        <v>0</v>
      </c>
      <c r="G361" s="1018"/>
      <c r="H361" s="1054">
        <f t="shared" si="37"/>
        <v>0</v>
      </c>
      <c r="I361" s="1061">
        <f>SUM(H361:H368)</f>
        <v>0</v>
      </c>
      <c r="J361" s="1060" t="s">
        <v>452</v>
      </c>
    </row>
    <row r="362" spans="1:10" s="136" customFormat="1">
      <c r="A362" s="137" t="s">
        <v>1542</v>
      </c>
      <c r="B362" s="137" t="s">
        <v>822</v>
      </c>
      <c r="C362" s="1002">
        <f t="shared" si="38"/>
        <v>0</v>
      </c>
      <c r="D362" s="1016"/>
      <c r="E362" s="1011" t="s">
        <v>1464</v>
      </c>
      <c r="F362" s="1029">
        <f t="shared" si="39"/>
        <v>0</v>
      </c>
      <c r="G362" s="1018"/>
      <c r="H362" s="1054">
        <f t="shared" si="37"/>
        <v>0</v>
      </c>
      <c r="J362" s="1057"/>
    </row>
    <row r="363" spans="1:10" s="136" customFormat="1">
      <c r="A363" s="137" t="s">
        <v>1543</v>
      </c>
      <c r="B363" s="137" t="s">
        <v>823</v>
      </c>
      <c r="C363" s="1002">
        <f t="shared" si="38"/>
        <v>0</v>
      </c>
      <c r="D363" s="1016"/>
      <c r="E363" s="1011" t="s">
        <v>1465</v>
      </c>
      <c r="F363" s="1029">
        <f t="shared" si="39"/>
        <v>0</v>
      </c>
      <c r="G363" s="1018"/>
      <c r="H363" s="1054">
        <f t="shared" si="37"/>
        <v>0</v>
      </c>
      <c r="J363" s="1057"/>
    </row>
    <row r="364" spans="1:10" s="136" customFormat="1" ht="12" customHeight="1">
      <c r="A364" s="140" t="s">
        <v>1544</v>
      </c>
      <c r="B364" s="140" t="s">
        <v>824</v>
      </c>
      <c r="C364" s="1002">
        <f t="shared" si="38"/>
        <v>0</v>
      </c>
      <c r="D364" s="1016"/>
      <c r="E364" s="1011" t="s">
        <v>1466</v>
      </c>
      <c r="F364" s="1029">
        <f t="shared" si="39"/>
        <v>0</v>
      </c>
      <c r="G364" s="1018"/>
      <c r="H364" s="1054">
        <f t="shared" si="37"/>
        <v>0</v>
      </c>
      <c r="J364" s="1057"/>
    </row>
    <row r="365" spans="1:10" s="136" customFormat="1">
      <c r="A365" s="137" t="s">
        <v>1545</v>
      </c>
      <c r="B365" s="137" t="s">
        <v>1920</v>
      </c>
      <c r="C365" s="1002">
        <f t="shared" si="38"/>
        <v>0</v>
      </c>
      <c r="D365" s="1016"/>
      <c r="E365" s="1011" t="s">
        <v>1467</v>
      </c>
      <c r="F365" s="1029">
        <f t="shared" si="39"/>
        <v>0</v>
      </c>
      <c r="G365" s="1018"/>
      <c r="H365" s="1054">
        <f t="shared" si="37"/>
        <v>0</v>
      </c>
      <c r="J365" s="1057"/>
    </row>
    <row r="366" spans="1:10" s="136" customFormat="1">
      <c r="A366" s="137" t="s">
        <v>1546</v>
      </c>
      <c r="B366" s="137" t="s">
        <v>825</v>
      </c>
      <c r="C366" s="1002">
        <f t="shared" si="38"/>
        <v>0</v>
      </c>
      <c r="D366" s="1016"/>
      <c r="E366" s="1011" t="s">
        <v>1467</v>
      </c>
      <c r="F366" s="1029">
        <f t="shared" si="39"/>
        <v>0</v>
      </c>
      <c r="G366" s="1018"/>
      <c r="H366" s="1054">
        <f t="shared" si="37"/>
        <v>0</v>
      </c>
      <c r="J366" s="1057"/>
    </row>
    <row r="367" spans="1:10" s="136" customFormat="1">
      <c r="A367" s="137" t="s">
        <v>1547</v>
      </c>
      <c r="B367" s="137" t="s">
        <v>826</v>
      </c>
      <c r="C367" s="1002">
        <f t="shared" si="38"/>
        <v>0</v>
      </c>
      <c r="D367" s="1016"/>
      <c r="E367" s="1011" t="s">
        <v>1468</v>
      </c>
      <c r="F367" s="1029">
        <f t="shared" si="39"/>
        <v>0</v>
      </c>
      <c r="G367" s="1018"/>
      <c r="H367" s="1054">
        <f t="shared" si="37"/>
        <v>0</v>
      </c>
      <c r="J367" s="1057"/>
    </row>
    <row r="368" spans="1:10" s="136" customFormat="1">
      <c r="A368" s="137" t="s">
        <v>1548</v>
      </c>
      <c r="B368" s="137" t="s">
        <v>827</v>
      </c>
      <c r="C368" s="1002">
        <f t="shared" si="38"/>
        <v>0</v>
      </c>
      <c r="D368" s="1016"/>
      <c r="E368" s="1011" t="s">
        <v>1469</v>
      </c>
      <c r="F368" s="1029">
        <f t="shared" si="39"/>
        <v>0</v>
      </c>
      <c r="G368" s="1018"/>
      <c r="H368" s="1054">
        <f t="shared" si="37"/>
        <v>0</v>
      </c>
      <c r="J368" s="1057"/>
    </row>
    <row r="369" spans="1:10" s="136" customFormat="1">
      <c r="A369" s="137" t="s">
        <v>1549</v>
      </c>
      <c r="B369" s="137" t="s">
        <v>828</v>
      </c>
      <c r="C369" s="1002">
        <f t="shared" si="38"/>
        <v>0</v>
      </c>
      <c r="D369" s="1016"/>
      <c r="E369" s="1011" t="s">
        <v>1471</v>
      </c>
      <c r="F369" s="1029">
        <f t="shared" si="39"/>
        <v>0</v>
      </c>
      <c r="G369" s="1018"/>
      <c r="H369" s="1054">
        <f t="shared" si="37"/>
        <v>0</v>
      </c>
      <c r="I369" s="1061">
        <f>SUM(H369:H373)</f>
        <v>0</v>
      </c>
      <c r="J369" s="1060" t="s">
        <v>453</v>
      </c>
    </row>
    <row r="370" spans="1:10" s="136" customFormat="1">
      <c r="A370" s="137" t="s">
        <v>1550</v>
      </c>
      <c r="B370" s="137" t="s">
        <v>829</v>
      </c>
      <c r="C370" s="1002">
        <f t="shared" si="38"/>
        <v>0</v>
      </c>
      <c r="D370" s="1016"/>
      <c r="E370" s="1011" t="s">
        <v>1472</v>
      </c>
      <c r="F370" s="1029">
        <f t="shared" si="39"/>
        <v>0</v>
      </c>
      <c r="G370" s="1018"/>
      <c r="H370" s="1054">
        <f t="shared" si="37"/>
        <v>0</v>
      </c>
      <c r="J370" s="1057"/>
    </row>
    <row r="371" spans="1:10" s="136" customFormat="1">
      <c r="A371" s="137" t="s">
        <v>1551</v>
      </c>
      <c r="B371" s="137" t="s">
        <v>830</v>
      </c>
      <c r="C371" s="1002">
        <f>IF(SUMIF(KontoSk,A371,SaldoSkPS)*(-1)&lt;0,"Greska!",SUMIF(KontoSk,A371,SaldoSkPS)*(-1))+C425</f>
        <v>0</v>
      </c>
      <c r="D371" s="1016"/>
      <c r="E371" s="1011" t="s">
        <v>1473</v>
      </c>
      <c r="F371" s="1029">
        <f>IF(SUMIF(KontoSk,A371,SaldoSk)*(-1)&lt;0,"Greska!",SUMIF(KontoSk,A371,SaldoSk)*(-1))+F425</f>
        <v>0</v>
      </c>
      <c r="G371" s="1018"/>
      <c r="H371" s="1054">
        <f t="shared" si="37"/>
        <v>0</v>
      </c>
      <c r="J371" s="1057"/>
    </row>
    <row r="372" spans="1:10" s="136" customFormat="1">
      <c r="A372" s="137" t="s">
        <v>1552</v>
      </c>
      <c r="B372" s="137" t="s">
        <v>831</v>
      </c>
      <c r="C372" s="1002">
        <f t="shared" si="38"/>
        <v>0</v>
      </c>
      <c r="D372" s="1016"/>
      <c r="E372" s="1011" t="s">
        <v>1474</v>
      </c>
      <c r="F372" s="1029">
        <f t="shared" si="39"/>
        <v>0</v>
      </c>
      <c r="G372" s="1018"/>
      <c r="H372" s="1054">
        <f t="shared" si="37"/>
        <v>0</v>
      </c>
      <c r="J372" s="1057"/>
    </row>
    <row r="373" spans="1:10" s="136" customFormat="1">
      <c r="A373" s="137" t="s">
        <v>228</v>
      </c>
      <c r="B373" s="137" t="s">
        <v>832</v>
      </c>
      <c r="C373" s="1002">
        <f t="shared" si="38"/>
        <v>0</v>
      </c>
      <c r="D373" s="1016"/>
      <c r="E373" s="1011" t="s">
        <v>1475</v>
      </c>
      <c r="F373" s="1029">
        <f t="shared" si="39"/>
        <v>0</v>
      </c>
      <c r="G373" s="1018"/>
      <c r="H373" s="1054">
        <f t="shared" si="37"/>
        <v>0</v>
      </c>
      <c r="J373" s="1057"/>
    </row>
    <row r="374" spans="1:10" s="136" customFormat="1">
      <c r="A374" s="137" t="s">
        <v>2213</v>
      </c>
      <c r="B374" s="137" t="s">
        <v>833</v>
      </c>
      <c r="C374" s="1002">
        <f t="shared" ref="C374:C405" si="40">IF(SUMIF(KontoSk,A374,SaldoSkPS)*(-1)&lt;0,"Greska!",SUMIF(KontoSk,A374,SaldoSkPS)*(-1))</f>
        <v>0</v>
      </c>
      <c r="D374" s="1016"/>
      <c r="E374" s="1011" t="s">
        <v>2633</v>
      </c>
      <c r="F374" s="1029">
        <f t="shared" ref="F374:F405" si="41">IF(SUMIF(KontoSk,A374,SaldoSk)*(-1)&lt;0,"Greska!",SUMIF(KontoSk,A374,SaldoSk)*(-1))</f>
        <v>0</v>
      </c>
      <c r="G374" s="1018"/>
      <c r="H374" s="1054">
        <f t="shared" si="37"/>
        <v>0</v>
      </c>
      <c r="I374" s="1061">
        <f>SUM(H374:H378)</f>
        <v>0</v>
      </c>
      <c r="J374" s="1060" t="s">
        <v>1665</v>
      </c>
    </row>
    <row r="375" spans="1:10" s="136" customFormat="1">
      <c r="A375" s="137" t="s">
        <v>229</v>
      </c>
      <c r="B375" s="137" t="s">
        <v>834</v>
      </c>
      <c r="C375" s="1002">
        <f t="shared" si="40"/>
        <v>0</v>
      </c>
      <c r="D375" s="1016"/>
      <c r="E375" s="1011" t="s">
        <v>2633</v>
      </c>
      <c r="F375" s="1029">
        <f t="shared" si="41"/>
        <v>0</v>
      </c>
      <c r="G375" s="1018"/>
      <c r="H375" s="1054">
        <f t="shared" si="37"/>
        <v>0</v>
      </c>
      <c r="J375" s="1057"/>
    </row>
    <row r="376" spans="1:10" s="136" customFormat="1">
      <c r="A376" s="137" t="s">
        <v>230</v>
      </c>
      <c r="B376" s="137" t="s">
        <v>835</v>
      </c>
      <c r="C376" s="1002">
        <f t="shared" si="40"/>
        <v>0</v>
      </c>
      <c r="D376" s="1016"/>
      <c r="E376" s="1011" t="s">
        <v>2633</v>
      </c>
      <c r="F376" s="1029">
        <f t="shared" si="41"/>
        <v>0</v>
      </c>
      <c r="G376" s="1018"/>
      <c r="H376" s="1054">
        <f t="shared" si="37"/>
        <v>0</v>
      </c>
      <c r="J376" s="1057"/>
    </row>
    <row r="377" spans="1:10" s="136" customFormat="1">
      <c r="A377" s="137" t="s">
        <v>231</v>
      </c>
      <c r="B377" s="137" t="s">
        <v>836</v>
      </c>
      <c r="C377" s="1002">
        <f t="shared" si="40"/>
        <v>0</v>
      </c>
      <c r="D377" s="1016"/>
      <c r="E377" s="1011" t="s">
        <v>2633</v>
      </c>
      <c r="F377" s="1029">
        <f t="shared" si="41"/>
        <v>0</v>
      </c>
      <c r="G377" s="1018"/>
      <c r="H377" s="1054">
        <f t="shared" si="37"/>
        <v>0</v>
      </c>
      <c r="J377" s="1057"/>
    </row>
    <row r="378" spans="1:10" s="136" customFormat="1">
      <c r="A378" s="137" t="s">
        <v>232</v>
      </c>
      <c r="B378" s="137" t="s">
        <v>837</v>
      </c>
      <c r="C378" s="1002">
        <f t="shared" si="40"/>
        <v>0</v>
      </c>
      <c r="D378" s="1016"/>
      <c r="E378" s="1011" t="s">
        <v>2633</v>
      </c>
      <c r="F378" s="1029">
        <f t="shared" si="41"/>
        <v>0</v>
      </c>
      <c r="G378" s="1018"/>
      <c r="H378" s="1054">
        <f t="shared" si="37"/>
        <v>0</v>
      </c>
      <c r="J378" s="1057"/>
    </row>
    <row r="379" spans="1:10" s="136" customFormat="1">
      <c r="A379" s="137" t="s">
        <v>233</v>
      </c>
      <c r="B379" s="137" t="s">
        <v>959</v>
      </c>
      <c r="C379" s="1002">
        <f t="shared" si="40"/>
        <v>0</v>
      </c>
      <c r="D379" s="1016"/>
      <c r="E379" s="1011" t="s">
        <v>1199</v>
      </c>
      <c r="F379" s="1029">
        <f t="shared" si="41"/>
        <v>0</v>
      </c>
      <c r="G379" s="1018"/>
      <c r="H379" s="1054">
        <f t="shared" si="37"/>
        <v>0</v>
      </c>
      <c r="I379" s="1061">
        <f>SUM(H379:H387)</f>
        <v>0</v>
      </c>
      <c r="J379" s="1060" t="s">
        <v>1667</v>
      </c>
    </row>
    <row r="380" spans="1:10" s="136" customFormat="1">
      <c r="A380" s="137" t="s">
        <v>234</v>
      </c>
      <c r="B380" s="137" t="s">
        <v>960</v>
      </c>
      <c r="C380" s="1002">
        <f t="shared" si="40"/>
        <v>0</v>
      </c>
      <c r="D380" s="1016"/>
      <c r="E380" s="1011" t="s">
        <v>1199</v>
      </c>
      <c r="F380" s="1029">
        <f t="shared" si="41"/>
        <v>0</v>
      </c>
      <c r="G380" s="1018"/>
      <c r="H380" s="1054">
        <f t="shared" si="37"/>
        <v>0</v>
      </c>
      <c r="J380" s="1057"/>
    </row>
    <row r="381" spans="1:10" s="136" customFormat="1">
      <c r="A381" s="137" t="s">
        <v>235</v>
      </c>
      <c r="B381" s="137" t="s">
        <v>961</v>
      </c>
      <c r="C381" s="1002">
        <f t="shared" si="40"/>
        <v>0</v>
      </c>
      <c r="D381" s="1016"/>
      <c r="E381" s="1011" t="s">
        <v>1199</v>
      </c>
      <c r="F381" s="1029">
        <f t="shared" si="41"/>
        <v>0</v>
      </c>
      <c r="G381" s="1018"/>
      <c r="H381" s="1054">
        <f t="shared" ref="H381:H420" si="42">F381-C381</f>
        <v>0</v>
      </c>
      <c r="J381" s="1057"/>
    </row>
    <row r="382" spans="1:10" s="136" customFormat="1">
      <c r="A382" s="137" t="s">
        <v>1712</v>
      </c>
      <c r="B382" s="137" t="s">
        <v>962</v>
      </c>
      <c r="C382" s="1002">
        <f t="shared" si="40"/>
        <v>0</v>
      </c>
      <c r="D382" s="1016"/>
      <c r="E382" s="1011" t="s">
        <v>1200</v>
      </c>
      <c r="F382" s="1029">
        <f t="shared" si="41"/>
        <v>0</v>
      </c>
      <c r="G382" s="1018"/>
      <c r="H382" s="1054">
        <f t="shared" si="42"/>
        <v>0</v>
      </c>
      <c r="J382" s="1057"/>
    </row>
    <row r="383" spans="1:10" s="136" customFormat="1">
      <c r="A383" s="137" t="s">
        <v>1713</v>
      </c>
      <c r="B383" s="137" t="s">
        <v>963</v>
      </c>
      <c r="C383" s="1002">
        <f t="shared" si="40"/>
        <v>0</v>
      </c>
      <c r="D383" s="1016"/>
      <c r="E383" s="1011" t="s">
        <v>1200</v>
      </c>
      <c r="F383" s="1029">
        <f t="shared" si="41"/>
        <v>0</v>
      </c>
      <c r="G383" s="1018"/>
      <c r="H383" s="1054">
        <f t="shared" si="42"/>
        <v>0</v>
      </c>
      <c r="J383" s="1057"/>
    </row>
    <row r="384" spans="1:10" s="136" customFormat="1">
      <c r="A384" s="137" t="s">
        <v>1714</v>
      </c>
      <c r="B384" s="137" t="s">
        <v>964</v>
      </c>
      <c r="C384" s="1002">
        <f t="shared" si="40"/>
        <v>0</v>
      </c>
      <c r="D384" s="1016"/>
      <c r="E384" s="1011" t="s">
        <v>1200</v>
      </c>
      <c r="F384" s="1029">
        <f t="shared" si="41"/>
        <v>0</v>
      </c>
      <c r="G384" s="1018"/>
      <c r="H384" s="1054">
        <f t="shared" si="42"/>
        <v>0</v>
      </c>
      <c r="J384" s="1057"/>
    </row>
    <row r="385" spans="1:10" s="136" customFormat="1">
      <c r="A385" s="137" t="s">
        <v>1715</v>
      </c>
      <c r="B385" s="137" t="s">
        <v>965</v>
      </c>
      <c r="C385" s="1002">
        <f t="shared" si="40"/>
        <v>0</v>
      </c>
      <c r="D385" s="1016"/>
      <c r="E385" s="1011" t="s">
        <v>1201</v>
      </c>
      <c r="F385" s="1029">
        <f t="shared" si="41"/>
        <v>0</v>
      </c>
      <c r="G385" s="1018"/>
      <c r="H385" s="1054">
        <f t="shared" si="42"/>
        <v>0</v>
      </c>
      <c r="J385" s="1057"/>
    </row>
    <row r="386" spans="1:10" s="136" customFormat="1">
      <c r="A386" s="137" t="s">
        <v>1716</v>
      </c>
      <c r="B386" s="137" t="s">
        <v>966</v>
      </c>
      <c r="C386" s="1002">
        <f t="shared" si="40"/>
        <v>0</v>
      </c>
      <c r="D386" s="1016"/>
      <c r="E386" s="1011" t="s">
        <v>1201</v>
      </c>
      <c r="F386" s="1029">
        <f t="shared" si="41"/>
        <v>0</v>
      </c>
      <c r="G386" s="1018"/>
      <c r="H386" s="1054">
        <f t="shared" si="42"/>
        <v>0</v>
      </c>
      <c r="J386" s="1057"/>
    </row>
    <row r="387" spans="1:10" s="136" customFormat="1">
      <c r="A387" s="137" t="s">
        <v>1717</v>
      </c>
      <c r="B387" s="137" t="s">
        <v>967</v>
      </c>
      <c r="C387" s="1002">
        <f t="shared" si="40"/>
        <v>0</v>
      </c>
      <c r="D387" s="1016"/>
      <c r="E387" s="1011" t="s">
        <v>1201</v>
      </c>
      <c r="F387" s="1029">
        <f t="shared" si="41"/>
        <v>0</v>
      </c>
      <c r="G387" s="1018"/>
      <c r="H387" s="1054">
        <f t="shared" si="42"/>
        <v>0</v>
      </c>
      <c r="J387" s="1057"/>
    </row>
    <row r="388" spans="1:10" s="136" customFormat="1">
      <c r="A388" s="137" t="s">
        <v>1718</v>
      </c>
      <c r="B388" s="137" t="s">
        <v>968</v>
      </c>
      <c r="C388" s="1002">
        <f t="shared" si="40"/>
        <v>0</v>
      </c>
      <c r="D388" s="1016"/>
      <c r="E388" s="1011" t="s">
        <v>1202</v>
      </c>
      <c r="F388" s="1029">
        <f t="shared" si="41"/>
        <v>0</v>
      </c>
      <c r="G388" s="1018"/>
      <c r="H388" s="1054">
        <f t="shared" si="42"/>
        <v>0</v>
      </c>
      <c r="I388" s="1061">
        <f>SUM(H388:H397)</f>
        <v>0</v>
      </c>
      <c r="J388" s="1060" t="s">
        <v>2306</v>
      </c>
    </row>
    <row r="389" spans="1:10" s="136" customFormat="1">
      <c r="A389" s="137" t="s">
        <v>1719</v>
      </c>
      <c r="B389" s="137" t="s">
        <v>969</v>
      </c>
      <c r="C389" s="1002">
        <f t="shared" si="40"/>
        <v>0</v>
      </c>
      <c r="D389" s="1016"/>
      <c r="E389" s="1011" t="s">
        <v>1202</v>
      </c>
      <c r="F389" s="1029">
        <f t="shared" si="41"/>
        <v>0</v>
      </c>
      <c r="G389" s="1018"/>
      <c r="H389" s="1054">
        <f t="shared" si="42"/>
        <v>0</v>
      </c>
      <c r="J389" s="1057"/>
    </row>
    <row r="390" spans="1:10" s="136" customFormat="1">
      <c r="A390" s="137" t="s">
        <v>1720</v>
      </c>
      <c r="B390" s="137" t="s">
        <v>970</v>
      </c>
      <c r="C390" s="1002">
        <f t="shared" si="40"/>
        <v>0</v>
      </c>
      <c r="D390" s="1016"/>
      <c r="E390" s="1011" t="s">
        <v>1202</v>
      </c>
      <c r="F390" s="1029">
        <f t="shared" si="41"/>
        <v>0</v>
      </c>
      <c r="G390" s="1018"/>
      <c r="H390" s="1054">
        <f t="shared" si="42"/>
        <v>0</v>
      </c>
      <c r="J390" s="1057"/>
    </row>
    <row r="391" spans="1:10" s="136" customFormat="1">
      <c r="A391" s="137" t="s">
        <v>1721</v>
      </c>
      <c r="B391" s="137" t="s">
        <v>971</v>
      </c>
      <c r="C391" s="1002">
        <f t="shared" si="40"/>
        <v>0</v>
      </c>
      <c r="D391" s="1016"/>
      <c r="E391" s="1012" t="s">
        <v>1202</v>
      </c>
      <c r="F391" s="1029">
        <f t="shared" si="41"/>
        <v>0</v>
      </c>
      <c r="G391" s="1019"/>
      <c r="H391" s="1054">
        <f t="shared" si="42"/>
        <v>0</v>
      </c>
      <c r="J391" s="1057"/>
    </row>
    <row r="392" spans="1:10" s="136" customFormat="1" ht="12.75" customHeight="1">
      <c r="A392" s="137" t="s">
        <v>1722</v>
      </c>
      <c r="B392" s="137" t="s">
        <v>972</v>
      </c>
      <c r="C392" s="1002">
        <f t="shared" si="40"/>
        <v>0</v>
      </c>
      <c r="D392" s="1016"/>
      <c r="E392" s="1012" t="s">
        <v>1202</v>
      </c>
      <c r="F392" s="1029">
        <f t="shared" si="41"/>
        <v>0</v>
      </c>
      <c r="G392" s="1019"/>
      <c r="H392" s="1054">
        <f t="shared" si="42"/>
        <v>0</v>
      </c>
      <c r="J392" s="1057"/>
    </row>
    <row r="393" spans="1:10" s="136" customFormat="1">
      <c r="A393" s="137" t="s">
        <v>1723</v>
      </c>
      <c r="B393" s="137" t="s">
        <v>1849</v>
      </c>
      <c r="C393" s="1002">
        <f t="shared" si="40"/>
        <v>0</v>
      </c>
      <c r="D393" s="1016"/>
      <c r="E393" s="1012" t="s">
        <v>1202</v>
      </c>
      <c r="F393" s="1029">
        <f t="shared" si="41"/>
        <v>0</v>
      </c>
      <c r="G393" s="1019"/>
      <c r="H393" s="1054">
        <f t="shared" si="42"/>
        <v>0</v>
      </c>
      <c r="J393" s="1057"/>
    </row>
    <row r="394" spans="1:10" s="136" customFormat="1" ht="15" customHeight="1">
      <c r="A394" s="140" t="s">
        <v>1724</v>
      </c>
      <c r="B394" s="140" t="s">
        <v>1850</v>
      </c>
      <c r="C394" s="1002">
        <f t="shared" si="40"/>
        <v>0</v>
      </c>
      <c r="D394" s="1016"/>
      <c r="E394" s="1012" t="s">
        <v>1202</v>
      </c>
      <c r="F394" s="1029">
        <f t="shared" si="41"/>
        <v>0</v>
      </c>
      <c r="G394" s="1019"/>
      <c r="H394" s="1054">
        <f t="shared" si="42"/>
        <v>0</v>
      </c>
      <c r="J394" s="1057"/>
    </row>
    <row r="395" spans="1:10" s="136" customFormat="1">
      <c r="A395" s="137" t="s">
        <v>1725</v>
      </c>
      <c r="B395" s="137" t="s">
        <v>1851</v>
      </c>
      <c r="C395" s="1002">
        <f t="shared" si="40"/>
        <v>0</v>
      </c>
      <c r="D395" s="1016"/>
      <c r="E395" s="1012" t="s">
        <v>1202</v>
      </c>
      <c r="F395" s="1029">
        <f t="shared" si="41"/>
        <v>0</v>
      </c>
      <c r="G395" s="1019"/>
      <c r="H395" s="1054">
        <f t="shared" si="42"/>
        <v>0</v>
      </c>
      <c r="J395" s="1057"/>
    </row>
    <row r="396" spans="1:10" s="136" customFormat="1">
      <c r="A396" s="137" t="s">
        <v>2392</v>
      </c>
      <c r="B396" s="137" t="s">
        <v>1852</v>
      </c>
      <c r="C396" s="1002">
        <f t="shared" si="40"/>
        <v>0</v>
      </c>
      <c r="D396" s="1016"/>
      <c r="E396" s="1012" t="s">
        <v>1202</v>
      </c>
      <c r="F396" s="1029">
        <f t="shared" si="41"/>
        <v>0</v>
      </c>
      <c r="G396" s="1019"/>
      <c r="H396" s="1054">
        <f t="shared" si="42"/>
        <v>0</v>
      </c>
      <c r="J396" s="1057"/>
    </row>
    <row r="397" spans="1:10" s="136" customFormat="1">
      <c r="A397" s="137" t="s">
        <v>2393</v>
      </c>
      <c r="B397" s="137" t="s">
        <v>1853</v>
      </c>
      <c r="C397" s="1002">
        <f t="shared" si="40"/>
        <v>0</v>
      </c>
      <c r="D397" s="1016"/>
      <c r="E397" s="1012" t="s">
        <v>1202</v>
      </c>
      <c r="F397" s="1029">
        <f t="shared" si="41"/>
        <v>0</v>
      </c>
      <c r="G397" s="1019"/>
      <c r="H397" s="1054">
        <f t="shared" si="42"/>
        <v>0</v>
      </c>
      <c r="J397" s="1057"/>
    </row>
    <row r="398" spans="1:10" s="136" customFormat="1">
      <c r="A398" s="137" t="s">
        <v>2214</v>
      </c>
      <c r="B398" s="137" t="s">
        <v>1854</v>
      </c>
      <c r="C398" s="1002">
        <f t="shared" si="40"/>
        <v>0</v>
      </c>
      <c r="D398" s="1016"/>
      <c r="E398" s="1012" t="s">
        <v>1203</v>
      </c>
      <c r="F398" s="1029">
        <f t="shared" si="41"/>
        <v>0</v>
      </c>
      <c r="G398" s="1019"/>
      <c r="H398" s="1054">
        <f t="shared" si="42"/>
        <v>0</v>
      </c>
      <c r="I398" s="1061">
        <f>SUM(H398:H405)</f>
        <v>0</v>
      </c>
      <c r="J398" s="1060" t="s">
        <v>454</v>
      </c>
    </row>
    <row r="399" spans="1:10" s="136" customFormat="1">
      <c r="A399" s="137" t="s">
        <v>2394</v>
      </c>
      <c r="B399" s="137" t="s">
        <v>1855</v>
      </c>
      <c r="C399" s="1002">
        <f t="shared" si="40"/>
        <v>0</v>
      </c>
      <c r="D399" s="1016"/>
      <c r="E399" s="1012" t="s">
        <v>1203</v>
      </c>
      <c r="F399" s="1029">
        <f t="shared" si="41"/>
        <v>0</v>
      </c>
      <c r="G399" s="1019"/>
      <c r="H399" s="1054">
        <f t="shared" si="42"/>
        <v>0</v>
      </c>
      <c r="J399" s="1057"/>
    </row>
    <row r="400" spans="1:10" s="136" customFormat="1">
      <c r="A400" s="137" t="s">
        <v>2395</v>
      </c>
      <c r="B400" s="137" t="s">
        <v>1856</v>
      </c>
      <c r="C400" s="1002">
        <f t="shared" si="40"/>
        <v>0</v>
      </c>
      <c r="D400" s="1016"/>
      <c r="E400" s="1012" t="s">
        <v>1203</v>
      </c>
      <c r="F400" s="1029">
        <f t="shared" si="41"/>
        <v>0</v>
      </c>
      <c r="G400" s="1019"/>
      <c r="H400" s="1054">
        <f t="shared" si="42"/>
        <v>0</v>
      </c>
      <c r="J400" s="1057"/>
    </row>
    <row r="401" spans="1:10" s="136" customFormat="1">
      <c r="A401" s="137" t="s">
        <v>2396</v>
      </c>
      <c r="B401" s="137" t="s">
        <v>1857</v>
      </c>
      <c r="C401" s="1002">
        <f t="shared" si="40"/>
        <v>0</v>
      </c>
      <c r="D401" s="1016"/>
      <c r="E401" s="1012" t="s">
        <v>1203</v>
      </c>
      <c r="F401" s="1029">
        <f t="shared" si="41"/>
        <v>0</v>
      </c>
      <c r="G401" s="1019"/>
      <c r="H401" s="1054">
        <f t="shared" si="42"/>
        <v>0</v>
      </c>
      <c r="J401" s="1057"/>
    </row>
    <row r="402" spans="1:10" s="136" customFormat="1">
      <c r="A402" s="137" t="s">
        <v>2397</v>
      </c>
      <c r="B402" s="137" t="s">
        <v>1858</v>
      </c>
      <c r="C402" s="1002">
        <f t="shared" si="40"/>
        <v>0</v>
      </c>
      <c r="D402" s="1016"/>
      <c r="E402" s="1012" t="s">
        <v>1203</v>
      </c>
      <c r="F402" s="1029">
        <f t="shared" si="41"/>
        <v>0</v>
      </c>
      <c r="G402" s="1019"/>
      <c r="H402" s="1054">
        <f t="shared" si="42"/>
        <v>0</v>
      </c>
      <c r="J402" s="1057"/>
    </row>
    <row r="403" spans="1:10" s="136" customFormat="1">
      <c r="A403" s="137" t="s">
        <v>2398</v>
      </c>
      <c r="B403" s="137" t="s">
        <v>1859</v>
      </c>
      <c r="C403" s="1002">
        <f t="shared" si="40"/>
        <v>0</v>
      </c>
      <c r="D403" s="1016"/>
      <c r="E403" s="1012" t="s">
        <v>1203</v>
      </c>
      <c r="F403" s="1029">
        <f t="shared" si="41"/>
        <v>0</v>
      </c>
      <c r="G403" s="1019"/>
      <c r="H403" s="1054">
        <f t="shared" si="42"/>
        <v>0</v>
      </c>
      <c r="J403" s="1057"/>
    </row>
    <row r="404" spans="1:10" s="136" customFormat="1">
      <c r="A404" s="137" t="s">
        <v>2399</v>
      </c>
      <c r="B404" s="137" t="s">
        <v>1860</v>
      </c>
      <c r="C404" s="1002">
        <f t="shared" si="40"/>
        <v>0</v>
      </c>
      <c r="D404" s="1016"/>
      <c r="E404" s="1012" t="s">
        <v>1203</v>
      </c>
      <c r="F404" s="1029">
        <f t="shared" si="41"/>
        <v>0</v>
      </c>
      <c r="G404" s="1019"/>
      <c r="H404" s="1054">
        <f t="shared" si="42"/>
        <v>0</v>
      </c>
      <c r="J404" s="1057"/>
    </row>
    <row r="405" spans="1:10" s="136" customFormat="1">
      <c r="A405" s="137" t="s">
        <v>2400</v>
      </c>
      <c r="B405" s="137" t="s">
        <v>1861</v>
      </c>
      <c r="C405" s="1002">
        <f t="shared" si="40"/>
        <v>0</v>
      </c>
      <c r="D405" s="1016"/>
      <c r="E405" s="1012" t="s">
        <v>1203</v>
      </c>
      <c r="F405" s="1029">
        <f t="shared" si="41"/>
        <v>0</v>
      </c>
      <c r="G405" s="1019"/>
      <c r="H405" s="1054">
        <f t="shared" si="42"/>
        <v>0</v>
      </c>
      <c r="J405" s="1057"/>
    </row>
    <row r="406" spans="1:10" s="136" customFormat="1">
      <c r="A406" s="137" t="s">
        <v>2401</v>
      </c>
      <c r="B406" s="137" t="s">
        <v>1862</v>
      </c>
      <c r="C406" s="1002">
        <f t="shared" ref="C406:C418" si="43">IF(SUMIF(KontoSk,A406,SaldoSkPS)*(-1)&lt;0,"Greska!",SUMIF(KontoSk,A406,SaldoSkPS)*(-1))</f>
        <v>0</v>
      </c>
      <c r="D406" s="1016"/>
      <c r="E406" s="1012" t="s">
        <v>1204</v>
      </c>
      <c r="F406" s="1029">
        <f t="shared" ref="F406:F418" si="44">IF(SUMIF(KontoSk,A406,SaldoSk)*(-1)&lt;0,"Greska!",SUMIF(KontoSk,A406,SaldoSk)*(-1))</f>
        <v>0</v>
      </c>
      <c r="G406" s="1019"/>
      <c r="H406" s="1054">
        <f t="shared" si="42"/>
        <v>0</v>
      </c>
      <c r="I406" s="1061">
        <f>SUM(H406:H411)</f>
        <v>0</v>
      </c>
      <c r="J406" s="1060" t="s">
        <v>2500</v>
      </c>
    </row>
    <row r="407" spans="1:10" s="136" customFormat="1">
      <c r="A407" s="137" t="s">
        <v>2402</v>
      </c>
      <c r="B407" s="137" t="s">
        <v>1863</v>
      </c>
      <c r="C407" s="1002">
        <f t="shared" si="43"/>
        <v>0</v>
      </c>
      <c r="D407" s="1016"/>
      <c r="E407" s="1012" t="s">
        <v>1205</v>
      </c>
      <c r="F407" s="1029">
        <f t="shared" si="44"/>
        <v>0</v>
      </c>
      <c r="G407" s="1019"/>
      <c r="H407" s="1054">
        <f t="shared" si="42"/>
        <v>0</v>
      </c>
      <c r="J407" s="1057"/>
    </row>
    <row r="408" spans="1:10" s="136" customFormat="1">
      <c r="A408" s="137" t="s">
        <v>2403</v>
      </c>
      <c r="B408" s="137" t="s">
        <v>1864</v>
      </c>
      <c r="C408" s="1002">
        <f t="shared" si="43"/>
        <v>0</v>
      </c>
      <c r="D408" s="1016"/>
      <c r="E408" s="1012" t="s">
        <v>1204</v>
      </c>
      <c r="F408" s="1029">
        <f t="shared" si="44"/>
        <v>0</v>
      </c>
      <c r="G408" s="1019"/>
      <c r="H408" s="1054">
        <f t="shared" si="42"/>
        <v>0</v>
      </c>
      <c r="J408" s="1057"/>
    </row>
    <row r="409" spans="1:10" s="136" customFormat="1">
      <c r="A409" s="137" t="s">
        <v>2404</v>
      </c>
      <c r="B409" s="137" t="s">
        <v>1865</v>
      </c>
      <c r="C409" s="1002">
        <f t="shared" si="43"/>
        <v>0</v>
      </c>
      <c r="D409" s="1016"/>
      <c r="E409" s="1012" t="s">
        <v>1204</v>
      </c>
      <c r="F409" s="1029">
        <f t="shared" si="44"/>
        <v>0</v>
      </c>
      <c r="G409" s="1019"/>
      <c r="H409" s="1054">
        <f t="shared" si="42"/>
        <v>0</v>
      </c>
      <c r="J409" s="1057"/>
    </row>
    <row r="410" spans="1:10" s="136" customFormat="1">
      <c r="A410" s="137" t="s">
        <v>2405</v>
      </c>
      <c r="B410" s="137" t="s">
        <v>1866</v>
      </c>
      <c r="C410" s="1002">
        <f t="shared" si="43"/>
        <v>0</v>
      </c>
      <c r="D410" s="1016"/>
      <c r="E410" s="1012" t="s">
        <v>1204</v>
      </c>
      <c r="F410" s="1029">
        <f t="shared" si="44"/>
        <v>0</v>
      </c>
      <c r="G410" s="1019"/>
      <c r="H410" s="1054">
        <f t="shared" si="42"/>
        <v>0</v>
      </c>
      <c r="J410" s="1057"/>
    </row>
    <row r="411" spans="1:10" s="136" customFormat="1">
      <c r="A411" s="137" t="s">
        <v>2406</v>
      </c>
      <c r="B411" s="137" t="s">
        <v>1867</v>
      </c>
      <c r="C411" s="1002">
        <f t="shared" si="43"/>
        <v>0</v>
      </c>
      <c r="D411" s="1016"/>
      <c r="E411" s="1012" t="s">
        <v>1204</v>
      </c>
      <c r="F411" s="1029">
        <f t="shared" si="44"/>
        <v>0</v>
      </c>
      <c r="G411" s="1019"/>
      <c r="H411" s="1054">
        <f t="shared" si="42"/>
        <v>0</v>
      </c>
      <c r="J411" s="1057"/>
    </row>
    <row r="412" spans="1:10" s="136" customFormat="1">
      <c r="A412" s="137" t="s">
        <v>2407</v>
      </c>
      <c r="B412" s="137" t="s">
        <v>1868</v>
      </c>
      <c r="C412" s="1002">
        <f t="shared" si="43"/>
        <v>0</v>
      </c>
      <c r="D412" s="1016"/>
      <c r="E412" s="1012" t="s">
        <v>1185</v>
      </c>
      <c r="F412" s="1029">
        <f t="shared" si="44"/>
        <v>0</v>
      </c>
      <c r="G412" s="1019"/>
      <c r="H412" s="1054">
        <f t="shared" si="42"/>
        <v>0</v>
      </c>
      <c r="I412" s="1061">
        <f>SUM(H412:H418)</f>
        <v>0</v>
      </c>
      <c r="J412" s="1060" t="s">
        <v>2502</v>
      </c>
    </row>
    <row r="413" spans="1:10" s="136" customFormat="1">
      <c r="A413" s="137" t="s">
        <v>2408</v>
      </c>
      <c r="B413" s="137" t="s">
        <v>1869</v>
      </c>
      <c r="C413" s="1002">
        <f t="shared" si="43"/>
        <v>0</v>
      </c>
      <c r="D413" s="1016"/>
      <c r="E413" s="1012" t="s">
        <v>1185</v>
      </c>
      <c r="F413" s="1029">
        <f t="shared" si="44"/>
        <v>0</v>
      </c>
      <c r="G413" s="1019"/>
      <c r="H413" s="1054">
        <f t="shared" si="42"/>
        <v>0</v>
      </c>
      <c r="J413" s="1057"/>
    </row>
    <row r="414" spans="1:10" s="136" customFormat="1">
      <c r="A414" s="137" t="s">
        <v>2409</v>
      </c>
      <c r="B414" s="137" t="s">
        <v>1870</v>
      </c>
      <c r="C414" s="1002">
        <f t="shared" si="43"/>
        <v>0</v>
      </c>
      <c r="D414" s="1016"/>
      <c r="E414" s="1012" t="s">
        <v>1185</v>
      </c>
      <c r="F414" s="1029">
        <f t="shared" si="44"/>
        <v>0</v>
      </c>
      <c r="G414" s="1019"/>
      <c r="H414" s="1054">
        <f t="shared" si="42"/>
        <v>0</v>
      </c>
      <c r="J414" s="1057"/>
    </row>
    <row r="415" spans="1:10" s="136" customFormat="1">
      <c r="A415" s="137" t="s">
        <v>2410</v>
      </c>
      <c r="B415" s="137" t="s">
        <v>1871</v>
      </c>
      <c r="C415" s="1002">
        <f t="shared" si="43"/>
        <v>0</v>
      </c>
      <c r="D415" s="1016"/>
      <c r="E415" s="1012" t="s">
        <v>1185</v>
      </c>
      <c r="F415" s="1029">
        <f t="shared" si="44"/>
        <v>0</v>
      </c>
      <c r="G415" s="1019"/>
      <c r="H415" s="1054">
        <f t="shared" si="42"/>
        <v>0</v>
      </c>
      <c r="J415" s="1057"/>
    </row>
    <row r="416" spans="1:10" s="136" customFormat="1">
      <c r="A416" s="137" t="s">
        <v>2411</v>
      </c>
      <c r="B416" s="137" t="s">
        <v>1872</v>
      </c>
      <c r="C416" s="1002">
        <f t="shared" si="43"/>
        <v>0</v>
      </c>
      <c r="D416" s="1016"/>
      <c r="E416" s="1012" t="s">
        <v>1185</v>
      </c>
      <c r="F416" s="1029">
        <f t="shared" si="44"/>
        <v>0</v>
      </c>
      <c r="G416" s="1019"/>
      <c r="H416" s="1054">
        <f t="shared" si="42"/>
        <v>0</v>
      </c>
      <c r="J416" s="1057"/>
    </row>
    <row r="417" spans="1:11" s="136" customFormat="1">
      <c r="A417" s="137" t="s">
        <v>2412</v>
      </c>
      <c r="B417" s="137" t="s">
        <v>311</v>
      </c>
      <c r="C417" s="1002">
        <f t="shared" si="43"/>
        <v>0</v>
      </c>
      <c r="D417" s="1016"/>
      <c r="E417" s="1012" t="s">
        <v>1186</v>
      </c>
      <c r="F417" s="1029">
        <f t="shared" si="44"/>
        <v>0</v>
      </c>
      <c r="G417" s="1019"/>
      <c r="H417" s="1054">
        <f t="shared" si="42"/>
        <v>0</v>
      </c>
      <c r="J417" s="1057"/>
    </row>
    <row r="418" spans="1:11" s="136" customFormat="1">
      <c r="A418" s="137" t="s">
        <v>2413</v>
      </c>
      <c r="B418" s="137" t="s">
        <v>1873</v>
      </c>
      <c r="C418" s="1002">
        <f t="shared" si="43"/>
        <v>0</v>
      </c>
      <c r="D418" s="1016"/>
      <c r="E418" s="1012" t="s">
        <v>1185</v>
      </c>
      <c r="F418" s="1029">
        <f t="shared" si="44"/>
        <v>0</v>
      </c>
      <c r="G418" s="1019"/>
      <c r="H418" s="1054">
        <f t="shared" si="42"/>
        <v>0</v>
      </c>
      <c r="J418" s="1057"/>
    </row>
    <row r="419" spans="1:11" s="136" customFormat="1">
      <c r="A419" s="1007" t="s">
        <v>1519</v>
      </c>
      <c r="B419" s="1007" t="s">
        <v>2037</v>
      </c>
      <c r="C419" s="1003"/>
      <c r="D419" s="1003"/>
      <c r="E419" s="1012" t="s">
        <v>591</v>
      </c>
      <c r="F419" s="1029"/>
      <c r="G419" s="1006"/>
      <c r="H419" s="1054">
        <f t="shared" si="42"/>
        <v>0</v>
      </c>
      <c r="I419" s="1062"/>
      <c r="J419" s="1060" t="str">
        <f>A419</f>
        <v>88</v>
      </c>
    </row>
    <row r="420" spans="1:11" s="136" customFormat="1">
      <c r="A420" s="1007" t="s">
        <v>274</v>
      </c>
      <c r="B420" s="1007" t="s">
        <v>2038</v>
      </c>
      <c r="C420" s="1003"/>
      <c r="D420" s="1003"/>
      <c r="E420" s="1012" t="s">
        <v>1188</v>
      </c>
      <c r="F420" s="1029"/>
      <c r="G420" s="1006"/>
      <c r="H420" s="1054">
        <f t="shared" si="42"/>
        <v>0</v>
      </c>
      <c r="I420" s="1062"/>
      <c r="J420" s="1060" t="str">
        <f>A420</f>
        <v>89</v>
      </c>
    </row>
    <row r="421" spans="1:11" s="136" customFormat="1">
      <c r="A421" s="1008"/>
      <c r="B421" s="1008" t="s">
        <v>7</v>
      </c>
      <c r="C421" s="1152">
        <f>SUM(C171:C315)+C419-SUM(D171:D315)</f>
        <v>0</v>
      </c>
      <c r="D421" s="1016"/>
      <c r="E421" s="1013"/>
      <c r="F421" s="1156">
        <f>SUM(F171:F315)+F419-SUM(G171:G315)</f>
        <v>0</v>
      </c>
      <c r="G421" s="1019"/>
      <c r="H421" s="934">
        <f>SUM(H171:H315)</f>
        <v>0</v>
      </c>
    </row>
    <row r="422" spans="1:11" s="136" customFormat="1">
      <c r="A422" s="141"/>
      <c r="B422" s="141" t="s">
        <v>6</v>
      </c>
      <c r="C422" s="1153">
        <f>SUM(C316:C330,C332:C336,C342:C418,C420)-SUM(C331,C337:C341)</f>
        <v>0</v>
      </c>
      <c r="D422" s="1020"/>
      <c r="E422" s="161"/>
      <c r="F422" s="1153">
        <f>SUM(F316:F330,F332:F336,F342:F418,F420)-SUM(F331,F337:F341)</f>
        <v>0</v>
      </c>
      <c r="G422" s="1022"/>
      <c r="H422" s="934">
        <f>SUM(H316:H418)</f>
        <v>0</v>
      </c>
    </row>
    <row r="423" spans="1:11" s="136" customFormat="1">
      <c r="A423" s="144"/>
      <c r="B423" s="1056"/>
      <c r="C423" s="1154">
        <f>IF(C421-C422&lt;&gt;0,"GRESKA",C421-C422)</f>
        <v>0</v>
      </c>
      <c r="D423" s="1021"/>
      <c r="E423" s="142"/>
      <c r="F423" s="1154">
        <f>IF(F421-F422&lt;&gt;0,"GRESKA",F421-F422)</f>
        <v>0</v>
      </c>
      <c r="G423" s="1023"/>
      <c r="H423" s="142"/>
    </row>
    <row r="424" spans="1:11" s="136" customFormat="1" ht="15.75">
      <c r="A424" s="1148"/>
      <c r="B424" s="1149" t="s">
        <v>2075</v>
      </c>
      <c r="C424" s="1154">
        <f>C421-C422</f>
        <v>0</v>
      </c>
      <c r="D424" s="1021"/>
      <c r="E424" s="917"/>
      <c r="F424" s="1154">
        <f>F421-F422</f>
        <v>0</v>
      </c>
      <c r="G424" s="1024"/>
      <c r="H424" s="142"/>
      <c r="I424" s="142"/>
      <c r="J424" s="142"/>
      <c r="K424" s="142"/>
    </row>
    <row r="425" spans="1:11" s="136" customFormat="1" ht="15.75">
      <c r="A425" s="1150" t="s">
        <v>2076</v>
      </c>
      <c r="B425" s="1151"/>
      <c r="C425" s="1155">
        <v>0</v>
      </c>
      <c r="D425" s="1099"/>
      <c r="E425" s="1100"/>
      <c r="F425" s="1157">
        <v>0</v>
      </c>
      <c r="G425" s="918"/>
      <c r="H425" s="142"/>
      <c r="I425" s="142"/>
      <c r="J425" s="142"/>
      <c r="K425" s="142"/>
    </row>
    <row r="426" spans="1:11" s="136" customFormat="1">
      <c r="A426" s="145"/>
      <c r="B426" s="145"/>
      <c r="C426" s="146"/>
      <c r="D426" s="146"/>
      <c r="E426" s="147"/>
      <c r="F426" s="146"/>
      <c r="G426" s="148"/>
      <c r="H426" s="142"/>
    </row>
    <row r="427" spans="1:11" s="136" customFormat="1">
      <c r="A427" s="384"/>
      <c r="B427" s="384"/>
      <c r="C427" s="384"/>
      <c r="D427" s="154"/>
      <c r="E427" s="153"/>
      <c r="F427" s="155"/>
      <c r="G427" s="155"/>
      <c r="H427" s="385"/>
      <c r="I427" s="154"/>
    </row>
    <row r="428" spans="1:11" s="136" customFormat="1">
      <c r="A428" s="384"/>
      <c r="B428" s="384"/>
      <c r="C428" s="384"/>
      <c r="D428" s="154"/>
      <c r="E428" s="153"/>
      <c r="F428" s="155"/>
      <c r="G428" s="155"/>
      <c r="H428" s="385"/>
      <c r="I428" s="154"/>
    </row>
    <row r="429" spans="1:11" s="136" customFormat="1">
      <c r="A429" s="1321" t="s">
        <v>543</v>
      </c>
      <c r="B429" s="1321"/>
      <c r="C429" s="1321"/>
      <c r="D429" s="1321"/>
      <c r="E429" s="1321"/>
      <c r="F429" s="1321"/>
      <c r="G429" s="148"/>
      <c r="H429" s="142"/>
    </row>
    <row r="430" spans="1:11" s="136" customFormat="1">
      <c r="A430" s="156"/>
      <c r="B430" s="156"/>
      <c r="C430" s="138"/>
      <c r="D430" s="157" t="s">
        <v>2301</v>
      </c>
      <c r="F430" s="822" t="s">
        <v>2303</v>
      </c>
      <c r="G430" s="315" t="s">
        <v>1141</v>
      </c>
      <c r="H430" s="316"/>
      <c r="I430" s="316"/>
    </row>
    <row r="431" spans="1:11" s="136" customFormat="1" ht="15.75">
      <c r="A431" s="1014">
        <v>1</v>
      </c>
      <c r="B431" s="159" t="str">
        <f>got.tok_ind!D28</f>
        <v>Neto dobit/dobitak ZA PERIOD</v>
      </c>
      <c r="C431" s="1015"/>
      <c r="D431" s="473"/>
      <c r="E431" s="317"/>
      <c r="F431" s="823">
        <f>IF('bilans-uspjeha'!AH184&gt;0,'bilans-uspjeha'!AH184,'bilans-uspjeha'!AH185*-1)</f>
        <v>0</v>
      </c>
      <c r="G431" s="159" t="s">
        <v>1646</v>
      </c>
      <c r="H431" s="158"/>
      <c r="I431" s="387"/>
      <c r="K431" s="136" t="s">
        <v>1933</v>
      </c>
    </row>
    <row r="432" spans="1:11" s="136" customFormat="1" ht="15.75">
      <c r="A432" s="1014">
        <v>2</v>
      </c>
      <c r="B432" s="159" t="str">
        <f>got.tok_ind!D30</f>
        <v>Amortizacija/vrijednost usklađenja nematerijalnih sredstava</v>
      </c>
      <c r="C432" s="1015"/>
      <c r="D432" s="473"/>
      <c r="E432" s="317"/>
      <c r="F432" s="823"/>
      <c r="G432" s="429" t="s">
        <v>2638</v>
      </c>
      <c r="H432" s="386"/>
    </row>
    <row r="433" spans="1:11" s="136" customFormat="1" ht="15.75">
      <c r="A433" s="1014">
        <v>3</v>
      </c>
      <c r="B433" s="159" t="str">
        <f>got.tok_ind!D31</f>
        <v>Gubici(dobici) od otuđenja nematerijalnih sredstava</v>
      </c>
      <c r="C433" s="1015"/>
      <c r="D433" s="473"/>
      <c r="E433" s="317"/>
      <c r="F433" s="823"/>
      <c r="G433" s="159"/>
      <c r="H433" s="158"/>
      <c r="I433" s="146"/>
    </row>
    <row r="434" spans="1:11" s="136" customFormat="1" ht="15.75">
      <c r="A434" s="1014">
        <v>4</v>
      </c>
      <c r="B434" s="159" t="str">
        <f>got.tok_ind!D32</f>
        <v>Amortizacija/vrijednost usklađenja  materijalnih sredstava</v>
      </c>
      <c r="C434" s="1015"/>
      <c r="D434" s="473"/>
      <c r="E434" s="317"/>
      <c r="F434" s="823">
        <f>G80+G81+G82-F432</f>
        <v>0</v>
      </c>
      <c r="G434" s="429" t="s">
        <v>2639</v>
      </c>
      <c r="H434" s="158"/>
      <c r="K434" s="136" t="s">
        <v>1933</v>
      </c>
    </row>
    <row r="435" spans="1:11" s="136" customFormat="1" ht="15.75">
      <c r="A435" s="1014">
        <v>5</v>
      </c>
      <c r="B435" s="159" t="str">
        <f>got.tok_ind!D33</f>
        <v>Gubici (dobici) od otuđenja materijalnih sredstava</v>
      </c>
      <c r="C435" s="1015"/>
      <c r="D435" s="473"/>
      <c r="E435" s="317"/>
      <c r="F435" s="823"/>
      <c r="G435" s="159"/>
      <c r="H435" s="158"/>
      <c r="I435" s="388"/>
    </row>
    <row r="436" spans="1:11" s="136" customFormat="1" ht="15.75">
      <c r="A436" s="1014">
        <v>6</v>
      </c>
      <c r="B436" s="159" t="str">
        <f>got.tok_ind!D34</f>
        <v>Usklađenja iz osnova dugoročnih finansijskih sredstava</v>
      </c>
      <c r="C436" s="1015"/>
      <c r="D436" s="473"/>
      <c r="E436" s="317"/>
      <c r="F436" s="823">
        <f>I200+I209+I215</f>
        <v>0</v>
      </c>
      <c r="G436" s="159" t="s">
        <v>1647</v>
      </c>
      <c r="H436" s="158"/>
      <c r="I436" s="158"/>
    </row>
    <row r="437" spans="1:11" s="136" customFormat="1" ht="15.75">
      <c r="A437" s="1014">
        <v>7</v>
      </c>
      <c r="B437" s="159" t="str">
        <f>got.tok_ind!D35</f>
        <v>Nerealizovani rashodi (prihodi) od kursnih razlika</v>
      </c>
      <c r="C437" s="1015"/>
      <c r="D437" s="473"/>
      <c r="E437" s="317"/>
      <c r="F437" s="823"/>
      <c r="G437" s="159" t="s">
        <v>1648</v>
      </c>
      <c r="H437" s="158"/>
      <c r="I437" s="158"/>
    </row>
    <row r="438" spans="1:11" s="136" customFormat="1" ht="15.75">
      <c r="A438" s="1014">
        <v>8</v>
      </c>
      <c r="B438" s="159" t="str">
        <f>got.tok_ind!D36</f>
        <v>Ostala usklađenja za negotovinske stavke i gotovinski tokovi koji se odnose na ulagačke i finansijske aktivnosti</v>
      </c>
      <c r="C438" s="1015"/>
      <c r="D438" s="473">
        <v>0</v>
      </c>
      <c r="E438" s="317"/>
      <c r="F438" s="823">
        <v>0</v>
      </c>
      <c r="G438" s="159"/>
      <c r="H438" s="158"/>
      <c r="I438" s="158"/>
    </row>
    <row r="439" spans="1:11" s="136" customFormat="1" ht="15.75">
      <c r="A439" s="1014">
        <v>10</v>
      </c>
      <c r="B439" s="159" t="str">
        <f>got.tok_ind!D38</f>
        <v>Smanjenje (povećanje) zaliha</v>
      </c>
      <c r="C439" s="1015"/>
      <c r="D439" s="473"/>
      <c r="E439" s="317"/>
      <c r="F439" s="823">
        <f>I217+I260</f>
        <v>0</v>
      </c>
      <c r="G439" s="159" t="s">
        <v>953</v>
      </c>
      <c r="H439" s="158"/>
      <c r="I439" s="158"/>
    </row>
    <row r="440" spans="1:11" s="136" customFormat="1" ht="15.75">
      <c r="A440" s="1014">
        <v>11</v>
      </c>
      <c r="B440" s="159" t="str">
        <f>got.tok_ind!D39</f>
        <v>Smanjenje (povećanje) potraživanja od prodaje</v>
      </c>
      <c r="C440" s="1015"/>
      <c r="D440" s="473"/>
      <c r="E440" s="317"/>
      <c r="F440" s="823">
        <f>I273</f>
        <v>0</v>
      </c>
      <c r="G440" s="159" t="s">
        <v>1103</v>
      </c>
      <c r="H440" s="158"/>
      <c r="I440" s="158"/>
    </row>
    <row r="441" spans="1:11" s="136" customFormat="1" ht="15.75">
      <c r="A441" s="1014">
        <v>12</v>
      </c>
      <c r="B441" s="159" t="str">
        <f>got.tok_ind!D40</f>
        <v>Smanjenje (povećanje) drugih potraživanja</v>
      </c>
      <c r="C441" s="1015"/>
      <c r="D441" s="473"/>
      <c r="E441" s="317"/>
      <c r="F441" s="823">
        <f>I277+I283+I300+I291</f>
        <v>0</v>
      </c>
      <c r="G441" s="159" t="s">
        <v>2289</v>
      </c>
      <c r="H441" s="158"/>
      <c r="I441" s="158"/>
    </row>
    <row r="442" spans="1:11" s="136" customFormat="1" ht="15.75">
      <c r="A442" s="1014">
        <v>13</v>
      </c>
      <c r="B442" s="159" t="str">
        <f>got.tok_ind!D41</f>
        <v>Smanjenje (povećanje) aktivnih vremenskih razgraničenja</v>
      </c>
      <c r="C442" s="1015"/>
      <c r="D442" s="473"/>
      <c r="E442" s="317"/>
      <c r="F442" s="823">
        <f>I214+I309</f>
        <v>0</v>
      </c>
      <c r="G442" s="159" t="s">
        <v>2290</v>
      </c>
      <c r="H442" s="158"/>
      <c r="I442" s="158"/>
    </row>
    <row r="443" spans="1:11" s="136" customFormat="1" ht="15.75">
      <c r="A443" s="1014">
        <v>14</v>
      </c>
      <c r="B443" s="159" t="str">
        <f>got.tok_ind!D42</f>
        <v>Povećanje (smanjenje) obaveza prema dobavljačima</v>
      </c>
      <c r="C443" s="1015"/>
      <c r="D443" s="473"/>
      <c r="E443" s="317"/>
      <c r="F443" s="823">
        <f>I369</f>
        <v>0</v>
      </c>
      <c r="G443" s="159" t="s">
        <v>453</v>
      </c>
      <c r="H443" s="158"/>
      <c r="I443" s="158"/>
    </row>
    <row r="444" spans="1:11" s="136" customFormat="1" ht="15.75">
      <c r="A444" s="1014">
        <v>15</v>
      </c>
      <c r="B444" s="159" t="str">
        <f>got.tok_ind!D43</f>
        <v>Povećanje (smanjenje) drugih obaveza</v>
      </c>
      <c r="C444" s="1015"/>
      <c r="D444" s="473"/>
      <c r="E444" s="317"/>
      <c r="F444" s="823">
        <f>(I352+I361+I374+I379+I388+I398+I406)</f>
        <v>0</v>
      </c>
      <c r="G444" s="159" t="s">
        <v>2291</v>
      </c>
      <c r="H444" s="158"/>
      <c r="I444" s="158"/>
    </row>
    <row r="445" spans="1:11" s="136" customFormat="1" ht="15.75">
      <c r="A445" s="1014">
        <v>16</v>
      </c>
      <c r="B445" s="159" t="str">
        <f>got.tok_ind!D44</f>
        <v>Povećanje (smanjenje) pasivnih vremenskih razgraničenja</v>
      </c>
      <c r="C445" s="1015"/>
      <c r="D445" s="473"/>
      <c r="E445" s="317"/>
      <c r="F445" s="823">
        <f>I342+I412</f>
        <v>0</v>
      </c>
      <c r="G445" s="159" t="s">
        <v>2292</v>
      </c>
      <c r="H445" s="158"/>
      <c r="I445" s="158"/>
    </row>
    <row r="446" spans="1:11" s="136" customFormat="1" ht="15.75">
      <c r="A446" s="1014">
        <v>20</v>
      </c>
      <c r="B446" s="159" t="str">
        <f>got.tok_ind!D53</f>
        <v>Prilivi iz osnova kratkoročnih finansijskih plasmana</v>
      </c>
      <c r="C446" s="1015"/>
      <c r="D446" s="473"/>
      <c r="E446" s="317"/>
      <c r="F446" s="823">
        <f>IF(I291&lt;0,0,I291)</f>
        <v>0</v>
      </c>
      <c r="G446" s="159" t="s">
        <v>2293</v>
      </c>
      <c r="H446" s="158"/>
      <c r="I446" s="158"/>
    </row>
    <row r="447" spans="1:11" s="136" customFormat="1" ht="15.75">
      <c r="A447" s="1014">
        <v>21</v>
      </c>
      <c r="B447" s="159" t="str">
        <f>got.tok_ind!D54</f>
        <v>Prilivi iz osnova prodaje dionica i udjela</v>
      </c>
      <c r="C447" s="1015"/>
      <c r="D447" s="473"/>
      <c r="E447" s="317"/>
      <c r="F447" s="823">
        <f>IF(I200&lt;0,0,I200)</f>
        <v>0</v>
      </c>
      <c r="G447" s="159" t="s">
        <v>2295</v>
      </c>
      <c r="H447" s="158"/>
      <c r="I447" s="158"/>
    </row>
    <row r="448" spans="1:11" s="136" customFormat="1" ht="15.75">
      <c r="A448" s="1014">
        <v>22</v>
      </c>
      <c r="B448" s="159" t="str">
        <f>got.tok_ind!D55</f>
        <v>Prilivi iz osnova prodaje stalnih sredstava</v>
      </c>
      <c r="C448" s="1015"/>
      <c r="D448" s="473"/>
      <c r="E448" s="317"/>
      <c r="F448" s="823">
        <f>IF('bilans-stanja'!AN26-'bilans-stanja'!AU26+unos!F432+unos!F434&gt;0,0,'bilans-stanja'!AN26-'bilans-stanja'!AU26+unos!F432+unos!F434)*-1</f>
        <v>0</v>
      </c>
      <c r="G448" s="159"/>
      <c r="H448" s="158"/>
      <c r="I448" s="158"/>
    </row>
    <row r="449" spans="1:9" s="136" customFormat="1" ht="15.75">
      <c r="A449" s="1014">
        <v>23</v>
      </c>
      <c r="B449" s="159" t="str">
        <f>got.tok_ind!D56</f>
        <v>Prilivi iz osnova kamata</v>
      </c>
      <c r="C449" s="1015"/>
      <c r="D449" s="473"/>
      <c r="E449" s="317"/>
      <c r="F449" s="823"/>
      <c r="G449" s="159"/>
      <c r="H449" s="158"/>
      <c r="I449" s="158"/>
    </row>
    <row r="450" spans="1:9" s="136" customFormat="1" ht="15.75">
      <c r="A450" s="1014">
        <v>24</v>
      </c>
      <c r="B450" s="159" t="str">
        <f>got.tok_ind!D57</f>
        <v>Prilivi od dividendi i učešća u dobiti</v>
      </c>
      <c r="C450" s="1015"/>
      <c r="D450" s="473"/>
      <c r="E450" s="317"/>
      <c r="F450" s="823"/>
      <c r="G450" s="159"/>
      <c r="H450" s="158"/>
      <c r="I450" s="158"/>
    </row>
    <row r="451" spans="1:9" s="136" customFormat="1" ht="15.75">
      <c r="A451" s="1014">
        <v>25</v>
      </c>
      <c r="B451" s="159" t="str">
        <f>got.tok_ind!D58</f>
        <v>Prilivi iz osnova ostalih dugoročnih finansijskih plasmana</v>
      </c>
      <c r="C451" s="1015"/>
      <c r="D451" s="473"/>
      <c r="E451" s="317"/>
      <c r="F451" s="823"/>
      <c r="G451" s="159"/>
      <c r="H451" s="158"/>
      <c r="I451" s="158"/>
    </row>
    <row r="452" spans="1:9" s="136" customFormat="1" ht="15.75">
      <c r="A452" s="1014">
        <v>27</v>
      </c>
      <c r="B452" s="159" t="str">
        <f>got.tok_ind!D60</f>
        <v>Odlivi iz osnova kratkoročnih finansijskih plasmana</v>
      </c>
      <c r="C452" s="1015"/>
      <c r="D452" s="473"/>
      <c r="E452" s="317"/>
      <c r="F452" s="823">
        <f>IF(I291&lt;0,0,I291)*-1</f>
        <v>0</v>
      </c>
      <c r="G452" s="159" t="s">
        <v>2294</v>
      </c>
      <c r="H452" s="158"/>
      <c r="I452" s="158"/>
    </row>
    <row r="453" spans="1:9" s="136" customFormat="1" ht="15.75">
      <c r="A453" s="1014">
        <v>28</v>
      </c>
      <c r="B453" s="159" t="str">
        <f>got.tok_ind!D61</f>
        <v>Odlivi iz osnova kupovine dionica i udjela</v>
      </c>
      <c r="C453" s="1015"/>
      <c r="D453" s="473"/>
      <c r="E453" s="317"/>
      <c r="F453" s="823">
        <f>IF(I200&lt;0,0,I200)*-1</f>
        <v>0</v>
      </c>
      <c r="G453" s="159" t="s">
        <v>2296</v>
      </c>
      <c r="H453" s="158"/>
      <c r="I453" s="158"/>
    </row>
    <row r="454" spans="1:9" s="136" customFormat="1" ht="15.75">
      <c r="A454" s="1014">
        <v>29</v>
      </c>
      <c r="B454" s="159" t="str">
        <f>got.tok_ind!D62</f>
        <v>Odlivi iz osnova kupovine stalnih sredstava</v>
      </c>
      <c r="C454" s="1015"/>
      <c r="D454" s="473"/>
      <c r="E454" s="317"/>
      <c r="F454" s="823">
        <f>IF('bilans-stanja'!AN26-'bilans-stanja'!AU26+unos!F432+unos!F434&lt;0,0,'bilans-stanja'!AN26-'bilans-stanja'!AU26+unos!F432+unos!F434)</f>
        <v>0</v>
      </c>
      <c r="G454" s="159"/>
      <c r="H454" s="158"/>
      <c r="I454" s="158"/>
    </row>
    <row r="455" spans="1:9" s="136" customFormat="1" ht="15.75">
      <c r="A455" s="1014">
        <v>30</v>
      </c>
      <c r="B455" s="159" t="str">
        <f>got.tok_ind!D63</f>
        <v>Odlivi iz osnova ostalih dugoročnih finansijskih plasmana</v>
      </c>
      <c r="C455" s="1015"/>
      <c r="D455" s="473"/>
      <c r="E455" s="317"/>
      <c r="F455" s="823"/>
      <c r="G455" s="159"/>
      <c r="H455" s="158"/>
      <c r="I455" s="158"/>
    </row>
    <row r="456" spans="1:9" s="136" customFormat="1" ht="15.75">
      <c r="A456" s="1014">
        <v>34</v>
      </c>
      <c r="B456" s="159" t="str">
        <f>got.tok_ind!D68</f>
        <v>Prilivi iz osnova povećanja osnovnoh kapitala</v>
      </c>
      <c r="C456" s="1015"/>
      <c r="D456" s="473"/>
      <c r="E456" s="317"/>
      <c r="F456" s="823">
        <f>H317</f>
        <v>0</v>
      </c>
      <c r="G456" s="159"/>
      <c r="H456" s="158"/>
      <c r="I456" s="158"/>
    </row>
    <row r="457" spans="1:9" s="136" customFormat="1" ht="15.75">
      <c r="A457" s="1014">
        <v>35</v>
      </c>
      <c r="B457" s="159" t="str">
        <f>got.tok_ind!D69</f>
        <v>Prilivi iz osnova dugoročnih kredita</v>
      </c>
      <c r="C457" s="1015"/>
      <c r="D457" s="473"/>
      <c r="E457" s="317"/>
      <c r="F457" s="823"/>
      <c r="G457" s="159"/>
      <c r="H457" s="158"/>
      <c r="I457" s="158"/>
    </row>
    <row r="458" spans="1:9" s="136" customFormat="1" ht="15.75">
      <c r="A458" s="1014">
        <v>36</v>
      </c>
      <c r="B458" s="159" t="str">
        <f>got.tok_ind!D70</f>
        <v>Prilivi iz osnova kratkoročnih kredita</v>
      </c>
      <c r="C458" s="1015"/>
      <c r="D458" s="473"/>
      <c r="E458" s="317"/>
      <c r="F458" s="823"/>
      <c r="G458" s="159"/>
      <c r="H458" s="158"/>
      <c r="I458" s="158"/>
    </row>
    <row r="459" spans="1:9" s="136" customFormat="1" ht="15.75">
      <c r="A459" s="1014">
        <v>37</v>
      </c>
      <c r="B459" s="159" t="str">
        <f>got.tok_ind!D71</f>
        <v>Prilivi iz osnova ostalih dugoročnih i kratkoročnih obaveza</v>
      </c>
      <c r="C459" s="1015"/>
      <c r="D459" s="473"/>
      <c r="E459" s="317"/>
      <c r="F459" s="823">
        <f>IF(G471&gt;=0,0,G471*-1)</f>
        <v>0</v>
      </c>
      <c r="G459" s="159"/>
      <c r="H459" s="158"/>
      <c r="I459" s="158"/>
    </row>
    <row r="460" spans="1:9" s="136" customFormat="1" ht="15.75">
      <c r="A460" s="1014">
        <v>39</v>
      </c>
      <c r="B460" s="159" t="str">
        <f>got.tok_ind!D73</f>
        <v>Odlivi iz osnova otkupa vlastitih dionica i udjela</v>
      </c>
      <c r="C460" s="1015"/>
      <c r="D460" s="473"/>
      <c r="E460" s="317"/>
      <c r="F460" s="823"/>
      <c r="G460" s="159"/>
      <c r="H460" s="158"/>
      <c r="I460" s="158"/>
    </row>
    <row r="461" spans="1:9" s="136" customFormat="1" ht="15.75">
      <c r="A461" s="1014">
        <v>40</v>
      </c>
      <c r="B461" s="159" t="str">
        <f>got.tok_ind!D74</f>
        <v>Odlivi iz osnova dugoročnih kredita</v>
      </c>
      <c r="C461" s="1015"/>
      <c r="D461" s="473"/>
      <c r="E461" s="317"/>
      <c r="F461" s="823"/>
      <c r="G461" s="159"/>
      <c r="H461" s="158"/>
      <c r="I461" s="158"/>
    </row>
    <row r="462" spans="1:9" s="136" customFormat="1" ht="15.75">
      <c r="A462" s="1014">
        <v>41</v>
      </c>
      <c r="B462" s="159" t="str">
        <f>got.tok_ind!D75</f>
        <v>Odlivi iz osnova kratkoročnih kredita</v>
      </c>
      <c r="C462" s="1015"/>
      <c r="D462" s="473"/>
      <c r="E462" s="317"/>
      <c r="F462" s="823"/>
      <c r="G462" s="159"/>
      <c r="H462" s="158"/>
      <c r="I462" s="158"/>
    </row>
    <row r="463" spans="1:9" s="136" customFormat="1" ht="15.75">
      <c r="A463" s="1014">
        <v>42</v>
      </c>
      <c r="B463" s="159" t="str">
        <f>got.tok_ind!D76</f>
        <v>Odlivi iz osnova finansijskog lizinga</v>
      </c>
      <c r="C463" s="1015"/>
      <c r="D463" s="473"/>
      <c r="E463" s="317"/>
      <c r="F463" s="823"/>
      <c r="G463" s="159"/>
      <c r="H463" s="158"/>
      <c r="I463" s="158"/>
    </row>
    <row r="464" spans="1:9" s="136" customFormat="1" ht="15.75">
      <c r="A464" s="1014">
        <v>43</v>
      </c>
      <c r="B464" s="159" t="str">
        <f>got.tok_ind!D77</f>
        <v>Odlivi iz osnova isplaćenih dividendi</v>
      </c>
      <c r="C464" s="1015"/>
      <c r="D464" s="473"/>
      <c r="E464" s="317"/>
      <c r="F464" s="823"/>
      <c r="G464" s="159"/>
      <c r="H464" s="158"/>
      <c r="I464" s="158"/>
    </row>
    <row r="465" spans="1:14" s="136" customFormat="1" ht="15.75">
      <c r="A465" s="1014">
        <v>44</v>
      </c>
      <c r="B465" s="159" t="str">
        <f>got.tok_ind!D78</f>
        <v>Odlivi iz osnova ostalih dugoročnih i kratkoročnih obaveza</v>
      </c>
      <c r="C465" s="1015"/>
      <c r="D465" s="473"/>
      <c r="E465" s="317"/>
      <c r="F465" s="823">
        <f>IF(G471&lt;=0,0,G471)</f>
        <v>0</v>
      </c>
      <c r="G465" s="159"/>
      <c r="H465" s="158"/>
      <c r="I465" s="158"/>
    </row>
    <row r="466" spans="1:14" s="136" customFormat="1" ht="15.75">
      <c r="A466" s="1014">
        <v>51</v>
      </c>
      <c r="B466" s="159" t="str">
        <f>got.tok_ind!D85</f>
        <v>H. Gotovina na početku izvještajnog perioda</v>
      </c>
      <c r="C466" s="1015"/>
      <c r="D466" s="473"/>
      <c r="E466" s="317"/>
      <c r="F466" s="823">
        <f>'bilans-stanja'!AU73</f>
        <v>0</v>
      </c>
      <c r="G466" s="159"/>
      <c r="H466" s="158"/>
      <c r="I466" s="158"/>
    </row>
    <row r="467" spans="1:14" s="136" customFormat="1" ht="15.75">
      <c r="A467" s="1014">
        <v>52</v>
      </c>
      <c r="B467" s="159" t="str">
        <f>got.tok_ind!D86</f>
        <v>I. Pozitivne kursne razlike iz osnova preračuna gotovine</v>
      </c>
      <c r="C467" s="1015"/>
      <c r="D467" s="473"/>
      <c r="E467" s="317"/>
      <c r="F467" s="823"/>
      <c r="G467" s="159"/>
      <c r="H467" s="158"/>
      <c r="I467" s="158"/>
    </row>
    <row r="468" spans="1:14" s="136" customFormat="1" ht="15.75">
      <c r="A468" s="1014">
        <v>53</v>
      </c>
      <c r="B468" s="159" t="str">
        <f>got.tok_ind!D87</f>
        <v>J. Negativne kursne razlike iz osnova preračuna gotovine</v>
      </c>
      <c r="C468" s="1015"/>
      <c r="D468" s="473"/>
      <c r="E468" s="317"/>
      <c r="F468" s="823"/>
      <c r="G468" s="159"/>
      <c r="H468" s="158"/>
      <c r="I468" s="158"/>
    </row>
    <row r="469" spans="1:14" s="136" customFormat="1" ht="15.75">
      <c r="A469" s="1014">
        <v>54</v>
      </c>
      <c r="B469" s="159" t="s">
        <v>2579</v>
      </c>
      <c r="C469" s="1015"/>
      <c r="D469" s="473"/>
      <c r="E469" s="317"/>
      <c r="F469" s="823">
        <f>'bilans-stanja'!AN73</f>
        <v>0</v>
      </c>
      <c r="G469" s="159"/>
      <c r="H469" s="158"/>
      <c r="I469" s="158"/>
    </row>
    <row r="470" spans="1:14" s="136" customFormat="1" ht="13.5" thickBot="1">
      <c r="A470" s="152" t="s">
        <v>542</v>
      </c>
      <c r="B470" s="152"/>
      <c r="C470" s="152"/>
      <c r="D470" s="441">
        <f>IF(D471&lt;&gt;0,"GRESKA",D471)</f>
        <v>0</v>
      </c>
      <c r="F470" s="824">
        <f>IF(F471&lt;&gt;0,"GRESKA",F471)</f>
        <v>0</v>
      </c>
      <c r="G470" s="142"/>
      <c r="H470" s="1104"/>
      <c r="I470" s="1105"/>
      <c r="J470" s="1106"/>
      <c r="N470" s="143"/>
    </row>
    <row r="471" spans="1:14" s="136" customFormat="1" ht="15">
      <c r="A471" s="161"/>
      <c r="B471" s="161"/>
      <c r="C471" s="161"/>
      <c r="D471" s="441">
        <f>got.tok_ind!BA88-D469</f>
        <v>0</v>
      </c>
      <c r="F471" s="824">
        <f>got.tok_ind!AR88-'bilans-stanja'!AN73</f>
        <v>0</v>
      </c>
      <c r="G471" s="1103">
        <v>0</v>
      </c>
      <c r="H471" s="1111" t="s">
        <v>1935</v>
      </c>
      <c r="I471" s="1107"/>
      <c r="J471" s="1108"/>
    </row>
    <row r="472" spans="1:14" s="136" customFormat="1" ht="15.75" thickBot="1">
      <c r="A472" s="144"/>
      <c r="B472" s="144"/>
      <c r="C472" s="148"/>
      <c r="D472" s="148"/>
      <c r="F472" s="1054"/>
      <c r="G472" s="443"/>
      <c r="H472" s="1112" t="s">
        <v>1934</v>
      </c>
      <c r="I472" s="1109"/>
      <c r="J472" s="1110"/>
    </row>
    <row r="473" spans="1:14" s="136" customFormat="1">
      <c r="A473" s="144"/>
      <c r="B473" s="144"/>
      <c r="C473" s="148"/>
      <c r="D473" s="148"/>
      <c r="E473" s="142"/>
      <c r="F473" s="148"/>
      <c r="G473" s="148"/>
      <c r="H473" s="142"/>
    </row>
    <row r="474" spans="1:14" s="136" customFormat="1">
      <c r="A474" s="144"/>
      <c r="B474" s="144"/>
      <c r="C474" s="148"/>
      <c r="D474" s="148"/>
      <c r="E474" s="142"/>
      <c r="F474" s="148"/>
      <c r="G474" s="148"/>
      <c r="H474" s="142"/>
    </row>
    <row r="475" spans="1:14" s="136" customFormat="1">
      <c r="A475" s="144"/>
      <c r="B475" s="144"/>
      <c r="C475" s="148"/>
      <c r="D475" s="148"/>
      <c r="E475" s="142"/>
      <c r="F475" s="148"/>
      <c r="G475" s="148"/>
    </row>
    <row r="476" spans="1:14" s="136" customFormat="1">
      <c r="A476" s="144"/>
      <c r="B476" s="144"/>
      <c r="C476" s="148"/>
      <c r="D476" s="148"/>
      <c r="E476" s="142"/>
      <c r="F476" s="148"/>
      <c r="G476" s="148"/>
    </row>
    <row r="477" spans="1:14" s="136" customFormat="1">
      <c r="A477" s="144"/>
      <c r="B477" s="144"/>
      <c r="C477" s="148"/>
      <c r="D477" s="148"/>
      <c r="E477" s="142"/>
      <c r="F477" s="148"/>
      <c r="G477" s="148"/>
    </row>
    <row r="478" spans="1:14" s="136" customFormat="1">
      <c r="A478" s="1328" t="s">
        <v>1357</v>
      </c>
      <c r="B478" s="1329"/>
      <c r="C478" s="1329"/>
      <c r="D478" s="1330"/>
      <c r="E478" s="142"/>
      <c r="F478" s="148"/>
      <c r="G478" s="148"/>
    </row>
    <row r="479" spans="1:14" s="136" customFormat="1">
      <c r="A479" s="1331"/>
      <c r="B479" s="1332"/>
      <c r="C479" s="1332"/>
      <c r="D479" s="1333"/>
      <c r="E479" s="142"/>
      <c r="F479" s="148"/>
      <c r="G479" s="148"/>
    </row>
    <row r="480" spans="1:14" s="136" customFormat="1" ht="136.5" customHeight="1">
      <c r="A480" s="1323" t="s">
        <v>1037</v>
      </c>
      <c r="B480" s="1323"/>
      <c r="C480" s="1323"/>
      <c r="D480" s="902" t="s">
        <v>1441</v>
      </c>
      <c r="E480" s="902"/>
      <c r="F480" s="902" t="s">
        <v>1442</v>
      </c>
      <c r="G480" s="902" t="s">
        <v>1444</v>
      </c>
      <c r="H480" s="902" t="s">
        <v>1445</v>
      </c>
      <c r="I480" s="902" t="s">
        <v>1446</v>
      </c>
      <c r="J480" s="902"/>
      <c r="K480" s="902" t="s">
        <v>1447</v>
      </c>
      <c r="L480" s="902" t="s">
        <v>794</v>
      </c>
      <c r="M480" s="902" t="s">
        <v>795</v>
      </c>
    </row>
    <row r="481" spans="1:13" s="136" customFormat="1" ht="15.95" customHeight="1">
      <c r="A481" s="1334">
        <v>2</v>
      </c>
      <c r="B481" s="1334"/>
      <c r="C481" s="1334"/>
      <c r="D481" s="396">
        <v>3</v>
      </c>
      <c r="E481" s="397"/>
      <c r="F481" s="396">
        <v>4</v>
      </c>
      <c r="G481" s="396">
        <v>5</v>
      </c>
      <c r="H481" s="396">
        <v>6</v>
      </c>
      <c r="I481" s="396">
        <v>7</v>
      </c>
      <c r="J481" s="397"/>
      <c r="K481" s="396">
        <v>8</v>
      </c>
      <c r="L481" s="398">
        <v>9</v>
      </c>
      <c r="M481" s="398">
        <v>10</v>
      </c>
    </row>
    <row r="482" spans="1:13" s="136" customFormat="1" ht="15.95" customHeight="1">
      <c r="A482" s="900" t="str">
        <f>"1. Stanje na dan 31.12."&amp;ObracunGodina-2&amp;".godine"</f>
        <v>1. Stanje na dan 31.12.2009.godine</v>
      </c>
      <c r="B482" s="399"/>
      <c r="C482" s="400"/>
      <c r="D482" s="444">
        <v>0</v>
      </c>
      <c r="E482" s="445"/>
      <c r="F482" s="444">
        <v>0</v>
      </c>
      <c r="G482" s="444">
        <v>0</v>
      </c>
      <c r="H482" s="444">
        <v>0</v>
      </c>
      <c r="I482" s="444">
        <v>0</v>
      </c>
      <c r="J482" s="445"/>
      <c r="K482" s="446">
        <f>D482+F482+G482+H482+I482</f>
        <v>0</v>
      </c>
      <c r="L482" s="447">
        <v>0</v>
      </c>
      <c r="M482" s="447">
        <f>K482+L482</f>
        <v>0</v>
      </c>
    </row>
    <row r="483" spans="1:13" s="136" customFormat="1" ht="15.95" customHeight="1">
      <c r="A483" s="401" t="s">
        <v>471</v>
      </c>
      <c r="B483" s="401"/>
      <c r="C483" s="402"/>
      <c r="D483" s="444">
        <v>0</v>
      </c>
      <c r="E483" s="445"/>
      <c r="F483" s="444">
        <v>0</v>
      </c>
      <c r="G483" s="444">
        <v>0</v>
      </c>
      <c r="H483" s="444">
        <v>0</v>
      </c>
      <c r="I483" s="444">
        <v>0</v>
      </c>
      <c r="J483" s="445"/>
      <c r="K483" s="446">
        <f t="shared" ref="K483:K504" si="45">D483+F483+G483+H483+I483</f>
        <v>0</v>
      </c>
      <c r="L483" s="447">
        <v>0</v>
      </c>
      <c r="M483" s="447">
        <f t="shared" ref="M483:M504" si="46">K483+L483</f>
        <v>0</v>
      </c>
    </row>
    <row r="484" spans="1:13" s="136" customFormat="1" ht="15.95" customHeight="1">
      <c r="A484" s="401" t="s">
        <v>472</v>
      </c>
      <c r="B484" s="401"/>
      <c r="C484" s="400"/>
      <c r="D484" s="444">
        <v>0</v>
      </c>
      <c r="E484" s="445"/>
      <c r="F484" s="444">
        <v>0</v>
      </c>
      <c r="G484" s="444">
        <v>0</v>
      </c>
      <c r="H484" s="444">
        <v>0</v>
      </c>
      <c r="I484" s="444">
        <v>0</v>
      </c>
      <c r="J484" s="445"/>
      <c r="K484" s="446">
        <f t="shared" si="45"/>
        <v>0</v>
      </c>
      <c r="L484" s="447">
        <v>0</v>
      </c>
      <c r="M484" s="447">
        <f>K484+L484</f>
        <v>0</v>
      </c>
    </row>
    <row r="485" spans="1:13" s="136" customFormat="1" ht="15.95" customHeight="1">
      <c r="A485" s="403" t="str">
        <f>"4. Ponovo iskazano stanje na dan 31.12."&amp;ObracunGodina-2&amp;", odnosno 01.01."&amp;ObracunGodina-1&amp;".godine (901+-902+-903"</f>
        <v>4. Ponovo iskazano stanje na dan 31.12.2009, odnosno 01.01.2010.godine (901+-902+-903</v>
      </c>
      <c r="B485" s="403"/>
      <c r="C485" s="400"/>
      <c r="D485" s="444">
        <f t="shared" ref="D485:L485" si="47">SUM(D482:D484)</f>
        <v>0</v>
      </c>
      <c r="E485" s="445"/>
      <c r="F485" s="444">
        <f t="shared" si="47"/>
        <v>0</v>
      </c>
      <c r="G485" s="444">
        <f t="shared" si="47"/>
        <v>0</v>
      </c>
      <c r="H485" s="444">
        <f t="shared" si="47"/>
        <v>0</v>
      </c>
      <c r="I485" s="444">
        <f t="shared" si="47"/>
        <v>0</v>
      </c>
      <c r="J485" s="445"/>
      <c r="K485" s="446">
        <f t="shared" si="45"/>
        <v>0</v>
      </c>
      <c r="L485" s="444">
        <f t="shared" si="47"/>
        <v>0</v>
      </c>
      <c r="M485" s="447">
        <f t="shared" si="46"/>
        <v>0</v>
      </c>
    </row>
    <row r="486" spans="1:13" s="136" customFormat="1" ht="15.95" customHeight="1">
      <c r="A486" s="401" t="s">
        <v>473</v>
      </c>
      <c r="B486" s="401"/>
      <c r="C486" s="400"/>
      <c r="D486" s="444">
        <v>0</v>
      </c>
      <c r="E486" s="445"/>
      <c r="F486" s="444">
        <v>0</v>
      </c>
      <c r="G486" s="444">
        <v>0</v>
      </c>
      <c r="H486" s="444">
        <v>0</v>
      </c>
      <c r="I486" s="444">
        <v>0</v>
      </c>
      <c r="J486" s="445"/>
      <c r="K486" s="446">
        <f t="shared" si="45"/>
        <v>0</v>
      </c>
      <c r="L486" s="447">
        <v>0</v>
      </c>
      <c r="M486" s="447">
        <f t="shared" si="46"/>
        <v>0</v>
      </c>
    </row>
    <row r="487" spans="1:13" s="136" customFormat="1" ht="15.95" customHeight="1">
      <c r="A487" s="401" t="s">
        <v>474</v>
      </c>
      <c r="B487" s="401"/>
      <c r="C487" s="400"/>
      <c r="D487" s="444">
        <v>0</v>
      </c>
      <c r="E487" s="445"/>
      <c r="F487" s="444">
        <v>0</v>
      </c>
      <c r="G487" s="444">
        <v>0</v>
      </c>
      <c r="H487" s="444">
        <v>0</v>
      </c>
      <c r="I487" s="444">
        <v>0</v>
      </c>
      <c r="J487" s="445"/>
      <c r="K487" s="446">
        <f t="shared" si="45"/>
        <v>0</v>
      </c>
      <c r="L487" s="447">
        <v>0</v>
      </c>
      <c r="M487" s="447">
        <f t="shared" si="46"/>
        <v>0</v>
      </c>
    </row>
    <row r="488" spans="1:13" s="136" customFormat="1" ht="15.95" customHeight="1">
      <c r="A488" s="401" t="s">
        <v>475</v>
      </c>
      <c r="B488" s="401"/>
      <c r="C488" s="400"/>
      <c r="D488" s="446">
        <v>0</v>
      </c>
      <c r="E488" s="448"/>
      <c r="F488" s="446">
        <v>0</v>
      </c>
      <c r="G488" s="446">
        <v>0</v>
      </c>
      <c r="H488" s="446">
        <v>0</v>
      </c>
      <c r="I488" s="446">
        <v>0</v>
      </c>
      <c r="J488" s="448"/>
      <c r="K488" s="446">
        <f t="shared" si="45"/>
        <v>0</v>
      </c>
      <c r="L488" s="447">
        <v>0</v>
      </c>
      <c r="M488" s="447">
        <f t="shared" si="46"/>
        <v>0</v>
      </c>
    </row>
    <row r="489" spans="1:13" s="136" customFormat="1" ht="15.95" customHeight="1">
      <c r="A489" s="401" t="s">
        <v>476</v>
      </c>
      <c r="B489" s="401"/>
      <c r="C489" s="402"/>
      <c r="D489" s="444">
        <v>0</v>
      </c>
      <c r="E489" s="445"/>
      <c r="F489" s="444">
        <v>0</v>
      </c>
      <c r="G489" s="444">
        <v>0</v>
      </c>
      <c r="H489" s="444">
        <v>0</v>
      </c>
      <c r="I489" s="444">
        <v>0</v>
      </c>
      <c r="J489" s="445"/>
      <c r="K489" s="446">
        <f t="shared" si="45"/>
        <v>0</v>
      </c>
      <c r="L489" s="447">
        <v>0</v>
      </c>
      <c r="M489" s="447">
        <f t="shared" si="46"/>
        <v>0</v>
      </c>
    </row>
    <row r="490" spans="1:13" s="136" customFormat="1" ht="15.95" customHeight="1">
      <c r="A490" s="401" t="s">
        <v>477</v>
      </c>
      <c r="B490" s="401"/>
      <c r="C490" s="400"/>
      <c r="D490" s="444">
        <v>0</v>
      </c>
      <c r="E490" s="445"/>
      <c r="F490" s="444">
        <v>0</v>
      </c>
      <c r="G490" s="444">
        <v>0</v>
      </c>
      <c r="H490" s="444">
        <v>0</v>
      </c>
      <c r="I490" s="444">
        <v>0</v>
      </c>
      <c r="J490" s="445"/>
      <c r="K490" s="446">
        <f t="shared" si="45"/>
        <v>0</v>
      </c>
      <c r="L490" s="447">
        <v>0</v>
      </c>
      <c r="M490" s="447">
        <f t="shared" si="46"/>
        <v>0</v>
      </c>
    </row>
    <row r="491" spans="1:13" s="136" customFormat="1" ht="15.95" customHeight="1">
      <c r="A491" s="401" t="s">
        <v>2169</v>
      </c>
      <c r="B491" s="401"/>
      <c r="C491" s="400"/>
      <c r="D491" s="444">
        <v>0</v>
      </c>
      <c r="E491" s="445"/>
      <c r="F491" s="444">
        <v>0</v>
      </c>
      <c r="G491" s="444">
        <v>0</v>
      </c>
      <c r="H491" s="444">
        <v>0</v>
      </c>
      <c r="I491" s="444">
        <v>0</v>
      </c>
      <c r="J491" s="445"/>
      <c r="K491" s="446">
        <f t="shared" si="45"/>
        <v>0</v>
      </c>
      <c r="L491" s="447">
        <v>0</v>
      </c>
      <c r="M491" s="447">
        <f t="shared" si="46"/>
        <v>0</v>
      </c>
    </row>
    <row r="492" spans="1:13" s="136" customFormat="1" ht="15.95" customHeight="1">
      <c r="A492" s="401" t="s">
        <v>1461</v>
      </c>
      <c r="B492" s="401"/>
      <c r="C492" s="400"/>
      <c r="D492" s="444">
        <v>0</v>
      </c>
      <c r="E492" s="445"/>
      <c r="F492" s="444">
        <v>0</v>
      </c>
      <c r="G492" s="444">
        <v>0</v>
      </c>
      <c r="H492" s="444">
        <v>0</v>
      </c>
      <c r="I492" s="444">
        <v>0</v>
      </c>
      <c r="J492" s="445"/>
      <c r="K492" s="446">
        <f t="shared" si="45"/>
        <v>0</v>
      </c>
      <c r="L492" s="447">
        <v>0</v>
      </c>
      <c r="M492" s="447">
        <f t="shared" si="46"/>
        <v>0</v>
      </c>
    </row>
    <row r="493" spans="1:13" s="136" customFormat="1" ht="15.95" customHeight="1">
      <c r="A493" s="403" t="str">
        <f>"12. Stanje na dan 31.12."&amp;ObracunGodina-1&amp;", odnosno 01.01."&amp;ObracunGodina&amp;".godine"</f>
        <v>12. Stanje na dan 31.12.2010, odnosno 01.01.2011.godine</v>
      </c>
      <c r="B493" s="403"/>
      <c r="C493" s="400"/>
      <c r="D493" s="444">
        <f>SUM(D485:D492)</f>
        <v>0</v>
      </c>
      <c r="E493" s="445"/>
      <c r="F493" s="444">
        <f t="shared" ref="F493:L493" si="48">SUM(F485:F492)</f>
        <v>0</v>
      </c>
      <c r="G493" s="444">
        <f t="shared" si="48"/>
        <v>0</v>
      </c>
      <c r="H493" s="444">
        <f t="shared" si="48"/>
        <v>0</v>
      </c>
      <c r="I493" s="444">
        <f t="shared" si="48"/>
        <v>0</v>
      </c>
      <c r="J493" s="445"/>
      <c r="K493" s="446">
        <f t="shared" si="45"/>
        <v>0</v>
      </c>
      <c r="L493" s="444">
        <f t="shared" si="48"/>
        <v>0</v>
      </c>
      <c r="M493" s="447">
        <f t="shared" si="46"/>
        <v>0</v>
      </c>
    </row>
    <row r="494" spans="1:13" s="136" customFormat="1" ht="15.95" customHeight="1">
      <c r="A494" s="401" t="s">
        <v>768</v>
      </c>
      <c r="B494" s="401"/>
      <c r="C494" s="400"/>
      <c r="D494" s="444">
        <v>0</v>
      </c>
      <c r="E494" s="445"/>
      <c r="F494" s="444">
        <v>0</v>
      </c>
      <c r="G494" s="444">
        <v>0</v>
      </c>
      <c r="H494" s="444">
        <v>0</v>
      </c>
      <c r="I494" s="444">
        <v>0</v>
      </c>
      <c r="J494" s="445"/>
      <c r="K494" s="446">
        <f t="shared" si="45"/>
        <v>0</v>
      </c>
      <c r="L494" s="447">
        <v>0</v>
      </c>
      <c r="M494" s="447">
        <f t="shared" si="46"/>
        <v>0</v>
      </c>
    </row>
    <row r="495" spans="1:13" s="4" customFormat="1" ht="15.95" customHeight="1">
      <c r="A495" s="401" t="s">
        <v>769</v>
      </c>
      <c r="B495" s="401"/>
      <c r="C495" s="400"/>
      <c r="D495" s="444">
        <v>0</v>
      </c>
      <c r="E495" s="445"/>
      <c r="F495" s="444">
        <v>0</v>
      </c>
      <c r="G495" s="444">
        <v>0</v>
      </c>
      <c r="H495" s="444">
        <v>0</v>
      </c>
      <c r="I495" s="444">
        <v>0</v>
      </c>
      <c r="J495" s="445"/>
      <c r="K495" s="446">
        <f t="shared" si="45"/>
        <v>0</v>
      </c>
      <c r="L495" s="447">
        <v>0</v>
      </c>
      <c r="M495" s="447">
        <f t="shared" si="46"/>
        <v>0</v>
      </c>
    </row>
    <row r="496" spans="1:13" s="162" customFormat="1" ht="15.95" customHeight="1">
      <c r="A496" s="403" t="str">
        <f>"15. Ponovo iskazano stanje na dan 31.12."&amp;ObracunGodina-1&amp;", odnosno 01.01."&amp;ObracunGodina&amp;".godine (912+-913+-914)"</f>
        <v>15. Ponovo iskazano stanje na dan 31.12.2010, odnosno 01.01.2011.godine (912+-913+-914)</v>
      </c>
      <c r="B496" s="403"/>
      <c r="C496" s="400"/>
      <c r="D496" s="444">
        <f t="shared" ref="D496:L496" si="49">SUM(D493:D495)</f>
        <v>0</v>
      </c>
      <c r="E496" s="445"/>
      <c r="F496" s="444">
        <f t="shared" si="49"/>
        <v>0</v>
      </c>
      <c r="G496" s="444">
        <f t="shared" si="49"/>
        <v>0</v>
      </c>
      <c r="H496" s="444">
        <f t="shared" si="49"/>
        <v>0</v>
      </c>
      <c r="I496" s="444">
        <f t="shared" si="49"/>
        <v>0</v>
      </c>
      <c r="J496" s="445"/>
      <c r="K496" s="446">
        <f t="shared" si="45"/>
        <v>0</v>
      </c>
      <c r="L496" s="444">
        <f t="shared" si="49"/>
        <v>0</v>
      </c>
      <c r="M496" s="447">
        <f t="shared" si="46"/>
        <v>0</v>
      </c>
    </row>
    <row r="497" spans="1:13" s="5" customFormat="1" ht="15.95" customHeight="1">
      <c r="A497" s="401" t="s">
        <v>771</v>
      </c>
      <c r="B497" s="401"/>
      <c r="C497" s="400"/>
      <c r="D497" s="444">
        <v>0</v>
      </c>
      <c r="E497" s="445"/>
      <c r="F497" s="444">
        <v>0</v>
      </c>
      <c r="G497" s="444">
        <v>0</v>
      </c>
      <c r="H497" s="444">
        <v>0</v>
      </c>
      <c r="I497" s="444">
        <v>0</v>
      </c>
      <c r="J497" s="445"/>
      <c r="K497" s="446">
        <f t="shared" si="45"/>
        <v>0</v>
      </c>
      <c r="L497" s="447">
        <v>0</v>
      </c>
      <c r="M497" s="447">
        <f t="shared" si="46"/>
        <v>0</v>
      </c>
    </row>
    <row r="498" spans="1:13" s="5" customFormat="1" ht="15.95" customHeight="1">
      <c r="A498" s="401" t="s">
        <v>772</v>
      </c>
      <c r="B498" s="401"/>
      <c r="C498" s="400"/>
      <c r="D498" s="444">
        <v>0</v>
      </c>
      <c r="E498" s="445"/>
      <c r="F498" s="444">
        <v>0</v>
      </c>
      <c r="G498" s="444">
        <v>0</v>
      </c>
      <c r="H498" s="444">
        <v>0</v>
      </c>
      <c r="I498" s="444">
        <v>0</v>
      </c>
      <c r="J498" s="445"/>
      <c r="K498" s="446">
        <f t="shared" si="45"/>
        <v>0</v>
      </c>
      <c r="L498" s="447">
        <v>0</v>
      </c>
      <c r="M498" s="447">
        <f t="shared" si="46"/>
        <v>0</v>
      </c>
    </row>
    <row r="499" spans="1:13" s="5" customFormat="1" ht="15.95" customHeight="1">
      <c r="A499" s="401" t="s">
        <v>773</v>
      </c>
      <c r="B499" s="401"/>
      <c r="C499" s="400"/>
      <c r="D499" s="444">
        <v>0</v>
      </c>
      <c r="E499" s="445"/>
      <c r="F499" s="444">
        <v>0</v>
      </c>
      <c r="G499" s="444">
        <v>0</v>
      </c>
      <c r="H499" s="444">
        <v>0</v>
      </c>
      <c r="I499" s="444">
        <v>0</v>
      </c>
      <c r="J499" s="445"/>
      <c r="K499" s="446">
        <f t="shared" si="45"/>
        <v>0</v>
      </c>
      <c r="L499" s="447">
        <v>0</v>
      </c>
      <c r="M499" s="447">
        <f t="shared" si="46"/>
        <v>0</v>
      </c>
    </row>
    <row r="500" spans="1:13" s="5" customFormat="1" ht="15.95" customHeight="1">
      <c r="A500" s="401" t="s">
        <v>774</v>
      </c>
      <c r="B500" s="401"/>
      <c r="C500" s="400"/>
      <c r="D500" s="444">
        <v>0</v>
      </c>
      <c r="E500" s="445"/>
      <c r="F500" s="444">
        <v>0</v>
      </c>
      <c r="G500" s="444">
        <v>0</v>
      </c>
      <c r="H500" s="444">
        <v>0</v>
      </c>
      <c r="I500" s="444">
        <f>IF('bilans-uspjeha'!AH184&gt;0,'bilans-uspjeha'!AH184,'bilans-uspjeha'!AH185*(-1))+D512</f>
        <v>0</v>
      </c>
      <c r="J500" s="445"/>
      <c r="K500" s="446">
        <f t="shared" si="45"/>
        <v>0</v>
      </c>
      <c r="L500" s="447">
        <v>0</v>
      </c>
      <c r="M500" s="447">
        <f t="shared" si="46"/>
        <v>0</v>
      </c>
    </row>
    <row r="501" spans="1:13" s="5" customFormat="1" ht="15.95" customHeight="1">
      <c r="A501" s="401" t="s">
        <v>775</v>
      </c>
      <c r="B501" s="401"/>
      <c r="C501" s="400"/>
      <c r="D501" s="444">
        <v>0</v>
      </c>
      <c r="E501" s="445"/>
      <c r="F501" s="444">
        <v>0</v>
      </c>
      <c r="G501" s="444">
        <v>0</v>
      </c>
      <c r="H501" s="444">
        <v>0</v>
      </c>
      <c r="I501" s="444">
        <v>0</v>
      </c>
      <c r="J501" s="445"/>
      <c r="K501" s="446">
        <f t="shared" si="45"/>
        <v>0</v>
      </c>
      <c r="L501" s="447">
        <v>0</v>
      </c>
      <c r="M501" s="447">
        <f t="shared" si="46"/>
        <v>0</v>
      </c>
    </row>
    <row r="502" spans="1:13" s="5" customFormat="1" ht="15.95" customHeight="1">
      <c r="A502" s="401" t="s">
        <v>1438</v>
      </c>
      <c r="B502" s="401"/>
      <c r="C502" s="400"/>
      <c r="D502" s="444">
        <v>0</v>
      </c>
      <c r="E502" s="445"/>
      <c r="F502" s="444">
        <v>0</v>
      </c>
      <c r="G502" s="444">
        <v>0</v>
      </c>
      <c r="H502" s="444">
        <v>0</v>
      </c>
      <c r="I502" s="444">
        <v>0</v>
      </c>
      <c r="J502" s="445"/>
      <c r="K502" s="446">
        <f t="shared" si="45"/>
        <v>0</v>
      </c>
      <c r="L502" s="447">
        <v>0</v>
      </c>
      <c r="M502" s="447">
        <f t="shared" si="46"/>
        <v>0</v>
      </c>
    </row>
    <row r="503" spans="1:13" s="5" customFormat="1" ht="15.95" customHeight="1">
      <c r="A503" s="401" t="s">
        <v>2297</v>
      </c>
      <c r="B503" s="401"/>
      <c r="C503" s="400"/>
      <c r="D503" s="444">
        <v>0</v>
      </c>
      <c r="E503" s="445"/>
      <c r="F503" s="444">
        <v>0</v>
      </c>
      <c r="G503" s="444">
        <v>0</v>
      </c>
      <c r="H503" s="444">
        <v>0</v>
      </c>
      <c r="I503" s="444">
        <v>0</v>
      </c>
      <c r="J503" s="445"/>
      <c r="K503" s="446">
        <f t="shared" si="45"/>
        <v>0</v>
      </c>
      <c r="L503" s="447">
        <v>0</v>
      </c>
      <c r="M503" s="447">
        <f t="shared" si="46"/>
        <v>0</v>
      </c>
    </row>
    <row r="504" spans="1:13" s="5" customFormat="1" ht="15.95" customHeight="1">
      <c r="A504" s="403" t="str">
        <f>"23. Stanje na dan "&amp;ObracunDoDatuma&amp;ObracunGodina&amp;". godine"</f>
        <v>23. Stanje na dan 31.12.2011. godine</v>
      </c>
      <c r="B504" s="403"/>
      <c r="C504" s="400"/>
      <c r="D504" s="444">
        <f t="shared" ref="D504:L504" si="50">SUM(D496:D503)</f>
        <v>0</v>
      </c>
      <c r="E504" s="445"/>
      <c r="F504" s="444">
        <f t="shared" si="50"/>
        <v>0</v>
      </c>
      <c r="G504" s="444">
        <f t="shared" si="50"/>
        <v>0</v>
      </c>
      <c r="H504" s="444">
        <f t="shared" si="50"/>
        <v>0</v>
      </c>
      <c r="I504" s="444">
        <f t="shared" si="50"/>
        <v>0</v>
      </c>
      <c r="J504" s="445"/>
      <c r="K504" s="446">
        <f t="shared" si="45"/>
        <v>0</v>
      </c>
      <c r="L504" s="444">
        <f t="shared" si="50"/>
        <v>0</v>
      </c>
      <c r="M504" s="447">
        <f t="shared" si="46"/>
        <v>0</v>
      </c>
    </row>
    <row r="505" spans="1:13" s="5" customFormat="1" ht="20.100000000000001" customHeight="1">
      <c r="A505" s="144"/>
      <c r="B505" s="144"/>
      <c r="C505" s="148"/>
      <c r="D505" s="148"/>
      <c r="E505" s="142"/>
      <c r="F505" s="148"/>
      <c r="G505" s="148"/>
    </row>
    <row r="506" spans="1:13" s="5" customFormat="1" ht="20.100000000000001" customHeight="1">
      <c r="A506" s="144"/>
      <c r="B506" s="144"/>
      <c r="C506" s="148"/>
      <c r="D506" s="148"/>
      <c r="E506" s="142"/>
      <c r="F506" s="148"/>
      <c r="G506" s="148"/>
    </row>
    <row r="507" spans="1:13" s="5" customFormat="1" ht="20.100000000000001" customHeight="1">
      <c r="A507" s="411" t="s">
        <v>2221</v>
      </c>
      <c r="B507" s="413"/>
      <c r="C507" s="395"/>
      <c r="D507" s="395"/>
      <c r="E507" s="395"/>
      <c r="F507" s="395"/>
      <c r="G507" s="395"/>
    </row>
    <row r="508" spans="1:13" s="5" customFormat="1" ht="20.100000000000001" customHeight="1">
      <c r="A508" s="149"/>
      <c r="B508" s="149"/>
      <c r="C508" s="143"/>
      <c r="D508" s="143"/>
      <c r="E508" s="142"/>
      <c r="F508" s="148"/>
      <c r="G508" s="148"/>
    </row>
    <row r="509" spans="1:13" s="5" customFormat="1" ht="20.100000000000001" customHeight="1">
      <c r="A509" s="152" t="s">
        <v>860</v>
      </c>
      <c r="B509" s="441"/>
      <c r="C509" s="441"/>
      <c r="D509" s="441">
        <f>'bilans-stanja'!AH106-'bilans-stanja'!AN97</f>
        <v>0</v>
      </c>
      <c r="E509" s="142"/>
      <c r="F509" s="148"/>
      <c r="G509" s="148"/>
    </row>
    <row r="510" spans="1:13" s="5" customFormat="1" ht="20.100000000000001" customHeight="1">
      <c r="A510" s="152" t="s">
        <v>861</v>
      </c>
      <c r="B510" s="441"/>
      <c r="C510" s="441"/>
      <c r="D510" s="441">
        <f>PROM.KAP2.!AX26</f>
        <v>0</v>
      </c>
      <c r="E510" s="142"/>
      <c r="F510" s="148"/>
      <c r="G510" s="148"/>
    </row>
    <row r="511" spans="1:13" s="5" customFormat="1" ht="20.100000000000001" customHeight="1">
      <c r="A511" s="152" t="s">
        <v>862</v>
      </c>
      <c r="B511" s="426">
        <v>0</v>
      </c>
      <c r="C511" s="441">
        <f>IF(D509-D510&lt;&gt;0,"GRESKA",D509-D510)</f>
        <v>0</v>
      </c>
      <c r="D511" s="441">
        <f>D509-D510</f>
        <v>0</v>
      </c>
      <c r="E511" s="142"/>
      <c r="F511" s="148"/>
      <c r="G511" s="148"/>
    </row>
    <row r="512" spans="1:13" s="5" customFormat="1" ht="20.100000000000001" customHeight="1">
      <c r="A512" s="149"/>
      <c r="B512" s="426"/>
      <c r="C512" s="426" t="s">
        <v>1134</v>
      </c>
      <c r="D512" s="441">
        <v>0</v>
      </c>
      <c r="E512" s="142"/>
      <c r="F512" s="148"/>
      <c r="G512" s="148"/>
    </row>
    <row r="513" spans="1:12" s="5" customFormat="1" ht="20.100000000000001" customHeight="1">
      <c r="A513" s="394"/>
      <c r="B513" s="394"/>
      <c r="C513" s="394"/>
      <c r="D513" s="394"/>
      <c r="E513" s="394"/>
      <c r="F513" s="394"/>
      <c r="G513" s="394"/>
    </row>
    <row r="514" spans="1:12" s="5" customFormat="1" ht="20.100000000000001" customHeight="1">
      <c r="A514" s="149"/>
      <c r="B514" s="149"/>
      <c r="C514" s="1322" t="s">
        <v>1793</v>
      </c>
      <c r="D514" s="1322"/>
      <c r="E514" s="1322"/>
      <c r="F514" s="1322"/>
      <c r="G514" s="143"/>
    </row>
    <row r="515" spans="1:12" s="5" customFormat="1" ht="20.100000000000001" customHeight="1">
      <c r="A515" s="149"/>
      <c r="B515" s="149"/>
      <c r="C515" s="1322"/>
      <c r="D515" s="1322"/>
      <c r="E515" s="1322"/>
      <c r="F515" s="1322"/>
      <c r="G515" s="143"/>
    </row>
    <row r="516" spans="1:12" s="5" customFormat="1" ht="20.100000000000001" customHeight="1">
      <c r="A516" s="149"/>
      <c r="B516" s="149"/>
      <c r="C516" s="143"/>
      <c r="D516" s="143"/>
      <c r="E516" s="136"/>
      <c r="F516" s="143"/>
      <c r="G516" s="143"/>
    </row>
    <row r="517" spans="1:12" s="5" customFormat="1" ht="20.100000000000001" customHeight="1">
      <c r="A517" s="172" t="s">
        <v>261</v>
      </c>
      <c r="B517" s="172"/>
      <c r="C517" s="143"/>
      <c r="D517" s="143"/>
      <c r="E517" s="136"/>
      <c r="F517" s="143"/>
      <c r="G517" s="143"/>
    </row>
    <row r="518" spans="1:12" s="5" customFormat="1" ht="20.100000000000001" customHeight="1">
      <c r="A518" s="393" t="s">
        <v>259</v>
      </c>
      <c r="B518" s="393"/>
      <c r="C518" s="393"/>
      <c r="D518" s="393"/>
      <c r="E518" s="393"/>
      <c r="F518" s="393"/>
      <c r="G518" s="393"/>
    </row>
    <row r="519" spans="1:12" s="5" customFormat="1" ht="20.100000000000001" customHeight="1">
      <c r="A519" s="393" t="s">
        <v>260</v>
      </c>
      <c r="B519" s="393"/>
      <c r="C519" s="393"/>
      <c r="D519" s="393"/>
      <c r="E519" s="393"/>
      <c r="F519" s="393"/>
      <c r="G519" s="393"/>
    </row>
    <row r="520" spans="1:12" s="136" customFormat="1" ht="18">
      <c r="A520" s="393" t="s">
        <v>1024</v>
      </c>
      <c r="B520" s="393"/>
      <c r="C520" s="393"/>
      <c r="D520" s="393"/>
      <c r="E520" s="393"/>
      <c r="F520" s="393"/>
      <c r="G520" s="393"/>
      <c r="H520" s="142"/>
      <c r="I520" s="142"/>
      <c r="J520" s="142"/>
      <c r="K520" s="142"/>
      <c r="L520" s="142"/>
    </row>
    <row r="521" spans="1:12" s="136" customFormat="1" ht="18">
      <c r="A521" s="392" t="s">
        <v>1493</v>
      </c>
      <c r="B521" s="392"/>
      <c r="C521" s="392"/>
      <c r="D521" s="392"/>
      <c r="E521" s="392"/>
      <c r="F521" s="392"/>
      <c r="G521" s="392"/>
      <c r="H521" s="142"/>
      <c r="I521" s="142"/>
      <c r="J521" s="142"/>
      <c r="K521" s="142"/>
      <c r="L521" s="142"/>
    </row>
    <row r="522" spans="1:12" s="136" customFormat="1" ht="18">
      <c r="A522" s="392" t="s">
        <v>1494</v>
      </c>
      <c r="B522" s="392"/>
      <c r="C522" s="392"/>
      <c r="D522" s="392"/>
      <c r="E522" s="392"/>
      <c r="F522" s="392"/>
      <c r="G522" s="392"/>
      <c r="H522" s="119"/>
      <c r="L522" s="142"/>
    </row>
    <row r="523" spans="1:12" s="136" customFormat="1" ht="18">
      <c r="A523" s="392" t="s">
        <v>1495</v>
      </c>
      <c r="B523" s="392"/>
      <c r="C523" s="392"/>
      <c r="D523" s="392"/>
      <c r="E523" s="392"/>
      <c r="F523" s="392"/>
      <c r="G523" s="392"/>
      <c r="H523" s="142"/>
    </row>
    <row r="524" spans="1:12" s="136" customFormat="1">
      <c r="A524" s="149"/>
      <c r="B524" s="149"/>
      <c r="C524" s="143"/>
      <c r="D524" s="143"/>
      <c r="F524" s="143"/>
      <c r="G524" s="143"/>
      <c r="H524" s="142"/>
    </row>
    <row r="525" spans="1:12" s="136" customFormat="1">
      <c r="A525" s="149"/>
      <c r="B525" s="149"/>
      <c r="C525" s="143"/>
      <c r="D525" s="143"/>
      <c r="F525" s="143"/>
      <c r="G525" s="143"/>
      <c r="H525" s="142"/>
    </row>
    <row r="526" spans="1:12" s="136" customFormat="1">
      <c r="A526" s="149"/>
      <c r="B526" s="149"/>
      <c r="C526" s="143"/>
      <c r="D526" s="143"/>
      <c r="F526" s="143"/>
      <c r="G526" s="143"/>
      <c r="H526" s="142"/>
    </row>
    <row r="527" spans="1:12" s="136" customFormat="1">
      <c r="A527" s="149"/>
      <c r="B527" s="149"/>
      <c r="C527" s="143"/>
      <c r="D527" s="143"/>
      <c r="F527" s="143"/>
      <c r="G527" s="143"/>
      <c r="H527" s="142"/>
    </row>
    <row r="528" spans="1:12" s="171" customFormat="1" ht="73.5" customHeight="1">
      <c r="A528" s="149"/>
      <c r="B528" s="149"/>
      <c r="C528" s="143"/>
      <c r="D528" s="143"/>
      <c r="E528" s="136"/>
      <c r="F528" s="143"/>
      <c r="G528" s="143"/>
      <c r="H528" s="394"/>
    </row>
    <row r="529" spans="1:9" s="136" customFormat="1" ht="33.75" customHeight="1">
      <c r="A529" s="149"/>
      <c r="B529" s="149"/>
      <c r="C529" s="143"/>
      <c r="D529" s="143"/>
      <c r="F529" s="143"/>
      <c r="G529" s="143"/>
    </row>
    <row r="530" spans="1:9" s="136" customFormat="1" ht="33.75" customHeight="1">
      <c r="A530" s="149"/>
      <c r="B530" s="149"/>
      <c r="C530" s="143"/>
      <c r="D530" s="143"/>
      <c r="F530" s="143"/>
      <c r="G530" s="143"/>
    </row>
    <row r="531" spans="1:9" s="136" customFormat="1">
      <c r="A531" s="149"/>
      <c r="B531" s="149"/>
      <c r="C531" s="143"/>
      <c r="D531" s="143"/>
      <c r="F531" s="143"/>
      <c r="G531" s="143"/>
    </row>
    <row r="532" spans="1:9" s="136" customFormat="1">
      <c r="A532" s="149"/>
      <c r="B532" s="149"/>
      <c r="C532" s="143"/>
      <c r="D532" s="143"/>
      <c r="F532" s="143"/>
      <c r="G532" s="143"/>
    </row>
    <row r="533" spans="1:9" s="173" customFormat="1" ht="18">
      <c r="A533" s="149"/>
      <c r="B533" s="149"/>
      <c r="C533" s="143"/>
      <c r="D533" s="143"/>
      <c r="E533" s="136"/>
      <c r="F533" s="143"/>
      <c r="G533" s="143"/>
      <c r="H533" s="393"/>
      <c r="I533" s="393"/>
    </row>
    <row r="534" spans="1:9" s="173" customFormat="1" ht="18">
      <c r="A534" s="149"/>
      <c r="B534" s="149"/>
      <c r="C534" s="143"/>
      <c r="D534" s="143"/>
      <c r="E534" s="136"/>
      <c r="F534" s="143"/>
      <c r="G534" s="143"/>
      <c r="H534" s="393"/>
      <c r="I534" s="393"/>
    </row>
    <row r="535" spans="1:9" s="173" customFormat="1" ht="18">
      <c r="A535" s="149"/>
      <c r="B535" s="149"/>
      <c r="C535" s="143"/>
      <c r="D535" s="143"/>
      <c r="E535" s="136"/>
      <c r="F535" s="143"/>
      <c r="G535" s="143"/>
      <c r="H535" s="393"/>
      <c r="I535" s="393"/>
    </row>
    <row r="536" spans="1:9" s="174" customFormat="1" ht="18">
      <c r="A536" s="149"/>
      <c r="B536" s="149"/>
      <c r="C536" s="143"/>
      <c r="D536" s="143"/>
      <c r="E536" s="136"/>
      <c r="F536" s="143"/>
      <c r="G536" s="143"/>
      <c r="H536" s="392"/>
      <c r="I536" s="392"/>
    </row>
    <row r="537" spans="1:9" s="174" customFormat="1" ht="18">
      <c r="A537" s="149"/>
      <c r="B537" s="149"/>
      <c r="C537" s="143"/>
      <c r="D537" s="143"/>
      <c r="E537" s="136"/>
      <c r="F537" s="143"/>
      <c r="G537" s="143"/>
      <c r="H537" s="392"/>
      <c r="I537" s="392"/>
    </row>
    <row r="538" spans="1:9" s="174" customFormat="1" ht="18">
      <c r="A538" s="149"/>
      <c r="B538" s="149"/>
      <c r="C538" s="143"/>
      <c r="D538" s="143"/>
      <c r="E538" s="136"/>
      <c r="F538" s="143"/>
      <c r="G538" s="143"/>
      <c r="H538" s="392"/>
      <c r="I538" s="392"/>
    </row>
    <row r="539" spans="1:9" s="136" customFormat="1">
      <c r="A539" s="149"/>
      <c r="B539" s="149"/>
      <c r="C539" s="143"/>
      <c r="D539" s="143"/>
      <c r="F539" s="143"/>
      <c r="G539" s="143"/>
    </row>
    <row r="540" spans="1:9" s="136" customFormat="1">
      <c r="A540" s="149"/>
      <c r="B540" s="149"/>
      <c r="C540" s="143"/>
      <c r="D540" s="143"/>
      <c r="F540" s="143"/>
      <c r="G540" s="143"/>
    </row>
    <row r="541" spans="1:9" s="136" customFormat="1">
      <c r="A541" s="149"/>
      <c r="B541" s="149"/>
      <c r="C541" s="143"/>
      <c r="D541" s="143"/>
      <c r="F541" s="143"/>
      <c r="G541" s="143"/>
    </row>
    <row r="542" spans="1:9" s="136" customFormat="1">
      <c r="A542" s="149"/>
      <c r="B542" s="149"/>
      <c r="C542" s="143"/>
      <c r="D542" s="143"/>
      <c r="F542" s="143"/>
      <c r="G542" s="143"/>
    </row>
    <row r="543" spans="1:9" s="136" customFormat="1">
      <c r="A543" s="149"/>
      <c r="B543" s="149"/>
      <c r="C543" s="143"/>
      <c r="D543" s="143"/>
      <c r="F543" s="143"/>
      <c r="G543" s="143"/>
    </row>
    <row r="544" spans="1:9" s="136" customFormat="1">
      <c r="A544" s="149"/>
      <c r="B544" s="149"/>
      <c r="C544" s="143"/>
      <c r="D544" s="143"/>
      <c r="F544" s="143"/>
      <c r="G544" s="143"/>
    </row>
    <row r="545" spans="1:7" s="136" customFormat="1">
      <c r="A545" s="149"/>
      <c r="B545" s="149"/>
      <c r="C545" s="143"/>
      <c r="D545" s="143"/>
      <c r="F545" s="143"/>
      <c r="G545" s="143"/>
    </row>
    <row r="546" spans="1:7" s="136" customFormat="1">
      <c r="A546" s="149"/>
      <c r="B546" s="149"/>
      <c r="C546" s="143"/>
      <c r="D546" s="143"/>
      <c r="F546" s="143"/>
      <c r="G546" s="143"/>
    </row>
    <row r="547" spans="1:7" s="136" customFormat="1">
      <c r="A547" s="149"/>
      <c r="B547" s="149"/>
      <c r="C547" s="143"/>
      <c r="D547" s="143"/>
      <c r="F547" s="143"/>
      <c r="G547" s="143"/>
    </row>
    <row r="548" spans="1:7" s="136" customFormat="1">
      <c r="A548" s="149"/>
      <c r="B548" s="149"/>
      <c r="C548" s="143"/>
      <c r="D548" s="143"/>
      <c r="F548" s="143"/>
      <c r="G548" s="143"/>
    </row>
    <row r="549" spans="1:7" s="136" customFormat="1">
      <c r="A549" s="149"/>
      <c r="B549" s="149"/>
      <c r="C549" s="143"/>
      <c r="D549" s="143"/>
      <c r="F549" s="143"/>
      <c r="G549" s="143"/>
    </row>
    <row r="550" spans="1:7" s="136" customFormat="1">
      <c r="A550" s="149"/>
      <c r="B550" s="149"/>
      <c r="C550" s="143"/>
      <c r="D550" s="143"/>
      <c r="F550" s="143"/>
      <c r="G550" s="143"/>
    </row>
    <row r="551" spans="1:7" s="136" customFormat="1">
      <c r="A551" s="149"/>
      <c r="B551" s="149"/>
      <c r="C551" s="143"/>
      <c r="D551" s="143"/>
      <c r="F551" s="143"/>
      <c r="G551" s="143"/>
    </row>
    <row r="552" spans="1:7" s="136" customFormat="1">
      <c r="A552" s="149"/>
      <c r="B552" s="149"/>
      <c r="C552" s="143"/>
      <c r="D552" s="143"/>
      <c r="F552" s="143"/>
      <c r="G552" s="143"/>
    </row>
    <row r="553" spans="1:7" s="136" customFormat="1">
      <c r="A553" s="149"/>
      <c r="B553" s="149"/>
      <c r="C553" s="143"/>
      <c r="D553" s="143"/>
      <c r="F553" s="143"/>
      <c r="G553" s="143"/>
    </row>
    <row r="554" spans="1:7" s="136" customFormat="1">
      <c r="A554" s="149"/>
      <c r="B554" s="149"/>
      <c r="C554" s="143"/>
      <c r="D554" s="143"/>
      <c r="F554" s="143"/>
      <c r="G554" s="143"/>
    </row>
    <row r="555" spans="1:7" s="136" customFormat="1">
      <c r="A555" s="149"/>
      <c r="B555" s="149"/>
      <c r="C555" s="143"/>
      <c r="D555" s="143"/>
      <c r="F555" s="143"/>
      <c r="G555" s="143"/>
    </row>
    <row r="556" spans="1:7" s="136" customFormat="1">
      <c r="A556" s="149"/>
      <c r="B556" s="149"/>
      <c r="C556" s="143"/>
      <c r="D556" s="143"/>
      <c r="F556" s="143"/>
      <c r="G556" s="143"/>
    </row>
    <row r="557" spans="1:7" s="136" customFormat="1">
      <c r="A557" s="149"/>
      <c r="B557" s="149"/>
      <c r="C557" s="143"/>
      <c r="D557" s="143"/>
      <c r="F557" s="143"/>
      <c r="G557" s="143"/>
    </row>
    <row r="558" spans="1:7" s="136" customFormat="1">
      <c r="A558" s="149"/>
      <c r="B558" s="149"/>
      <c r="C558" s="143"/>
      <c r="D558" s="143"/>
      <c r="F558" s="143"/>
      <c r="G558" s="143"/>
    </row>
    <row r="559" spans="1:7" s="136" customFormat="1">
      <c r="A559" s="149"/>
      <c r="B559" s="149"/>
      <c r="C559" s="143"/>
      <c r="D559" s="143"/>
      <c r="F559" s="143"/>
      <c r="G559" s="143"/>
    </row>
    <row r="560" spans="1:7" s="136" customFormat="1">
      <c r="A560" s="149"/>
      <c r="B560" s="149"/>
      <c r="C560" s="143"/>
      <c r="D560" s="143"/>
      <c r="F560" s="143"/>
      <c r="G560" s="143"/>
    </row>
    <row r="561" spans="1:7" s="136" customFormat="1">
      <c r="A561" s="149"/>
      <c r="B561" s="149"/>
      <c r="C561" s="143"/>
      <c r="D561" s="143"/>
      <c r="F561" s="143"/>
      <c r="G561" s="143"/>
    </row>
    <row r="562" spans="1:7" s="136" customFormat="1">
      <c r="A562" s="149"/>
      <c r="B562" s="149"/>
      <c r="C562" s="143"/>
      <c r="D562" s="143"/>
      <c r="F562" s="143"/>
      <c r="G562" s="143"/>
    </row>
    <row r="563" spans="1:7" s="136" customFormat="1">
      <c r="A563" s="149"/>
      <c r="B563" s="149"/>
      <c r="C563" s="143"/>
      <c r="D563" s="143"/>
      <c r="F563" s="143"/>
      <c r="G563" s="143"/>
    </row>
    <row r="564" spans="1:7" s="136" customFormat="1">
      <c r="A564" s="149"/>
      <c r="B564" s="149"/>
      <c r="C564" s="143"/>
      <c r="D564" s="143"/>
      <c r="F564" s="143"/>
      <c r="G564" s="143"/>
    </row>
    <row r="565" spans="1:7" s="136" customFormat="1">
      <c r="A565" s="149"/>
      <c r="B565" s="149"/>
      <c r="C565" s="143"/>
      <c r="D565" s="143"/>
      <c r="F565" s="143"/>
      <c r="G565" s="143"/>
    </row>
    <row r="566" spans="1:7" s="136" customFormat="1">
      <c r="A566" s="149"/>
      <c r="B566" s="149"/>
      <c r="C566" s="143"/>
      <c r="D566" s="143"/>
      <c r="F566" s="143"/>
      <c r="G566" s="143"/>
    </row>
    <row r="567" spans="1:7" s="136" customFormat="1">
      <c r="A567" s="149"/>
      <c r="B567" s="149"/>
      <c r="C567" s="143"/>
      <c r="D567" s="143"/>
      <c r="F567" s="143"/>
      <c r="G567" s="143"/>
    </row>
    <row r="568" spans="1:7" s="136" customFormat="1">
      <c r="A568" s="149"/>
      <c r="B568" s="149"/>
      <c r="C568" s="143"/>
      <c r="D568" s="143"/>
      <c r="F568" s="143"/>
      <c r="G568" s="143"/>
    </row>
    <row r="569" spans="1:7" s="136" customFormat="1">
      <c r="A569" s="149"/>
      <c r="B569" s="149"/>
      <c r="C569" s="143"/>
      <c r="D569" s="143"/>
      <c r="F569" s="143"/>
      <c r="G569" s="143"/>
    </row>
    <row r="570" spans="1:7" s="136" customFormat="1">
      <c r="A570" s="149"/>
      <c r="B570" s="149"/>
      <c r="C570" s="143"/>
      <c r="D570" s="143"/>
      <c r="F570" s="143"/>
      <c r="G570" s="143"/>
    </row>
    <row r="571" spans="1:7" s="136" customFormat="1">
      <c r="A571" s="149"/>
      <c r="B571" s="149"/>
      <c r="C571" s="143"/>
      <c r="D571" s="143"/>
      <c r="F571" s="143"/>
      <c r="G571" s="143"/>
    </row>
    <row r="572" spans="1:7" s="136" customFormat="1">
      <c r="A572" s="149"/>
      <c r="B572" s="149"/>
      <c r="C572" s="143"/>
      <c r="D572" s="143"/>
      <c r="F572" s="143"/>
      <c r="G572" s="143"/>
    </row>
    <row r="573" spans="1:7" s="136" customFormat="1">
      <c r="A573" s="149"/>
      <c r="B573" s="149"/>
      <c r="C573" s="143"/>
      <c r="D573" s="143"/>
      <c r="F573" s="143"/>
      <c r="G573" s="143"/>
    </row>
    <row r="574" spans="1:7" s="136" customFormat="1">
      <c r="A574" s="149"/>
      <c r="B574" s="149"/>
      <c r="C574" s="143"/>
      <c r="D574" s="143"/>
      <c r="F574" s="143"/>
      <c r="G574" s="143"/>
    </row>
    <row r="575" spans="1:7" s="136" customFormat="1">
      <c r="A575" s="149"/>
      <c r="B575" s="149"/>
      <c r="C575" s="143"/>
      <c r="D575" s="143"/>
      <c r="F575" s="143"/>
      <c r="G575" s="143"/>
    </row>
    <row r="576" spans="1:7" s="136" customFormat="1">
      <c r="A576" s="149"/>
      <c r="B576" s="149"/>
      <c r="C576" s="143"/>
      <c r="D576" s="143"/>
      <c r="F576" s="143"/>
      <c r="G576" s="143"/>
    </row>
    <row r="577" spans="1:7" s="136" customFormat="1">
      <c r="A577" s="149"/>
      <c r="B577" s="149"/>
      <c r="C577" s="143"/>
      <c r="D577" s="143"/>
      <c r="F577" s="143"/>
      <c r="G577" s="143"/>
    </row>
    <row r="578" spans="1:7" s="136" customFormat="1">
      <c r="A578" s="149"/>
      <c r="B578" s="149"/>
      <c r="C578" s="143"/>
      <c r="D578" s="143"/>
      <c r="F578" s="143"/>
      <c r="G578" s="143"/>
    </row>
    <row r="579" spans="1:7" s="136" customFormat="1">
      <c r="A579" s="149"/>
      <c r="B579" s="149"/>
      <c r="C579" s="143"/>
      <c r="D579" s="143"/>
      <c r="F579" s="143"/>
      <c r="G579" s="143"/>
    </row>
    <row r="580" spans="1:7" s="136" customFormat="1">
      <c r="A580" s="149"/>
      <c r="B580" s="149"/>
      <c r="C580" s="143"/>
      <c r="D580" s="143"/>
      <c r="F580" s="143"/>
      <c r="G580" s="143"/>
    </row>
    <row r="581" spans="1:7" s="136" customFormat="1">
      <c r="A581" s="149"/>
      <c r="B581" s="149"/>
      <c r="C581" s="143"/>
      <c r="D581" s="143"/>
      <c r="F581" s="143"/>
      <c r="G581" s="143"/>
    </row>
    <row r="582" spans="1:7" s="136" customFormat="1">
      <c r="A582" s="149"/>
      <c r="B582" s="149"/>
      <c r="C582" s="143"/>
      <c r="D582" s="143"/>
      <c r="F582" s="143"/>
      <c r="G582" s="143"/>
    </row>
    <row r="583" spans="1:7" s="136" customFormat="1">
      <c r="A583" s="149"/>
      <c r="B583" s="149"/>
      <c r="C583" s="143"/>
      <c r="D583" s="143"/>
      <c r="F583" s="143"/>
      <c r="G583" s="143"/>
    </row>
    <row r="584" spans="1:7" s="136" customFormat="1">
      <c r="A584" s="149"/>
      <c r="B584" s="149"/>
      <c r="C584" s="143"/>
      <c r="D584" s="143"/>
      <c r="F584" s="143"/>
      <c r="G584" s="143"/>
    </row>
    <row r="585" spans="1:7" s="136" customFormat="1">
      <c r="A585" s="149"/>
      <c r="B585" s="149"/>
      <c r="C585" s="143"/>
      <c r="D585" s="143"/>
      <c r="F585" s="143"/>
      <c r="G585" s="143"/>
    </row>
    <row r="586" spans="1:7" s="136" customFormat="1">
      <c r="A586" s="149"/>
      <c r="B586" s="149"/>
      <c r="C586" s="143"/>
      <c r="D586" s="143"/>
      <c r="F586" s="143"/>
      <c r="G586" s="143"/>
    </row>
    <row r="587" spans="1:7" s="136" customFormat="1">
      <c r="A587" s="149"/>
      <c r="B587" s="149"/>
      <c r="C587" s="143"/>
      <c r="D587" s="143"/>
      <c r="F587" s="143"/>
      <c r="G587" s="143"/>
    </row>
    <row r="588" spans="1:7" s="136" customFormat="1">
      <c r="A588" s="149"/>
      <c r="B588" s="149"/>
      <c r="C588" s="143"/>
      <c r="D588" s="143"/>
      <c r="F588" s="143"/>
      <c r="G588" s="143"/>
    </row>
    <row r="589" spans="1:7" s="136" customFormat="1">
      <c r="A589" s="149"/>
      <c r="B589" s="149"/>
      <c r="C589" s="143"/>
      <c r="D589" s="143"/>
      <c r="F589" s="143"/>
      <c r="G589" s="143"/>
    </row>
    <row r="590" spans="1:7" s="136" customFormat="1">
      <c r="A590" s="149"/>
      <c r="B590" s="149"/>
      <c r="C590" s="143"/>
      <c r="D590" s="143"/>
      <c r="F590" s="143"/>
      <c r="G590" s="143"/>
    </row>
    <row r="591" spans="1:7" s="136" customFormat="1">
      <c r="A591" s="149"/>
      <c r="B591" s="149"/>
      <c r="C591" s="143"/>
      <c r="D591" s="143"/>
      <c r="F591" s="143"/>
      <c r="G591" s="143"/>
    </row>
    <row r="592" spans="1:7" s="136" customFormat="1">
      <c r="A592" s="149"/>
      <c r="B592" s="149"/>
      <c r="C592" s="143"/>
      <c r="D592" s="143"/>
      <c r="F592" s="143"/>
      <c r="G592" s="143"/>
    </row>
    <row r="593" spans="1:7" s="136" customFormat="1">
      <c r="A593" s="149"/>
      <c r="B593" s="149"/>
      <c r="C593" s="143"/>
      <c r="D593" s="143"/>
      <c r="F593" s="143"/>
      <c r="G593" s="143"/>
    </row>
    <row r="594" spans="1:7" s="136" customFormat="1">
      <c r="A594" s="149"/>
      <c r="B594" s="149"/>
      <c r="C594" s="143"/>
      <c r="D594" s="143"/>
      <c r="F594" s="143"/>
      <c r="G594" s="143"/>
    </row>
    <row r="595" spans="1:7" s="136" customFormat="1">
      <c r="A595" s="149"/>
      <c r="B595" s="149"/>
      <c r="C595" s="143"/>
      <c r="D595" s="143"/>
      <c r="F595" s="143"/>
      <c r="G595" s="143"/>
    </row>
    <row r="596" spans="1:7" s="136" customFormat="1">
      <c r="A596" s="12"/>
      <c r="B596" s="12"/>
      <c r="C596" s="10"/>
      <c r="D596" s="10"/>
      <c r="E596" s="11"/>
      <c r="F596" s="10"/>
      <c r="G596" s="10"/>
    </row>
    <row r="597" spans="1:7" s="136" customFormat="1">
      <c r="A597" s="12"/>
      <c r="B597" s="12"/>
      <c r="C597" s="10"/>
      <c r="D597" s="10"/>
      <c r="E597" s="11"/>
      <c r="F597" s="10"/>
      <c r="G597" s="10"/>
    </row>
    <row r="598" spans="1:7" s="136" customFormat="1">
      <c r="A598" s="12"/>
      <c r="B598" s="12"/>
      <c r="C598" s="10"/>
      <c r="D598" s="10"/>
      <c r="E598" s="11"/>
      <c r="F598" s="10"/>
      <c r="G598" s="10"/>
    </row>
    <row r="599" spans="1:7" s="136" customFormat="1">
      <c r="A599" s="12"/>
      <c r="B599" s="12"/>
      <c r="C599" s="10"/>
      <c r="D599" s="10"/>
      <c r="E599" s="11"/>
      <c r="F599" s="10"/>
      <c r="G599" s="10"/>
    </row>
    <row r="600" spans="1:7" s="136" customFormat="1">
      <c r="A600" s="12"/>
      <c r="B600" s="12"/>
      <c r="C600" s="10"/>
      <c r="D600" s="10"/>
      <c r="E600" s="11"/>
      <c r="F600" s="10"/>
      <c r="G600" s="10"/>
    </row>
    <row r="601" spans="1:7" s="136" customFormat="1">
      <c r="A601" s="12"/>
      <c r="B601" s="12"/>
      <c r="C601" s="10"/>
      <c r="D601" s="10"/>
      <c r="E601" s="11"/>
      <c r="F601" s="10"/>
      <c r="G601" s="10"/>
    </row>
    <row r="602" spans="1:7" s="136" customFormat="1">
      <c r="A602" s="12"/>
      <c r="B602" s="12"/>
      <c r="C602" s="10"/>
      <c r="D602" s="10"/>
      <c r="E602" s="11"/>
      <c r="F602" s="10"/>
      <c r="G602" s="10"/>
    </row>
    <row r="603" spans="1:7" s="136" customFormat="1">
      <c r="A603" s="12"/>
      <c r="B603" s="12"/>
      <c r="C603" s="10"/>
      <c r="D603" s="10"/>
      <c r="E603" s="11"/>
      <c r="F603" s="10"/>
      <c r="G603" s="10"/>
    </row>
    <row r="604" spans="1:7" s="136" customFormat="1">
      <c r="A604" s="12"/>
      <c r="B604" s="12"/>
      <c r="C604" s="10"/>
      <c r="D604" s="10"/>
      <c r="E604" s="11"/>
      <c r="F604" s="10"/>
      <c r="G604" s="10"/>
    </row>
    <row r="605" spans="1:7" s="136" customFormat="1">
      <c r="A605" s="12"/>
      <c r="B605" s="12"/>
      <c r="C605" s="10"/>
      <c r="D605" s="10"/>
      <c r="E605" s="11"/>
      <c r="F605" s="10"/>
      <c r="G605" s="10"/>
    </row>
    <row r="606" spans="1:7" s="136" customFormat="1">
      <c r="A606" s="12"/>
      <c r="B606" s="12"/>
      <c r="C606" s="10"/>
      <c r="D606" s="10"/>
      <c r="E606" s="11"/>
      <c r="F606" s="10"/>
      <c r="G606" s="10"/>
    </row>
    <row r="607" spans="1:7" s="136" customFormat="1">
      <c r="A607" s="12"/>
      <c r="B607" s="12"/>
      <c r="C607" s="10"/>
      <c r="D607" s="10"/>
      <c r="E607" s="11"/>
      <c r="F607" s="10"/>
      <c r="G607" s="10"/>
    </row>
    <row r="608" spans="1:7" s="136" customFormat="1">
      <c r="A608" s="12"/>
      <c r="B608" s="12"/>
      <c r="C608" s="10"/>
      <c r="D608" s="10"/>
      <c r="E608" s="11"/>
      <c r="F608" s="10"/>
      <c r="G608" s="10"/>
    </row>
    <row r="609" spans="1:7" s="136" customFormat="1">
      <c r="A609" s="12"/>
      <c r="B609" s="12"/>
      <c r="C609" s="10"/>
      <c r="D609" s="10"/>
      <c r="E609" s="11"/>
      <c r="F609" s="10"/>
      <c r="G609" s="10"/>
    </row>
    <row r="610" spans="1:7" s="136" customFormat="1">
      <c r="A610" s="12"/>
      <c r="B610" s="12"/>
      <c r="C610" s="10"/>
      <c r="D610" s="10"/>
      <c r="E610" s="11"/>
      <c r="F610" s="10"/>
      <c r="G610" s="10"/>
    </row>
  </sheetData>
  <mergeCells count="17">
    <mergeCell ref="J123:L128"/>
    <mergeCell ref="J121:L122"/>
    <mergeCell ref="H161:J162"/>
    <mergeCell ref="A429:F429"/>
    <mergeCell ref="C514:F515"/>
    <mergeCell ref="A480:C480"/>
    <mergeCell ref="F169:G169"/>
    <mergeCell ref="C169:D169"/>
    <mergeCell ref="A478:D479"/>
    <mergeCell ref="A481:C481"/>
    <mergeCell ref="I345:M345"/>
    <mergeCell ref="I346:M346"/>
    <mergeCell ref="A1:G1"/>
    <mergeCell ref="B2:D2"/>
    <mergeCell ref="B164:C165"/>
    <mergeCell ref="A168:G168"/>
    <mergeCell ref="H127:H138"/>
  </mergeCells>
  <phoneticPr fontId="0" type="noConversion"/>
  <pageMargins left="0.31" right="0.26" top="0.3" bottom="0.33" header="0.25" footer="0.2"/>
  <pageSetup paperSize="9" scale="85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46"/>
  </sheetPr>
  <dimension ref="A1:AJ169"/>
  <sheetViews>
    <sheetView showGridLines="0" workbookViewId="0">
      <selection activeCell="AP140" sqref="AP140"/>
    </sheetView>
  </sheetViews>
  <sheetFormatPr defaultColWidth="4.140625" defaultRowHeight="15.75"/>
  <cols>
    <col min="1" max="1" width="2.140625" style="569" customWidth="1"/>
    <col min="2" max="2" width="6.42578125" style="575" customWidth="1"/>
    <col min="3" max="14" width="4.140625" style="569" customWidth="1"/>
    <col min="15" max="17" width="3.42578125" style="575" customWidth="1"/>
    <col min="18" max="21" width="4.5703125" style="594" customWidth="1"/>
    <col min="22" max="25" width="4.140625" style="740" customWidth="1"/>
    <col min="26" max="16384" width="4.140625" style="569"/>
  </cols>
  <sheetData>
    <row r="1" spans="2:25" ht="31.5" customHeight="1" thickBot="1">
      <c r="B1" s="1336" t="s">
        <v>1962</v>
      </c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</row>
    <row r="2" spans="2:25" s="440" customFormat="1" ht="15" customHeight="1">
      <c r="B2" s="604" t="s">
        <v>2313</v>
      </c>
      <c r="C2" s="585" t="s">
        <v>1261</v>
      </c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86"/>
      <c r="O2" s="584"/>
      <c r="P2" s="584"/>
      <c r="Q2" s="584"/>
      <c r="R2" s="1407" t="s">
        <v>1963</v>
      </c>
      <c r="S2" s="1407"/>
      <c r="T2" s="1407"/>
      <c r="U2" s="1408"/>
      <c r="V2" s="741"/>
      <c r="W2" s="741"/>
      <c r="X2" s="741"/>
      <c r="Y2" s="741"/>
    </row>
    <row r="3" spans="2:25" s="440" customFormat="1" ht="13.5" customHeight="1">
      <c r="B3" s="1409" t="s">
        <v>294</v>
      </c>
      <c r="C3" s="587" t="s">
        <v>1262</v>
      </c>
      <c r="D3" s="588"/>
      <c r="E3" s="588"/>
      <c r="F3" s="588"/>
      <c r="G3" s="588"/>
      <c r="H3" s="588"/>
      <c r="I3" s="588"/>
      <c r="J3" s="588"/>
      <c r="K3" s="588"/>
      <c r="L3" s="588"/>
      <c r="M3" s="588"/>
      <c r="N3" s="589"/>
      <c r="O3" s="1411"/>
      <c r="P3" s="1411"/>
      <c r="Q3" s="1411"/>
      <c r="R3" s="1413"/>
      <c r="S3" s="1413"/>
      <c r="T3" s="1413"/>
      <c r="U3" s="1414"/>
      <c r="V3" s="741"/>
      <c r="W3" s="741"/>
      <c r="X3" s="741"/>
      <c r="Y3" s="741"/>
    </row>
    <row r="4" spans="2:25" s="440" customFormat="1" ht="13.5" customHeight="1">
      <c r="B4" s="1410"/>
      <c r="C4" s="590" t="s">
        <v>1263</v>
      </c>
      <c r="D4" s="567"/>
      <c r="E4" s="567"/>
      <c r="F4" s="567"/>
      <c r="G4" s="567"/>
      <c r="H4" s="567"/>
      <c r="I4" s="567"/>
      <c r="J4" s="567"/>
      <c r="K4" s="567"/>
      <c r="L4" s="567"/>
      <c r="M4" s="567"/>
      <c r="N4" s="591"/>
      <c r="O4" s="1412"/>
      <c r="P4" s="1412"/>
      <c r="Q4" s="1412"/>
      <c r="R4" s="1415"/>
      <c r="S4" s="1415"/>
      <c r="T4" s="1415"/>
      <c r="U4" s="1416"/>
      <c r="V4" s="741"/>
      <c r="W4" s="741"/>
      <c r="X4" s="741"/>
      <c r="Y4" s="741"/>
    </row>
    <row r="5" spans="2:25" ht="15.75" customHeight="1" thickBot="1">
      <c r="B5" s="606" t="s">
        <v>673</v>
      </c>
      <c r="C5" s="570" t="s">
        <v>383</v>
      </c>
      <c r="D5" s="571"/>
      <c r="E5" s="571"/>
      <c r="F5" s="571"/>
      <c r="G5" s="571"/>
      <c r="H5" s="571"/>
      <c r="I5" s="571"/>
      <c r="J5" s="571"/>
      <c r="K5" s="571"/>
      <c r="L5" s="571"/>
      <c r="M5" s="571"/>
      <c r="N5" s="572"/>
      <c r="O5" s="573">
        <v>0</v>
      </c>
      <c r="P5" s="573">
        <v>0</v>
      </c>
      <c r="Q5" s="573">
        <v>1</v>
      </c>
      <c r="R5" s="1422">
        <f>unos!G127</f>
        <v>0</v>
      </c>
      <c r="S5" s="1423"/>
      <c r="T5" s="1423"/>
      <c r="U5" s="1424"/>
    </row>
    <row r="6" spans="2:25" ht="15.75" customHeight="1" thickBot="1">
      <c r="B6" s="606" t="s">
        <v>674</v>
      </c>
      <c r="C6" s="570" t="s">
        <v>340</v>
      </c>
      <c r="D6" s="571"/>
      <c r="E6" s="571"/>
      <c r="F6" s="571"/>
      <c r="G6" s="571"/>
      <c r="H6" s="571"/>
      <c r="I6" s="571"/>
      <c r="J6" s="571"/>
      <c r="K6" s="571"/>
      <c r="L6" s="571"/>
      <c r="M6" s="571"/>
      <c r="N6" s="572"/>
      <c r="O6" s="573">
        <v>0</v>
      </c>
      <c r="P6" s="573">
        <v>0</v>
      </c>
      <c r="Q6" s="573">
        <v>2</v>
      </c>
      <c r="R6" s="826" t="s">
        <v>1145</v>
      </c>
      <c r="S6" s="1401">
        <f>unos!G128</f>
        <v>0</v>
      </c>
      <c r="T6" s="1402"/>
      <c r="U6" s="1402"/>
      <c r="V6" s="1403"/>
    </row>
    <row r="7" spans="2:25" s="440" customFormat="1" ht="13.5" customHeight="1">
      <c r="B7" s="604" t="s">
        <v>1399</v>
      </c>
      <c r="C7" s="585" t="s">
        <v>341</v>
      </c>
      <c r="D7" s="568"/>
      <c r="E7" s="568"/>
      <c r="F7" s="568"/>
      <c r="G7" s="568"/>
      <c r="H7" s="568"/>
      <c r="I7" s="568"/>
      <c r="J7" s="568"/>
      <c r="K7" s="568"/>
      <c r="L7" s="568"/>
      <c r="M7" s="568"/>
      <c r="N7" s="586"/>
      <c r="O7" s="584"/>
      <c r="P7" s="584"/>
      <c r="Q7" s="584"/>
      <c r="R7" s="1404"/>
      <c r="S7" s="1425"/>
      <c r="T7" s="1425"/>
      <c r="U7" s="1426"/>
      <c r="V7" s="741"/>
      <c r="W7" s="741"/>
      <c r="X7" s="741"/>
      <c r="Y7" s="741"/>
    </row>
    <row r="8" spans="2:25" ht="12" customHeight="1">
      <c r="B8" s="1417" t="s">
        <v>675</v>
      </c>
      <c r="C8" s="578" t="s">
        <v>344</v>
      </c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80"/>
      <c r="O8" s="1344">
        <v>0</v>
      </c>
      <c r="P8" s="1344">
        <v>0</v>
      </c>
      <c r="Q8" s="1344">
        <v>3</v>
      </c>
      <c r="R8" s="1357"/>
      <c r="S8" s="1357"/>
      <c r="T8" s="1357"/>
      <c r="U8" s="1358"/>
    </row>
    <row r="9" spans="2:25" ht="12" customHeight="1">
      <c r="B9" s="1417"/>
      <c r="C9" s="581" t="s">
        <v>342</v>
      </c>
      <c r="D9" s="582"/>
      <c r="E9" s="582"/>
      <c r="F9" s="582"/>
      <c r="G9" s="582"/>
      <c r="H9" s="582"/>
      <c r="I9" s="582"/>
      <c r="J9" s="582"/>
      <c r="K9" s="582"/>
      <c r="L9" s="582"/>
      <c r="M9" s="582"/>
      <c r="N9" s="583"/>
      <c r="O9" s="1345"/>
      <c r="P9" s="1345"/>
      <c r="Q9" s="1345"/>
      <c r="R9" s="1359"/>
      <c r="S9" s="1359"/>
      <c r="T9" s="1359"/>
      <c r="U9" s="1360"/>
    </row>
    <row r="10" spans="2:25" ht="12.75" customHeight="1">
      <c r="B10" s="1342" t="s">
        <v>676</v>
      </c>
      <c r="C10" s="578" t="s">
        <v>343</v>
      </c>
      <c r="D10" s="579"/>
      <c r="E10" s="579"/>
      <c r="F10" s="579"/>
      <c r="G10" s="579"/>
      <c r="H10" s="579"/>
      <c r="I10" s="579"/>
      <c r="J10" s="579"/>
      <c r="K10" s="579"/>
      <c r="L10" s="579"/>
      <c r="M10" s="579"/>
      <c r="N10" s="580"/>
      <c r="O10" s="1344">
        <v>0</v>
      </c>
      <c r="P10" s="1344">
        <v>0</v>
      </c>
      <c r="Q10" s="1344">
        <v>4</v>
      </c>
      <c r="R10" s="1357"/>
      <c r="S10" s="1357"/>
      <c r="T10" s="1357"/>
      <c r="U10" s="1358"/>
    </row>
    <row r="11" spans="2:25" ht="12.75" customHeight="1">
      <c r="B11" s="1343"/>
      <c r="C11" s="581" t="s">
        <v>342</v>
      </c>
      <c r="D11" s="582"/>
      <c r="E11" s="582"/>
      <c r="F11" s="582"/>
      <c r="G11" s="582"/>
      <c r="H11" s="582"/>
      <c r="I11" s="582"/>
      <c r="J11" s="582"/>
      <c r="K11" s="582"/>
      <c r="L11" s="582"/>
      <c r="M11" s="582"/>
      <c r="N11" s="583"/>
      <c r="O11" s="1345"/>
      <c r="P11" s="1345"/>
      <c r="Q11" s="1345"/>
      <c r="R11" s="1359"/>
      <c r="S11" s="1359"/>
      <c r="T11" s="1359"/>
      <c r="U11" s="1360"/>
    </row>
    <row r="12" spans="2:25" s="440" customFormat="1" ht="14.25" customHeight="1">
      <c r="B12" s="604" t="s">
        <v>1365</v>
      </c>
      <c r="C12" s="585" t="s">
        <v>345</v>
      </c>
      <c r="D12" s="568"/>
      <c r="E12" s="568"/>
      <c r="F12" s="568"/>
      <c r="G12" s="568"/>
      <c r="H12" s="568"/>
      <c r="I12" s="568"/>
      <c r="J12" s="568"/>
      <c r="K12" s="568"/>
      <c r="L12" s="568"/>
      <c r="M12" s="568"/>
      <c r="N12" s="586"/>
      <c r="O12" s="584"/>
      <c r="P12" s="584"/>
      <c r="Q12" s="584"/>
      <c r="R12" s="1404"/>
      <c r="S12" s="1404"/>
      <c r="T12" s="1404"/>
      <c r="U12" s="1405"/>
      <c r="V12" s="741"/>
      <c r="W12" s="741"/>
      <c r="X12" s="741"/>
      <c r="Y12" s="741"/>
    </row>
    <row r="13" spans="2:25" ht="14.25" customHeight="1">
      <c r="B13" s="1342" t="s">
        <v>677</v>
      </c>
      <c r="C13" s="578" t="s">
        <v>346</v>
      </c>
      <c r="D13" s="579"/>
      <c r="E13" s="579"/>
      <c r="F13" s="579"/>
      <c r="G13" s="579"/>
      <c r="H13" s="579"/>
      <c r="I13" s="579"/>
      <c r="J13" s="579"/>
      <c r="K13" s="579"/>
      <c r="L13" s="579"/>
      <c r="M13" s="579"/>
      <c r="N13" s="580"/>
      <c r="O13" s="1344">
        <v>0</v>
      </c>
      <c r="P13" s="1344">
        <v>0</v>
      </c>
      <c r="Q13" s="1344">
        <v>5</v>
      </c>
      <c r="R13" s="1357"/>
      <c r="S13" s="1357"/>
      <c r="T13" s="1357"/>
      <c r="U13" s="1358"/>
    </row>
    <row r="14" spans="2:25" ht="14.25" customHeight="1">
      <c r="B14" s="1384"/>
      <c r="C14" s="592" t="s">
        <v>2016</v>
      </c>
      <c r="D14" s="558"/>
      <c r="E14" s="558"/>
      <c r="F14" s="558"/>
      <c r="G14" s="558"/>
      <c r="H14" s="558"/>
      <c r="I14" s="558"/>
      <c r="J14" s="558"/>
      <c r="K14" s="558"/>
      <c r="L14" s="558"/>
      <c r="M14" s="558"/>
      <c r="N14" s="593"/>
      <c r="O14" s="1386"/>
      <c r="P14" s="1386"/>
      <c r="Q14" s="1386"/>
      <c r="R14" s="1380"/>
      <c r="S14" s="1380"/>
      <c r="T14" s="1380"/>
      <c r="U14" s="1381"/>
    </row>
    <row r="15" spans="2:25" ht="14.25" customHeight="1">
      <c r="B15" s="1343"/>
      <c r="C15" s="581" t="s">
        <v>2017</v>
      </c>
      <c r="D15" s="582"/>
      <c r="E15" s="582"/>
      <c r="F15" s="582"/>
      <c r="G15" s="582"/>
      <c r="H15" s="582"/>
      <c r="I15" s="582"/>
      <c r="J15" s="582"/>
      <c r="K15" s="582"/>
      <c r="L15" s="582"/>
      <c r="M15" s="582"/>
      <c r="N15" s="583"/>
      <c r="O15" s="1345"/>
      <c r="P15" s="1345"/>
      <c r="Q15" s="1345"/>
      <c r="R15" s="1359"/>
      <c r="S15" s="1359"/>
      <c r="T15" s="1359"/>
      <c r="U15" s="1360"/>
    </row>
    <row r="16" spans="2:25" ht="13.5" customHeight="1">
      <c r="B16" s="1342" t="s">
        <v>678</v>
      </c>
      <c r="C16" s="578" t="s">
        <v>1885</v>
      </c>
      <c r="D16" s="579"/>
      <c r="E16" s="579"/>
      <c r="F16" s="579"/>
      <c r="G16" s="579"/>
      <c r="H16" s="579"/>
      <c r="I16" s="579"/>
      <c r="J16" s="579"/>
      <c r="K16" s="579"/>
      <c r="L16" s="579"/>
      <c r="M16" s="579"/>
      <c r="N16" s="580"/>
      <c r="O16" s="1344">
        <v>0</v>
      </c>
      <c r="P16" s="1344">
        <v>0</v>
      </c>
      <c r="Q16" s="1344">
        <v>6</v>
      </c>
      <c r="R16" s="1357"/>
      <c r="S16" s="1357"/>
      <c r="T16" s="1357"/>
      <c r="U16" s="1358"/>
    </row>
    <row r="17" spans="1:36" ht="13.5" customHeight="1">
      <c r="B17" s="1384"/>
      <c r="C17" s="592" t="s">
        <v>2018</v>
      </c>
      <c r="D17" s="558"/>
      <c r="E17" s="558"/>
      <c r="F17" s="558"/>
      <c r="G17" s="558"/>
      <c r="H17" s="558"/>
      <c r="I17" s="558"/>
      <c r="J17" s="558"/>
      <c r="K17" s="558"/>
      <c r="L17" s="558"/>
      <c r="M17" s="558"/>
      <c r="N17" s="593"/>
      <c r="O17" s="1386"/>
      <c r="P17" s="1386"/>
      <c r="Q17" s="1386"/>
      <c r="R17" s="1380"/>
      <c r="S17" s="1380"/>
      <c r="T17" s="1380"/>
      <c r="U17" s="1381"/>
      <c r="AB17" s="767" t="s">
        <v>245</v>
      </c>
    </row>
    <row r="18" spans="1:36" ht="13.5" customHeight="1">
      <c r="B18" s="1384"/>
      <c r="C18" s="592" t="s">
        <v>2019</v>
      </c>
      <c r="D18" s="558"/>
      <c r="E18" s="558"/>
      <c r="F18" s="558"/>
      <c r="G18" s="558"/>
      <c r="H18" s="558"/>
      <c r="I18" s="558"/>
      <c r="J18" s="558"/>
      <c r="K18" s="558"/>
      <c r="L18" s="558"/>
      <c r="M18" s="558"/>
      <c r="N18" s="593"/>
      <c r="O18" s="1386"/>
      <c r="P18" s="1386"/>
      <c r="Q18" s="1386"/>
      <c r="R18" s="1380"/>
      <c r="S18" s="1380"/>
      <c r="T18" s="1380"/>
      <c r="U18" s="1381"/>
      <c r="AB18" s="767" t="s">
        <v>246</v>
      </c>
    </row>
    <row r="19" spans="1:36" ht="13.5" customHeight="1">
      <c r="B19" s="1384"/>
      <c r="C19" s="592" t="s">
        <v>2020</v>
      </c>
      <c r="D19" s="558"/>
      <c r="E19" s="558"/>
      <c r="F19" s="558"/>
      <c r="G19" s="558"/>
      <c r="H19" s="558"/>
      <c r="I19" s="558"/>
      <c r="J19" s="558"/>
      <c r="K19" s="558"/>
      <c r="L19" s="558"/>
      <c r="M19" s="558"/>
      <c r="N19" s="593"/>
      <c r="O19" s="1386"/>
      <c r="P19" s="1386"/>
      <c r="Q19" s="1386"/>
      <c r="R19" s="1380"/>
      <c r="S19" s="1380"/>
      <c r="T19" s="1380"/>
      <c r="U19" s="1381"/>
    </row>
    <row r="20" spans="1:36" ht="13.5" customHeight="1">
      <c r="B20" s="1343"/>
      <c r="C20" s="581" t="s">
        <v>2021</v>
      </c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3"/>
      <c r="O20" s="1345"/>
      <c r="P20" s="1345"/>
      <c r="Q20" s="1345"/>
      <c r="R20" s="1359"/>
      <c r="S20" s="1359"/>
      <c r="T20" s="1359"/>
      <c r="U20" s="1360"/>
      <c r="V20" s="1418" t="s">
        <v>247</v>
      </c>
      <c r="W20" s="1419"/>
      <c r="X20" s="1419"/>
      <c r="Y20" s="1419"/>
      <c r="Z20" s="745"/>
      <c r="AA20" s="745"/>
      <c r="AB20" s="745"/>
      <c r="AC20" s="745"/>
      <c r="AD20" s="745"/>
      <c r="AE20" s="745"/>
      <c r="AF20" s="745"/>
      <c r="AG20" s="745"/>
    </row>
    <row r="21" spans="1:36" ht="14.25" customHeight="1">
      <c r="B21" s="1342" t="s">
        <v>679</v>
      </c>
      <c r="C21" s="578" t="s">
        <v>2022</v>
      </c>
      <c r="D21" s="579"/>
      <c r="E21" s="579"/>
      <c r="F21" s="579"/>
      <c r="G21" s="579"/>
      <c r="H21" s="579"/>
      <c r="I21" s="579"/>
      <c r="J21" s="579"/>
      <c r="K21" s="579"/>
      <c r="L21" s="579"/>
      <c r="M21" s="579"/>
      <c r="N21" s="580"/>
      <c r="O21" s="1344">
        <v>0</v>
      </c>
      <c r="P21" s="1344">
        <v>0</v>
      </c>
      <c r="Q21" s="1344">
        <v>7</v>
      </c>
      <c r="R21" s="1357">
        <f>IF(V22&lt;=0,0,V22)</f>
        <v>0</v>
      </c>
      <c r="S21" s="1357"/>
      <c r="T21" s="1357"/>
      <c r="U21" s="1357"/>
      <c r="V21" s="1420">
        <f>unos!G91</f>
        <v>0</v>
      </c>
      <c r="W21" s="1420"/>
      <c r="X21" s="1420"/>
      <c r="Y21" s="1420"/>
      <c r="Z21" s="746" t="s">
        <v>388</v>
      </c>
      <c r="AA21" s="747"/>
      <c r="AB21" s="747"/>
      <c r="AC21" s="747"/>
      <c r="AD21" s="747"/>
      <c r="AE21" s="747"/>
      <c r="AF21" s="747"/>
      <c r="AG21" s="747"/>
    </row>
    <row r="22" spans="1:36" ht="14.25" customHeight="1">
      <c r="B22" s="1384"/>
      <c r="C22" s="592" t="s">
        <v>2023</v>
      </c>
      <c r="D22" s="558"/>
      <c r="E22" s="558"/>
      <c r="F22" s="558"/>
      <c r="G22" s="558"/>
      <c r="H22" s="558"/>
      <c r="I22" s="558"/>
      <c r="J22" s="558"/>
      <c r="K22" s="558"/>
      <c r="L22" s="558"/>
      <c r="M22" s="558"/>
      <c r="N22" s="593"/>
      <c r="O22" s="1386"/>
      <c r="P22" s="1386"/>
      <c r="Q22" s="1386"/>
      <c r="R22" s="1380"/>
      <c r="S22" s="1380"/>
      <c r="T22" s="1380"/>
      <c r="U22" s="1380"/>
      <c r="V22" s="1421">
        <f>V21*70%</f>
        <v>0</v>
      </c>
      <c r="W22" s="1421"/>
      <c r="X22" s="1421"/>
      <c r="Y22" s="1421"/>
      <c r="Z22" s="746" t="s">
        <v>389</v>
      </c>
      <c r="AA22" s="747"/>
      <c r="AB22" s="747"/>
      <c r="AC22" s="747"/>
      <c r="AD22" s="747"/>
      <c r="AE22" s="747"/>
      <c r="AF22" s="747"/>
      <c r="AG22" s="747"/>
    </row>
    <row r="23" spans="1:36" ht="14.25" customHeight="1">
      <c r="B23" s="1384"/>
      <c r="C23" s="592" t="s">
        <v>2024</v>
      </c>
      <c r="D23" s="558"/>
      <c r="E23" s="558"/>
      <c r="F23" s="558"/>
      <c r="G23" s="558"/>
      <c r="H23" s="558"/>
      <c r="I23" s="558"/>
      <c r="J23" s="558"/>
      <c r="K23" s="558"/>
      <c r="L23" s="558"/>
      <c r="M23" s="558"/>
      <c r="N23" s="593"/>
      <c r="O23" s="1386"/>
      <c r="P23" s="1386"/>
      <c r="Q23" s="1386"/>
      <c r="R23" s="1380"/>
      <c r="S23" s="1380"/>
      <c r="T23" s="1380"/>
      <c r="U23" s="1380"/>
      <c r="V23" s="1421">
        <f>V21*30%</f>
        <v>0</v>
      </c>
      <c r="W23" s="1421"/>
      <c r="X23" s="1421"/>
      <c r="Y23" s="1421"/>
      <c r="Z23" s="746" t="s">
        <v>390</v>
      </c>
      <c r="AA23" s="747"/>
      <c r="AB23" s="747"/>
      <c r="AC23" s="747"/>
      <c r="AD23" s="747"/>
      <c r="AE23" s="747"/>
      <c r="AF23" s="747"/>
      <c r="AG23" s="747"/>
    </row>
    <row r="24" spans="1:36" ht="14.25" customHeight="1">
      <c r="A24" s="558"/>
      <c r="B24" s="1343"/>
      <c r="C24" s="581" t="s">
        <v>2025</v>
      </c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3"/>
      <c r="O24" s="1345"/>
      <c r="P24" s="1345"/>
      <c r="Q24" s="1345"/>
      <c r="R24" s="1359"/>
      <c r="S24" s="1359"/>
      <c r="T24" s="1359"/>
      <c r="U24" s="1359"/>
      <c r="V24" s="1406"/>
      <c r="W24" s="1406"/>
      <c r="X24" s="1406"/>
      <c r="Y24" s="1406"/>
      <c r="Z24" s="743"/>
      <c r="AA24" s="744"/>
      <c r="AB24" s="744"/>
      <c r="AC24" s="744"/>
      <c r="AD24" s="744"/>
      <c r="AE24" s="744"/>
      <c r="AF24" s="744"/>
      <c r="AG24" s="744"/>
    </row>
    <row r="25" spans="1:36" ht="13.5" customHeight="1">
      <c r="A25" s="558"/>
      <c r="B25" s="1342" t="s">
        <v>680</v>
      </c>
      <c r="C25" s="578" t="s">
        <v>1975</v>
      </c>
      <c r="D25" s="579"/>
      <c r="E25" s="579"/>
      <c r="F25" s="579"/>
      <c r="G25" s="579"/>
      <c r="H25" s="579"/>
      <c r="I25" s="579"/>
      <c r="J25" s="579"/>
      <c r="K25" s="579"/>
      <c r="L25" s="579"/>
      <c r="M25" s="579"/>
      <c r="N25" s="580"/>
      <c r="O25" s="1344">
        <v>0</v>
      </c>
      <c r="P25" s="1344">
        <v>0</v>
      </c>
      <c r="Q25" s="1344">
        <v>8</v>
      </c>
      <c r="R25" s="1357">
        <f>IF(V27&lt;=0,0,V27)</f>
        <v>0</v>
      </c>
      <c r="S25" s="1357"/>
      <c r="T25" s="1357"/>
      <c r="U25" s="1357"/>
      <c r="V25" s="1420">
        <v>0</v>
      </c>
      <c r="W25" s="1420"/>
      <c r="X25" s="1420"/>
      <c r="Y25" s="1420"/>
      <c r="Z25" s="746" t="s">
        <v>394</v>
      </c>
      <c r="AA25" s="747"/>
      <c r="AB25" s="747"/>
      <c r="AC25" s="747"/>
      <c r="AD25" s="747"/>
      <c r="AE25" s="747"/>
      <c r="AF25" s="747"/>
      <c r="AG25" s="747"/>
      <c r="AH25" s="748"/>
    </row>
    <row r="26" spans="1:36" ht="13.5" customHeight="1">
      <c r="A26" s="558"/>
      <c r="B26" s="1384"/>
      <c r="C26" s="592" t="s">
        <v>1976</v>
      </c>
      <c r="D26" s="558"/>
      <c r="E26" s="558"/>
      <c r="F26" s="558"/>
      <c r="G26" s="558"/>
      <c r="H26" s="558"/>
      <c r="I26" s="558"/>
      <c r="J26" s="558"/>
      <c r="K26" s="558"/>
      <c r="L26" s="558"/>
      <c r="M26" s="558"/>
      <c r="N26" s="593"/>
      <c r="O26" s="1386"/>
      <c r="P26" s="1386"/>
      <c r="Q26" s="1386"/>
      <c r="R26" s="1380"/>
      <c r="S26" s="1380"/>
      <c r="T26" s="1380"/>
      <c r="U26" s="1380"/>
      <c r="V26" s="1421">
        <f>unos!G54*3%</f>
        <v>0</v>
      </c>
      <c r="W26" s="1421"/>
      <c r="X26" s="1421"/>
      <c r="Y26" s="1421"/>
      <c r="Z26" s="746" t="s">
        <v>391</v>
      </c>
      <c r="AA26" s="747"/>
      <c r="AB26" s="747"/>
      <c r="AC26" s="747"/>
      <c r="AD26" s="747"/>
      <c r="AE26" s="747"/>
      <c r="AF26" s="747"/>
      <c r="AG26" s="747"/>
      <c r="AH26" s="748"/>
    </row>
    <row r="27" spans="1:36" ht="13.5" customHeight="1">
      <c r="A27" s="558"/>
      <c r="B27" s="1384"/>
      <c r="C27" s="592" t="s">
        <v>1977</v>
      </c>
      <c r="D27" s="558"/>
      <c r="E27" s="558"/>
      <c r="F27" s="558"/>
      <c r="G27" s="558"/>
      <c r="H27" s="558"/>
      <c r="I27" s="558"/>
      <c r="J27" s="558"/>
      <c r="K27" s="558"/>
      <c r="L27" s="558"/>
      <c r="M27" s="558"/>
      <c r="N27" s="593"/>
      <c r="O27" s="1386"/>
      <c r="P27" s="1386"/>
      <c r="Q27" s="1386"/>
      <c r="R27" s="1380"/>
      <c r="S27" s="1380"/>
      <c r="T27" s="1380"/>
      <c r="U27" s="1380"/>
      <c r="V27" s="1421">
        <f>V25-V26</f>
        <v>0</v>
      </c>
      <c r="W27" s="1421"/>
      <c r="X27" s="1421"/>
      <c r="Y27" s="1421"/>
      <c r="Z27" s="746" t="s">
        <v>392</v>
      </c>
      <c r="AA27" s="747"/>
      <c r="AB27" s="747"/>
      <c r="AC27" s="747"/>
      <c r="AD27" s="747"/>
      <c r="AE27" s="747"/>
      <c r="AF27" s="747"/>
      <c r="AG27" s="747"/>
      <c r="AH27" s="748"/>
    </row>
    <row r="28" spans="1:36" ht="13.5" customHeight="1">
      <c r="A28" s="558"/>
      <c r="B28" s="1343"/>
      <c r="C28" s="581" t="s">
        <v>1978</v>
      </c>
      <c r="D28" s="582"/>
      <c r="E28" s="582"/>
      <c r="F28" s="582"/>
      <c r="G28" s="582"/>
      <c r="H28" s="582"/>
      <c r="I28" s="582"/>
      <c r="J28" s="582"/>
      <c r="K28" s="582"/>
      <c r="L28" s="582"/>
      <c r="M28" s="582"/>
      <c r="N28" s="583"/>
      <c r="O28" s="1345"/>
      <c r="P28" s="1345"/>
      <c r="Q28" s="1345"/>
      <c r="R28" s="1359"/>
      <c r="S28" s="1359"/>
      <c r="T28" s="1359"/>
      <c r="U28" s="1359"/>
      <c r="V28" s="1406"/>
      <c r="W28" s="1406"/>
      <c r="X28" s="1406"/>
      <c r="Y28" s="1406"/>
      <c r="Z28" s="743"/>
      <c r="AA28" s="744"/>
      <c r="AB28" s="744"/>
      <c r="AC28" s="744"/>
      <c r="AD28" s="744"/>
      <c r="AE28" s="744"/>
      <c r="AF28" s="744"/>
      <c r="AG28" s="744"/>
    </row>
    <row r="29" spans="1:36" ht="12.75" customHeight="1">
      <c r="A29" s="558"/>
      <c r="B29" s="1342" t="s">
        <v>681</v>
      </c>
      <c r="C29" s="578" t="s">
        <v>1979</v>
      </c>
      <c r="D29" s="579"/>
      <c r="E29" s="579"/>
      <c r="F29" s="579"/>
      <c r="G29" s="579"/>
      <c r="H29" s="579"/>
      <c r="I29" s="579"/>
      <c r="J29" s="579"/>
      <c r="K29" s="579"/>
      <c r="L29" s="579"/>
      <c r="M29" s="579"/>
      <c r="N29" s="580"/>
      <c r="O29" s="1344">
        <v>0</v>
      </c>
      <c r="P29" s="1344">
        <v>0</v>
      </c>
      <c r="Q29" s="1344">
        <v>9</v>
      </c>
      <c r="R29" s="1357">
        <f>IF(AG30&lt;=0,0,AG30)</f>
        <v>0</v>
      </c>
      <c r="S29" s="1357"/>
      <c r="T29" s="1357"/>
      <c r="U29" s="1357"/>
      <c r="V29" s="1428">
        <f>unos!G96</f>
        <v>0</v>
      </c>
      <c r="W29" s="1428"/>
      <c r="X29" s="1428"/>
      <c r="Y29" s="1428"/>
      <c r="Z29" s="570" t="s">
        <v>2358</v>
      </c>
      <c r="AA29" s="571"/>
      <c r="AB29" s="571"/>
      <c r="AC29" s="571"/>
      <c r="AD29" s="571"/>
      <c r="AE29" s="571"/>
      <c r="AF29" s="571"/>
      <c r="AG29" s="579"/>
    </row>
    <row r="30" spans="1:36" ht="12.75" customHeight="1">
      <c r="A30" s="558"/>
      <c r="B30" s="1343"/>
      <c r="C30" s="581" t="s">
        <v>1980</v>
      </c>
      <c r="D30" s="582"/>
      <c r="E30" s="582"/>
      <c r="F30" s="582"/>
      <c r="G30" s="582"/>
      <c r="H30" s="582"/>
      <c r="I30" s="582"/>
      <c r="J30" s="582"/>
      <c r="K30" s="582"/>
      <c r="L30" s="582"/>
      <c r="M30" s="582"/>
      <c r="N30" s="583"/>
      <c r="O30" s="1345"/>
      <c r="P30" s="1345"/>
      <c r="Q30" s="1345"/>
      <c r="R30" s="1359"/>
      <c r="S30" s="1359"/>
      <c r="T30" s="1359"/>
      <c r="U30" s="1359"/>
      <c r="V30" s="1429">
        <f>unos!G54*0.1%</f>
        <v>0</v>
      </c>
      <c r="W30" s="1429"/>
      <c r="X30" s="1429"/>
      <c r="Y30" s="1429"/>
      <c r="Z30" s="570" t="s">
        <v>393</v>
      </c>
      <c r="AA30" s="571"/>
      <c r="AB30" s="571"/>
      <c r="AC30" s="571"/>
      <c r="AD30" s="571"/>
      <c r="AE30" s="571"/>
      <c r="AF30" s="571"/>
      <c r="AG30" s="1427">
        <f>V29-V30</f>
        <v>0</v>
      </c>
      <c r="AH30" s="1390"/>
      <c r="AI30" s="1390"/>
      <c r="AJ30" s="1390"/>
    </row>
    <row r="31" spans="1:36" ht="13.5" customHeight="1">
      <c r="B31" s="1342" t="s">
        <v>682</v>
      </c>
      <c r="C31" s="578" t="s">
        <v>1981</v>
      </c>
      <c r="D31" s="579"/>
      <c r="E31" s="579"/>
      <c r="F31" s="579"/>
      <c r="G31" s="579"/>
      <c r="H31" s="579"/>
      <c r="I31" s="579"/>
      <c r="J31" s="579"/>
      <c r="K31" s="579"/>
      <c r="L31" s="579"/>
      <c r="M31" s="579"/>
      <c r="N31" s="580"/>
      <c r="O31" s="1344">
        <v>0</v>
      </c>
      <c r="P31" s="1344">
        <v>1</v>
      </c>
      <c r="Q31" s="1344">
        <v>0</v>
      </c>
      <c r="R31" s="1395">
        <f>IF(AG32&lt;=0,0,AG32)</f>
        <v>0</v>
      </c>
      <c r="S31" s="1396"/>
      <c r="T31" s="1396"/>
      <c r="U31" s="1397"/>
      <c r="V31" s="1428">
        <v>0</v>
      </c>
      <c r="W31" s="1428"/>
      <c r="X31" s="1428"/>
      <c r="Y31" s="1428"/>
      <c r="Z31" s="570" t="s">
        <v>395</v>
      </c>
      <c r="AA31" s="571"/>
      <c r="AB31" s="571"/>
      <c r="AC31" s="571"/>
      <c r="AD31" s="571"/>
      <c r="AE31" s="571"/>
      <c r="AF31" s="571"/>
      <c r="AG31" s="558"/>
    </row>
    <row r="32" spans="1:36" ht="13.5" customHeight="1">
      <c r="B32" s="1343"/>
      <c r="C32" s="581" t="s">
        <v>1982</v>
      </c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3"/>
      <c r="O32" s="1345"/>
      <c r="P32" s="1345"/>
      <c r="Q32" s="1345"/>
      <c r="R32" s="1398"/>
      <c r="S32" s="1399"/>
      <c r="T32" s="1399"/>
      <c r="U32" s="1400"/>
      <c r="V32" s="1429">
        <f>unos!G54*2%</f>
        <v>0</v>
      </c>
      <c r="W32" s="1429"/>
      <c r="X32" s="1429"/>
      <c r="Y32" s="1429"/>
      <c r="Z32" s="570" t="s">
        <v>396</v>
      </c>
      <c r="AA32" s="571"/>
      <c r="AB32" s="571"/>
      <c r="AC32" s="571"/>
      <c r="AD32" s="571"/>
      <c r="AE32" s="571"/>
      <c r="AF32" s="571"/>
      <c r="AG32" s="1427">
        <f>V31-V32</f>
        <v>0</v>
      </c>
      <c r="AH32" s="1390"/>
      <c r="AI32" s="1390"/>
      <c r="AJ32" s="1390"/>
    </row>
    <row r="33" spans="2:34" ht="13.5" customHeight="1">
      <c r="B33" s="1342" t="s">
        <v>683</v>
      </c>
      <c r="C33" s="578" t="s">
        <v>1983</v>
      </c>
      <c r="D33" s="579"/>
      <c r="E33" s="579"/>
      <c r="F33" s="579"/>
      <c r="G33" s="579"/>
      <c r="H33" s="579"/>
      <c r="I33" s="579"/>
      <c r="J33" s="579"/>
      <c r="K33" s="579"/>
      <c r="L33" s="579"/>
      <c r="M33" s="579"/>
      <c r="N33" s="580"/>
      <c r="O33" s="1344">
        <v>0</v>
      </c>
      <c r="P33" s="1344">
        <v>1</v>
      </c>
      <c r="Q33" s="1344">
        <v>1</v>
      </c>
      <c r="R33" s="1357"/>
      <c r="S33" s="1357"/>
      <c r="T33" s="1357"/>
      <c r="U33" s="1357"/>
      <c r="V33" s="1406"/>
      <c r="W33" s="1406"/>
      <c r="X33" s="1406"/>
      <c r="Y33" s="1406"/>
      <c r="Z33" s="743"/>
      <c r="AA33" s="744"/>
      <c r="AB33" s="744"/>
      <c r="AC33" s="744"/>
      <c r="AD33" s="744"/>
      <c r="AE33" s="744"/>
      <c r="AF33" s="744"/>
      <c r="AG33" s="749"/>
      <c r="AH33" s="745"/>
    </row>
    <row r="34" spans="2:34" ht="13.5" customHeight="1">
      <c r="B34" s="1384"/>
      <c r="C34" s="592" t="s">
        <v>2171</v>
      </c>
      <c r="D34" s="558"/>
      <c r="E34" s="558"/>
      <c r="F34" s="558"/>
      <c r="G34" s="558"/>
      <c r="H34" s="558"/>
      <c r="I34" s="558"/>
      <c r="J34" s="558"/>
      <c r="K34" s="558"/>
      <c r="L34" s="558"/>
      <c r="M34" s="558"/>
      <c r="N34" s="593"/>
      <c r="O34" s="1386"/>
      <c r="P34" s="1386"/>
      <c r="Q34" s="1386"/>
      <c r="R34" s="1380"/>
      <c r="S34" s="1380"/>
      <c r="T34" s="1380"/>
      <c r="U34" s="1380"/>
      <c r="V34" s="1406"/>
      <c r="W34" s="1406"/>
      <c r="X34" s="1406"/>
      <c r="Y34" s="1406"/>
      <c r="Z34" s="743"/>
      <c r="AA34" s="744"/>
      <c r="AB34" s="744"/>
      <c r="AC34" s="744"/>
      <c r="AD34" s="744"/>
      <c r="AE34" s="744"/>
      <c r="AF34" s="744"/>
      <c r="AG34" s="744"/>
      <c r="AH34" s="745"/>
    </row>
    <row r="35" spans="2:34" ht="13.5" customHeight="1">
      <c r="B35" s="1343"/>
      <c r="C35" s="581" t="s">
        <v>2172</v>
      </c>
      <c r="D35" s="582"/>
      <c r="E35" s="582"/>
      <c r="F35" s="582"/>
      <c r="G35" s="582"/>
      <c r="H35" s="582"/>
      <c r="I35" s="582"/>
      <c r="J35" s="582"/>
      <c r="K35" s="582"/>
      <c r="L35" s="582"/>
      <c r="M35" s="582"/>
      <c r="N35" s="583"/>
      <c r="O35" s="1345"/>
      <c r="P35" s="1345"/>
      <c r="Q35" s="1345"/>
      <c r="R35" s="1359"/>
      <c r="S35" s="1359"/>
      <c r="T35" s="1359"/>
      <c r="U35" s="1359"/>
      <c r="V35" s="1406"/>
      <c r="W35" s="1406"/>
      <c r="X35" s="1406"/>
      <c r="Y35" s="1406"/>
      <c r="Z35" s="743"/>
      <c r="AA35" s="744"/>
      <c r="AB35" s="744"/>
      <c r="AC35" s="744"/>
      <c r="AD35" s="744"/>
      <c r="AE35" s="744"/>
      <c r="AF35" s="744"/>
      <c r="AG35" s="744"/>
      <c r="AH35" s="745"/>
    </row>
    <row r="36" spans="2:34" ht="13.5" customHeight="1">
      <c r="B36" s="1342" t="s">
        <v>684</v>
      </c>
      <c r="C36" s="578" t="s">
        <v>2173</v>
      </c>
      <c r="D36" s="579"/>
      <c r="E36" s="579"/>
      <c r="F36" s="579"/>
      <c r="G36" s="579"/>
      <c r="H36" s="579"/>
      <c r="I36" s="579"/>
      <c r="J36" s="579"/>
      <c r="K36" s="579"/>
      <c r="L36" s="579"/>
      <c r="M36" s="579"/>
      <c r="N36" s="580"/>
      <c r="O36" s="1344">
        <v>0</v>
      </c>
      <c r="P36" s="1344">
        <v>1</v>
      </c>
      <c r="Q36" s="1344">
        <v>2</v>
      </c>
      <c r="R36" s="1357"/>
      <c r="S36" s="1357"/>
      <c r="T36" s="1357"/>
      <c r="U36" s="1357"/>
      <c r="V36" s="1406"/>
      <c r="W36" s="1406"/>
      <c r="X36" s="1406"/>
      <c r="Y36" s="1406"/>
      <c r="Z36" s="743"/>
      <c r="AA36" s="744"/>
      <c r="AB36" s="744"/>
      <c r="AC36" s="744"/>
      <c r="AD36" s="744"/>
      <c r="AE36" s="744"/>
      <c r="AF36" s="744"/>
      <c r="AG36" s="744"/>
      <c r="AH36" s="745"/>
    </row>
    <row r="37" spans="2:34" ht="13.5" customHeight="1">
      <c r="B37" s="1384"/>
      <c r="C37" s="592" t="s">
        <v>2174</v>
      </c>
      <c r="D37" s="558"/>
      <c r="E37" s="558"/>
      <c r="F37" s="558"/>
      <c r="G37" s="558"/>
      <c r="H37" s="558"/>
      <c r="I37" s="558"/>
      <c r="J37" s="558"/>
      <c r="K37" s="558"/>
      <c r="L37" s="558"/>
      <c r="M37" s="558"/>
      <c r="N37" s="593"/>
      <c r="O37" s="1386"/>
      <c r="P37" s="1386"/>
      <c r="Q37" s="1386"/>
      <c r="R37" s="1380"/>
      <c r="S37" s="1380"/>
      <c r="T37" s="1380"/>
      <c r="U37" s="1380"/>
      <c r="V37" s="1406"/>
      <c r="W37" s="1406"/>
      <c r="X37" s="1406"/>
      <c r="Y37" s="1406"/>
      <c r="Z37" s="743"/>
      <c r="AA37" s="744"/>
      <c r="AB37" s="744"/>
      <c r="AC37" s="744"/>
      <c r="AD37" s="744"/>
      <c r="AE37" s="744"/>
      <c r="AF37" s="744"/>
      <c r="AG37" s="744"/>
      <c r="AH37" s="745"/>
    </row>
    <row r="38" spans="2:34" s="558" customFormat="1" ht="13.5" customHeight="1">
      <c r="B38" s="1343"/>
      <c r="C38" s="581" t="s">
        <v>2175</v>
      </c>
      <c r="D38" s="582"/>
      <c r="E38" s="582"/>
      <c r="F38" s="582"/>
      <c r="G38" s="582"/>
      <c r="H38" s="582"/>
      <c r="I38" s="582"/>
      <c r="J38" s="582"/>
      <c r="K38" s="582"/>
      <c r="L38" s="582"/>
      <c r="M38" s="582"/>
      <c r="N38" s="583"/>
      <c r="O38" s="1345"/>
      <c r="P38" s="1345"/>
      <c r="Q38" s="1345"/>
      <c r="R38" s="1359"/>
      <c r="S38" s="1359"/>
      <c r="T38" s="1359"/>
      <c r="U38" s="1359"/>
      <c r="V38" s="1406"/>
      <c r="W38" s="1406"/>
      <c r="X38" s="1406"/>
      <c r="Y38" s="1406"/>
      <c r="Z38" s="743"/>
      <c r="AA38" s="744"/>
      <c r="AB38" s="744"/>
      <c r="AC38" s="744"/>
      <c r="AD38" s="744"/>
      <c r="AE38" s="744"/>
      <c r="AF38" s="744"/>
      <c r="AG38" s="744"/>
      <c r="AH38" s="750"/>
    </row>
    <row r="39" spans="2:34" s="558" customFormat="1" ht="12.75" customHeight="1">
      <c r="B39" s="1342" t="s">
        <v>685</v>
      </c>
      <c r="C39" s="578" t="s">
        <v>484</v>
      </c>
      <c r="D39" s="579"/>
      <c r="E39" s="579"/>
      <c r="F39" s="579"/>
      <c r="G39" s="579"/>
      <c r="H39" s="579"/>
      <c r="I39" s="579"/>
      <c r="J39" s="579"/>
      <c r="K39" s="579"/>
      <c r="L39" s="579"/>
      <c r="M39" s="579"/>
      <c r="N39" s="580"/>
      <c r="O39" s="1344">
        <v>0</v>
      </c>
      <c r="P39" s="1344">
        <v>1</v>
      </c>
      <c r="Q39" s="1344">
        <v>3</v>
      </c>
      <c r="R39" s="1357"/>
      <c r="S39" s="1357"/>
      <c r="T39" s="1357"/>
      <c r="U39" s="1358"/>
      <c r="V39" s="742"/>
      <c r="W39" s="742"/>
      <c r="X39" s="742"/>
      <c r="Y39" s="742"/>
    </row>
    <row r="40" spans="2:34" ht="12.75" customHeight="1">
      <c r="B40" s="1384"/>
      <c r="C40" s="592" t="s">
        <v>485</v>
      </c>
      <c r="D40" s="558"/>
      <c r="E40" s="558"/>
      <c r="F40" s="558"/>
      <c r="G40" s="558"/>
      <c r="H40" s="558"/>
      <c r="I40" s="558"/>
      <c r="J40" s="558"/>
      <c r="K40" s="558"/>
      <c r="L40" s="558"/>
      <c r="M40" s="558"/>
      <c r="N40" s="593"/>
      <c r="O40" s="1386"/>
      <c r="P40" s="1386"/>
      <c r="Q40" s="1386"/>
      <c r="R40" s="1380"/>
      <c r="S40" s="1380"/>
      <c r="T40" s="1380"/>
      <c r="U40" s="1381"/>
    </row>
    <row r="41" spans="2:34" ht="12.75" customHeight="1">
      <c r="B41" s="1343"/>
      <c r="C41" s="581" t="s">
        <v>486</v>
      </c>
      <c r="D41" s="582"/>
      <c r="E41" s="582"/>
      <c r="F41" s="582"/>
      <c r="G41" s="582"/>
      <c r="H41" s="582"/>
      <c r="I41" s="582"/>
      <c r="J41" s="582"/>
      <c r="K41" s="582"/>
      <c r="L41" s="582"/>
      <c r="M41" s="582"/>
      <c r="N41" s="583"/>
      <c r="O41" s="1345"/>
      <c r="P41" s="1345"/>
      <c r="Q41" s="1345"/>
      <c r="R41" s="1359"/>
      <c r="S41" s="1359"/>
      <c r="T41" s="1359"/>
      <c r="U41" s="1360"/>
    </row>
    <row r="42" spans="2:34" ht="15.75" customHeight="1">
      <c r="B42" s="606" t="s">
        <v>701</v>
      </c>
      <c r="C42" s="570" t="s">
        <v>2176</v>
      </c>
      <c r="D42" s="571"/>
      <c r="E42" s="571"/>
      <c r="F42" s="571"/>
      <c r="G42" s="571"/>
      <c r="H42" s="571"/>
      <c r="I42" s="571"/>
      <c r="J42" s="571"/>
      <c r="K42" s="571"/>
      <c r="L42" s="571"/>
      <c r="M42" s="571"/>
      <c r="N42" s="572"/>
      <c r="O42" s="573">
        <v>0</v>
      </c>
      <c r="P42" s="573">
        <v>1</v>
      </c>
      <c r="Q42" s="573">
        <v>4</v>
      </c>
      <c r="R42" s="1435"/>
      <c r="S42" s="1435"/>
      <c r="T42" s="1435"/>
      <c r="U42" s="1436"/>
    </row>
    <row r="43" spans="2:34" ht="14.25" customHeight="1">
      <c r="B43" s="1342" t="s">
        <v>702</v>
      </c>
      <c r="C43" s="578" t="s">
        <v>2177</v>
      </c>
      <c r="D43" s="579"/>
      <c r="E43" s="579"/>
      <c r="F43" s="579"/>
      <c r="G43" s="579"/>
      <c r="H43" s="579"/>
      <c r="I43" s="579"/>
      <c r="J43" s="579"/>
      <c r="K43" s="579"/>
      <c r="L43" s="579"/>
      <c r="M43" s="579"/>
      <c r="N43" s="580"/>
      <c r="O43" s="1344">
        <v>0</v>
      </c>
      <c r="P43" s="1344">
        <v>1</v>
      </c>
      <c r="Q43" s="1344">
        <v>5</v>
      </c>
      <c r="R43" s="1357"/>
      <c r="S43" s="1357"/>
      <c r="T43" s="1357"/>
      <c r="U43" s="1358"/>
    </row>
    <row r="44" spans="2:34" ht="14.25" customHeight="1">
      <c r="B44" s="1384"/>
      <c r="C44" s="592" t="s">
        <v>2178</v>
      </c>
      <c r="D44" s="558"/>
      <c r="E44" s="558"/>
      <c r="F44" s="558"/>
      <c r="G44" s="558"/>
      <c r="H44" s="558"/>
      <c r="I44" s="558"/>
      <c r="J44" s="558"/>
      <c r="K44" s="558"/>
      <c r="L44" s="558"/>
      <c r="M44" s="558"/>
      <c r="N44" s="593"/>
      <c r="O44" s="1386"/>
      <c r="P44" s="1386"/>
      <c r="Q44" s="1386"/>
      <c r="R44" s="1380"/>
      <c r="S44" s="1380"/>
      <c r="T44" s="1380"/>
      <c r="U44" s="1381"/>
    </row>
    <row r="45" spans="2:34" ht="14.25" customHeight="1">
      <c r="B45" s="1343"/>
      <c r="C45" s="581" t="s">
        <v>2179</v>
      </c>
      <c r="D45" s="582"/>
      <c r="E45" s="582"/>
      <c r="F45" s="582"/>
      <c r="G45" s="582"/>
      <c r="H45" s="582"/>
      <c r="I45" s="582"/>
      <c r="J45" s="582"/>
      <c r="K45" s="582"/>
      <c r="L45" s="582"/>
      <c r="M45" s="582"/>
      <c r="N45" s="583"/>
      <c r="O45" s="1345"/>
      <c r="P45" s="1345"/>
      <c r="Q45" s="1345"/>
      <c r="R45" s="1359"/>
      <c r="S45" s="1359"/>
      <c r="T45" s="1359"/>
      <c r="U45" s="1360"/>
    </row>
    <row r="46" spans="2:34" ht="12.75" customHeight="1">
      <c r="B46" s="1342" t="s">
        <v>1191</v>
      </c>
      <c r="C46" s="578" t="s">
        <v>1886</v>
      </c>
      <c r="D46" s="579"/>
      <c r="E46" s="579"/>
      <c r="F46" s="579"/>
      <c r="G46" s="579"/>
      <c r="H46" s="579"/>
      <c r="I46" s="579"/>
      <c r="J46" s="579"/>
      <c r="K46" s="579"/>
      <c r="L46" s="579"/>
      <c r="M46" s="579"/>
      <c r="N46" s="580"/>
      <c r="O46" s="1344">
        <v>0</v>
      </c>
      <c r="P46" s="1344">
        <v>1</v>
      </c>
      <c r="Q46" s="1344">
        <v>6</v>
      </c>
      <c r="R46" s="1357"/>
      <c r="S46" s="1357"/>
      <c r="T46" s="1357"/>
      <c r="U46" s="1358"/>
    </row>
    <row r="47" spans="2:34" ht="12.75" customHeight="1">
      <c r="B47" s="1343"/>
      <c r="C47" s="581" t="s">
        <v>2180</v>
      </c>
      <c r="D47" s="582"/>
      <c r="E47" s="582"/>
      <c r="F47" s="582"/>
      <c r="G47" s="582"/>
      <c r="H47" s="582"/>
      <c r="I47" s="582"/>
      <c r="J47" s="582"/>
      <c r="K47" s="582"/>
      <c r="L47" s="582"/>
      <c r="M47" s="582"/>
      <c r="N47" s="583"/>
      <c r="O47" s="1345"/>
      <c r="P47" s="1345"/>
      <c r="Q47" s="1345"/>
      <c r="R47" s="1359"/>
      <c r="S47" s="1359"/>
      <c r="T47" s="1359"/>
      <c r="U47" s="1360"/>
    </row>
    <row r="48" spans="2:34" ht="12.75" customHeight="1">
      <c r="B48" s="1342" t="s">
        <v>1194</v>
      </c>
      <c r="C48" s="578" t="s">
        <v>949</v>
      </c>
      <c r="D48" s="579"/>
      <c r="E48" s="579"/>
      <c r="F48" s="579"/>
      <c r="G48" s="579"/>
      <c r="H48" s="579"/>
      <c r="I48" s="579"/>
      <c r="J48" s="579"/>
      <c r="K48" s="579"/>
      <c r="L48" s="579"/>
      <c r="M48" s="579"/>
      <c r="N48" s="580"/>
      <c r="O48" s="1344">
        <v>0</v>
      </c>
      <c r="P48" s="1344">
        <v>1</v>
      </c>
      <c r="Q48" s="1344">
        <v>7</v>
      </c>
      <c r="R48" s="1357"/>
      <c r="S48" s="1357"/>
      <c r="T48" s="1357"/>
      <c r="U48" s="1358"/>
    </row>
    <row r="49" spans="2:25" s="558" customFormat="1" ht="12.75" customHeight="1" thickBot="1">
      <c r="B49" s="1364"/>
      <c r="C49" s="611" t="s">
        <v>950</v>
      </c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3"/>
      <c r="O49" s="1368"/>
      <c r="P49" s="1368"/>
      <c r="Q49" s="1368"/>
      <c r="R49" s="1393"/>
      <c r="S49" s="1393"/>
      <c r="T49" s="1393"/>
      <c r="U49" s="1394"/>
      <c r="V49" s="742"/>
      <c r="W49" s="742"/>
      <c r="X49" s="742"/>
      <c r="Y49" s="742"/>
    </row>
    <row r="50" spans="2:25" ht="12.75" customHeight="1">
      <c r="B50" s="1342" t="s">
        <v>1195</v>
      </c>
      <c r="C50" s="578" t="s">
        <v>321</v>
      </c>
      <c r="D50" s="579"/>
      <c r="E50" s="579"/>
      <c r="F50" s="579"/>
      <c r="G50" s="579"/>
      <c r="H50" s="579"/>
      <c r="I50" s="579"/>
      <c r="J50" s="579"/>
      <c r="K50" s="579"/>
      <c r="L50" s="579"/>
      <c r="M50" s="579"/>
      <c r="N50" s="580"/>
      <c r="O50" s="1344">
        <v>0</v>
      </c>
      <c r="P50" s="1344">
        <v>1</v>
      </c>
      <c r="Q50" s="1344">
        <v>8</v>
      </c>
      <c r="R50" s="1371"/>
      <c r="S50" s="1371"/>
      <c r="T50" s="1371"/>
      <c r="U50" s="1372"/>
    </row>
    <row r="51" spans="2:25" ht="12.75" customHeight="1">
      <c r="B51" s="1343"/>
      <c r="C51" s="581" t="s">
        <v>322</v>
      </c>
      <c r="D51" s="582"/>
      <c r="E51" s="582"/>
      <c r="F51" s="582"/>
      <c r="G51" s="582"/>
      <c r="H51" s="582"/>
      <c r="I51" s="582"/>
      <c r="J51" s="582"/>
      <c r="K51" s="582"/>
      <c r="L51" s="582"/>
      <c r="M51" s="582"/>
      <c r="N51" s="583"/>
      <c r="O51" s="1345"/>
      <c r="P51" s="1345"/>
      <c r="Q51" s="1345"/>
      <c r="R51" s="1378"/>
      <c r="S51" s="1378"/>
      <c r="T51" s="1378"/>
      <c r="U51" s="1379"/>
    </row>
    <row r="52" spans="2:25" ht="13.5" customHeight="1">
      <c r="B52" s="1342" t="s">
        <v>1196</v>
      </c>
      <c r="C52" s="578" t="s">
        <v>323</v>
      </c>
      <c r="D52" s="579"/>
      <c r="E52" s="579"/>
      <c r="F52" s="579"/>
      <c r="G52" s="579"/>
      <c r="H52" s="579"/>
      <c r="I52" s="579"/>
      <c r="J52" s="579"/>
      <c r="K52" s="579"/>
      <c r="L52" s="579"/>
      <c r="M52" s="579"/>
      <c r="N52" s="580"/>
      <c r="O52" s="1344">
        <v>0</v>
      </c>
      <c r="P52" s="1344">
        <v>1</v>
      </c>
      <c r="Q52" s="1344">
        <v>9</v>
      </c>
      <c r="R52" s="1371"/>
      <c r="S52" s="1371"/>
      <c r="T52" s="1371"/>
      <c r="U52" s="1372"/>
    </row>
    <row r="53" spans="2:25" ht="13.5" customHeight="1">
      <c r="B53" s="1384"/>
      <c r="C53" s="592" t="s">
        <v>2006</v>
      </c>
      <c r="D53" s="558"/>
      <c r="E53" s="558"/>
      <c r="F53" s="558"/>
      <c r="G53" s="558"/>
      <c r="H53" s="558"/>
      <c r="I53" s="558"/>
      <c r="J53" s="558"/>
      <c r="K53" s="558"/>
      <c r="L53" s="558"/>
      <c r="M53" s="558"/>
      <c r="N53" s="593"/>
      <c r="O53" s="1386"/>
      <c r="P53" s="1386"/>
      <c r="Q53" s="1386"/>
      <c r="R53" s="1391"/>
      <c r="S53" s="1391"/>
      <c r="T53" s="1391"/>
      <c r="U53" s="1392"/>
    </row>
    <row r="54" spans="2:25" ht="13.5" customHeight="1">
      <c r="B54" s="1384"/>
      <c r="C54" s="592" t="s">
        <v>2007</v>
      </c>
      <c r="D54" s="558"/>
      <c r="E54" s="558"/>
      <c r="F54" s="558"/>
      <c r="G54" s="558"/>
      <c r="H54" s="558"/>
      <c r="I54" s="558"/>
      <c r="J54" s="558"/>
      <c r="K54" s="558"/>
      <c r="L54" s="558"/>
      <c r="M54" s="558"/>
      <c r="N54" s="593"/>
      <c r="O54" s="1386"/>
      <c r="P54" s="1386"/>
      <c r="Q54" s="1386"/>
      <c r="R54" s="1391"/>
      <c r="S54" s="1391"/>
      <c r="T54" s="1391"/>
      <c r="U54" s="1392"/>
    </row>
    <row r="55" spans="2:25" ht="13.5" customHeight="1">
      <c r="B55" s="1343"/>
      <c r="C55" s="581" t="s">
        <v>2008</v>
      </c>
      <c r="D55" s="582"/>
      <c r="E55" s="582"/>
      <c r="F55" s="582"/>
      <c r="G55" s="582"/>
      <c r="H55" s="582"/>
      <c r="I55" s="582"/>
      <c r="J55" s="582"/>
      <c r="K55" s="582"/>
      <c r="L55" s="582"/>
      <c r="M55" s="582"/>
      <c r="N55" s="583"/>
      <c r="O55" s="1345"/>
      <c r="P55" s="1345"/>
      <c r="Q55" s="1345"/>
      <c r="R55" s="1378"/>
      <c r="S55" s="1378"/>
      <c r="T55" s="1378"/>
      <c r="U55" s="1379"/>
    </row>
    <row r="56" spans="2:25" ht="13.5" customHeight="1">
      <c r="B56" s="1342" t="s">
        <v>1197</v>
      </c>
      <c r="C56" s="578" t="s">
        <v>338</v>
      </c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80"/>
      <c r="O56" s="1348">
        <v>0</v>
      </c>
      <c r="P56" s="1348">
        <v>2</v>
      </c>
      <c r="Q56" s="1344">
        <v>0</v>
      </c>
      <c r="R56" s="1371"/>
      <c r="S56" s="1371"/>
      <c r="T56" s="1371"/>
      <c r="U56" s="1372"/>
    </row>
    <row r="57" spans="2:25" ht="13.5" customHeight="1">
      <c r="B57" s="1343"/>
      <c r="C57" s="581" t="s">
        <v>339</v>
      </c>
      <c r="D57" s="582"/>
      <c r="E57" s="582"/>
      <c r="F57" s="582"/>
      <c r="G57" s="582"/>
      <c r="H57" s="582"/>
      <c r="I57" s="582"/>
      <c r="J57" s="582"/>
      <c r="K57" s="582"/>
      <c r="L57" s="582"/>
      <c r="M57" s="582"/>
      <c r="N57" s="583"/>
      <c r="O57" s="1349"/>
      <c r="P57" s="1349"/>
      <c r="Q57" s="1345"/>
      <c r="R57" s="1378"/>
      <c r="S57" s="1378"/>
      <c r="T57" s="1378"/>
      <c r="U57" s="1379"/>
    </row>
    <row r="58" spans="2:25" ht="12.75" customHeight="1">
      <c r="B58" s="1342" t="s">
        <v>1198</v>
      </c>
      <c r="C58" s="578" t="s">
        <v>656</v>
      </c>
      <c r="D58" s="579"/>
      <c r="E58" s="579"/>
      <c r="F58" s="579"/>
      <c r="G58" s="579"/>
      <c r="H58" s="579"/>
      <c r="I58" s="579"/>
      <c r="J58" s="579"/>
      <c r="K58" s="579"/>
      <c r="L58" s="579"/>
      <c r="M58" s="579"/>
      <c r="N58" s="580"/>
      <c r="O58" s="1348">
        <v>0</v>
      </c>
      <c r="P58" s="1348">
        <v>2</v>
      </c>
      <c r="Q58" s="1344">
        <v>1</v>
      </c>
      <c r="R58" s="1371"/>
      <c r="S58" s="1371"/>
      <c r="T58" s="1371"/>
      <c r="U58" s="1372"/>
    </row>
    <row r="59" spans="2:25" ht="12.75" customHeight="1">
      <c r="B59" s="1343"/>
      <c r="C59" s="581" t="s">
        <v>657</v>
      </c>
      <c r="D59" s="582"/>
      <c r="E59" s="582"/>
      <c r="F59" s="582"/>
      <c r="G59" s="582"/>
      <c r="H59" s="582"/>
      <c r="I59" s="582"/>
      <c r="J59" s="582"/>
      <c r="K59" s="582"/>
      <c r="L59" s="582"/>
      <c r="M59" s="582"/>
      <c r="N59" s="583"/>
      <c r="O59" s="1349"/>
      <c r="P59" s="1349"/>
      <c r="Q59" s="1345"/>
      <c r="R59" s="1378"/>
      <c r="S59" s="1378"/>
      <c r="T59" s="1378"/>
      <c r="U59" s="1379"/>
    </row>
    <row r="60" spans="2:25" ht="13.5" customHeight="1">
      <c r="B60" s="1342" t="s">
        <v>2530</v>
      </c>
      <c r="C60" s="578" t="s">
        <v>658</v>
      </c>
      <c r="D60" s="579"/>
      <c r="E60" s="579"/>
      <c r="F60" s="579"/>
      <c r="G60" s="579"/>
      <c r="H60" s="579"/>
      <c r="I60" s="579"/>
      <c r="J60" s="579"/>
      <c r="K60" s="579"/>
      <c r="L60" s="579"/>
      <c r="M60" s="579"/>
      <c r="N60" s="580"/>
      <c r="O60" s="1348">
        <v>0</v>
      </c>
      <c r="P60" s="1348">
        <v>2</v>
      </c>
      <c r="Q60" s="1344">
        <v>2</v>
      </c>
      <c r="R60" s="1371"/>
      <c r="S60" s="1371"/>
      <c r="T60" s="1371"/>
      <c r="U60" s="1372"/>
    </row>
    <row r="61" spans="2:25" ht="13.5" customHeight="1">
      <c r="B61" s="1343"/>
      <c r="C61" s="581" t="s">
        <v>659</v>
      </c>
      <c r="D61" s="582"/>
      <c r="E61" s="582"/>
      <c r="F61" s="582"/>
      <c r="G61" s="582"/>
      <c r="H61" s="582"/>
      <c r="I61" s="582"/>
      <c r="J61" s="582"/>
      <c r="K61" s="582"/>
      <c r="L61" s="582"/>
      <c r="M61" s="582"/>
      <c r="N61" s="583"/>
      <c r="O61" s="1349"/>
      <c r="P61" s="1349"/>
      <c r="Q61" s="1345"/>
      <c r="R61" s="1378"/>
      <c r="S61" s="1378"/>
      <c r="T61" s="1378"/>
      <c r="U61" s="1379"/>
    </row>
    <row r="62" spans="2:25" ht="14.25" customHeight="1">
      <c r="B62" s="1342" t="s">
        <v>2234</v>
      </c>
      <c r="C62" s="578" t="s">
        <v>660</v>
      </c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80"/>
      <c r="O62" s="1348">
        <v>0</v>
      </c>
      <c r="P62" s="1348">
        <v>2</v>
      </c>
      <c r="Q62" s="1344">
        <v>3</v>
      </c>
      <c r="R62" s="1371"/>
      <c r="S62" s="1371"/>
      <c r="T62" s="1371"/>
      <c r="U62" s="1372"/>
    </row>
    <row r="63" spans="2:25" ht="14.25" customHeight="1">
      <c r="B63" s="1384"/>
      <c r="C63" s="592" t="s">
        <v>661</v>
      </c>
      <c r="D63" s="558"/>
      <c r="E63" s="558"/>
      <c r="F63" s="558"/>
      <c r="G63" s="558"/>
      <c r="H63" s="558"/>
      <c r="I63" s="558"/>
      <c r="J63" s="558"/>
      <c r="K63" s="558"/>
      <c r="L63" s="558"/>
      <c r="M63" s="558"/>
      <c r="N63" s="593"/>
      <c r="O63" s="1385"/>
      <c r="P63" s="1385"/>
      <c r="Q63" s="1386"/>
      <c r="R63" s="1391"/>
      <c r="S63" s="1391"/>
      <c r="T63" s="1391"/>
      <c r="U63" s="1392"/>
    </row>
    <row r="64" spans="2:25" ht="14.25" customHeight="1">
      <c r="B64" s="1343"/>
      <c r="C64" s="581" t="s">
        <v>662</v>
      </c>
      <c r="D64" s="582"/>
      <c r="E64" s="582"/>
      <c r="F64" s="582"/>
      <c r="G64" s="582"/>
      <c r="H64" s="582"/>
      <c r="I64" s="582"/>
      <c r="J64" s="582"/>
      <c r="K64" s="582"/>
      <c r="L64" s="582"/>
      <c r="M64" s="582"/>
      <c r="N64" s="583"/>
      <c r="O64" s="1349"/>
      <c r="P64" s="1349"/>
      <c r="Q64" s="1345"/>
      <c r="R64" s="1378"/>
      <c r="S64" s="1378"/>
      <c r="T64" s="1378"/>
      <c r="U64" s="1379"/>
    </row>
    <row r="65" spans="2:21" ht="14.25" customHeight="1">
      <c r="B65" s="1342" t="s">
        <v>2236</v>
      </c>
      <c r="C65" s="578" t="s">
        <v>663</v>
      </c>
      <c r="D65" s="579"/>
      <c r="E65" s="579"/>
      <c r="F65" s="579"/>
      <c r="G65" s="579"/>
      <c r="H65" s="579"/>
      <c r="I65" s="579"/>
      <c r="J65" s="579"/>
      <c r="K65" s="579"/>
      <c r="L65" s="579"/>
      <c r="M65" s="579"/>
      <c r="N65" s="580"/>
      <c r="O65" s="1348">
        <v>0</v>
      </c>
      <c r="P65" s="1348">
        <v>2</v>
      </c>
      <c r="Q65" s="1344">
        <v>4</v>
      </c>
      <c r="R65" s="1371"/>
      <c r="S65" s="1371"/>
      <c r="T65" s="1371"/>
      <c r="U65" s="1372"/>
    </row>
    <row r="66" spans="2:21" ht="14.25" customHeight="1">
      <c r="B66" s="1384"/>
      <c r="C66" s="592" t="s">
        <v>664</v>
      </c>
      <c r="D66" s="558"/>
      <c r="E66" s="558"/>
      <c r="F66" s="558"/>
      <c r="G66" s="558"/>
      <c r="H66" s="558"/>
      <c r="I66" s="558"/>
      <c r="J66" s="558"/>
      <c r="K66" s="558"/>
      <c r="L66" s="558"/>
      <c r="M66" s="558"/>
      <c r="N66" s="593"/>
      <c r="O66" s="1385"/>
      <c r="P66" s="1385"/>
      <c r="Q66" s="1386"/>
      <c r="R66" s="1391"/>
      <c r="S66" s="1391"/>
      <c r="T66" s="1391"/>
      <c r="U66" s="1392"/>
    </row>
    <row r="67" spans="2:21" ht="14.25" customHeight="1">
      <c r="B67" s="1343"/>
      <c r="C67" s="581" t="s">
        <v>1418</v>
      </c>
      <c r="D67" s="582"/>
      <c r="E67" s="582"/>
      <c r="F67" s="582"/>
      <c r="G67" s="582"/>
      <c r="H67" s="582"/>
      <c r="I67" s="582"/>
      <c r="J67" s="582"/>
      <c r="K67" s="582"/>
      <c r="L67" s="582"/>
      <c r="M67" s="582"/>
      <c r="N67" s="583"/>
      <c r="O67" s="1349"/>
      <c r="P67" s="1349"/>
      <c r="Q67" s="1345"/>
      <c r="R67" s="1378"/>
      <c r="S67" s="1378"/>
      <c r="T67" s="1378"/>
      <c r="U67" s="1379"/>
    </row>
    <row r="68" spans="2:21" ht="12.75" customHeight="1">
      <c r="B68" s="1342" t="s">
        <v>2237</v>
      </c>
      <c r="C68" s="578" t="s">
        <v>407</v>
      </c>
      <c r="D68" s="579"/>
      <c r="E68" s="579"/>
      <c r="F68" s="579"/>
      <c r="G68" s="579"/>
      <c r="H68" s="579"/>
      <c r="I68" s="579"/>
      <c r="J68" s="579"/>
      <c r="K68" s="579"/>
      <c r="L68" s="579"/>
      <c r="M68" s="579"/>
      <c r="N68" s="580"/>
      <c r="O68" s="1348">
        <v>0</v>
      </c>
      <c r="P68" s="1348">
        <v>2</v>
      </c>
      <c r="Q68" s="1344">
        <v>5</v>
      </c>
      <c r="R68" s="1371"/>
      <c r="S68" s="1371"/>
      <c r="T68" s="1371"/>
      <c r="U68" s="1372"/>
    </row>
    <row r="69" spans="2:21" ht="12.75" customHeight="1">
      <c r="B69" s="1384"/>
      <c r="C69" s="592" t="s">
        <v>408</v>
      </c>
      <c r="D69" s="558"/>
      <c r="E69" s="558"/>
      <c r="F69" s="558"/>
      <c r="G69" s="558"/>
      <c r="H69" s="558"/>
      <c r="I69" s="558"/>
      <c r="J69" s="558"/>
      <c r="K69" s="558"/>
      <c r="L69" s="558"/>
      <c r="M69" s="558"/>
      <c r="N69" s="593"/>
      <c r="O69" s="1385"/>
      <c r="P69" s="1385"/>
      <c r="Q69" s="1386"/>
      <c r="R69" s="1391"/>
      <c r="S69" s="1391"/>
      <c r="T69" s="1391"/>
      <c r="U69" s="1392"/>
    </row>
    <row r="70" spans="2:21" ht="12.75" customHeight="1">
      <c r="B70" s="1384"/>
      <c r="C70" s="592" t="s">
        <v>409</v>
      </c>
      <c r="D70" s="558"/>
      <c r="E70" s="558"/>
      <c r="F70" s="558"/>
      <c r="G70" s="558"/>
      <c r="H70" s="558"/>
      <c r="I70" s="558"/>
      <c r="J70" s="558"/>
      <c r="K70" s="558"/>
      <c r="L70" s="558"/>
      <c r="M70" s="558"/>
      <c r="N70" s="593"/>
      <c r="O70" s="1385"/>
      <c r="P70" s="1385"/>
      <c r="Q70" s="1386"/>
      <c r="R70" s="1391"/>
      <c r="S70" s="1391"/>
      <c r="T70" s="1391"/>
      <c r="U70" s="1392"/>
    </row>
    <row r="71" spans="2:21" ht="12.75" customHeight="1">
      <c r="B71" s="1343"/>
      <c r="C71" s="581" t="s">
        <v>410</v>
      </c>
      <c r="D71" s="582"/>
      <c r="E71" s="582"/>
      <c r="F71" s="582"/>
      <c r="G71" s="582"/>
      <c r="H71" s="582"/>
      <c r="I71" s="582"/>
      <c r="J71" s="582"/>
      <c r="K71" s="582"/>
      <c r="L71" s="582"/>
      <c r="M71" s="582"/>
      <c r="N71" s="583"/>
      <c r="O71" s="1349"/>
      <c r="P71" s="1349"/>
      <c r="Q71" s="1345"/>
      <c r="R71" s="1378"/>
      <c r="S71" s="1378"/>
      <c r="T71" s="1378"/>
      <c r="U71" s="1379"/>
    </row>
    <row r="72" spans="2:21" ht="14.25" customHeight="1">
      <c r="B72" s="1342" t="s">
        <v>2238</v>
      </c>
      <c r="C72" s="578" t="s">
        <v>411</v>
      </c>
      <c r="D72" s="579"/>
      <c r="E72" s="579"/>
      <c r="F72" s="579"/>
      <c r="G72" s="579"/>
      <c r="H72" s="579"/>
      <c r="I72" s="579"/>
      <c r="J72" s="579"/>
      <c r="K72" s="579"/>
      <c r="L72" s="579"/>
      <c r="M72" s="579"/>
      <c r="N72" s="580"/>
      <c r="O72" s="1348">
        <v>0</v>
      </c>
      <c r="P72" s="1348">
        <v>2</v>
      </c>
      <c r="Q72" s="1344">
        <v>6</v>
      </c>
      <c r="R72" s="1371"/>
      <c r="S72" s="1371"/>
      <c r="T72" s="1371"/>
      <c r="U72" s="1372"/>
    </row>
    <row r="73" spans="2:21" ht="14.25" customHeight="1">
      <c r="B73" s="1384"/>
      <c r="C73" s="592" t="s">
        <v>412</v>
      </c>
      <c r="D73" s="558"/>
      <c r="E73" s="558"/>
      <c r="F73" s="558"/>
      <c r="G73" s="558"/>
      <c r="H73" s="558"/>
      <c r="I73" s="558"/>
      <c r="J73" s="558"/>
      <c r="K73" s="558"/>
      <c r="L73" s="558"/>
      <c r="M73" s="558"/>
      <c r="N73" s="593"/>
      <c r="O73" s="1385"/>
      <c r="P73" s="1385"/>
      <c r="Q73" s="1386"/>
      <c r="R73" s="1391"/>
      <c r="S73" s="1391"/>
      <c r="T73" s="1391"/>
      <c r="U73" s="1392"/>
    </row>
    <row r="74" spans="2:21" ht="14.25" customHeight="1">
      <c r="B74" s="1343"/>
      <c r="C74" s="581" t="s">
        <v>1876</v>
      </c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3"/>
      <c r="O74" s="1349"/>
      <c r="P74" s="1349"/>
      <c r="Q74" s="1345"/>
      <c r="R74" s="1378"/>
      <c r="S74" s="1378"/>
      <c r="T74" s="1378"/>
      <c r="U74" s="1379"/>
    </row>
    <row r="75" spans="2:21" ht="14.25" customHeight="1">
      <c r="B75" s="1342" t="s">
        <v>2239</v>
      </c>
      <c r="C75" s="578" t="s">
        <v>1877</v>
      </c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80"/>
      <c r="O75" s="1348">
        <v>0</v>
      </c>
      <c r="P75" s="1348">
        <v>2</v>
      </c>
      <c r="Q75" s="1344">
        <v>7</v>
      </c>
      <c r="R75" s="1371"/>
      <c r="S75" s="1371"/>
      <c r="T75" s="1371"/>
      <c r="U75" s="1372"/>
    </row>
    <row r="76" spans="2:21" ht="14.25" customHeight="1">
      <c r="B76" s="1384"/>
      <c r="C76" s="592" t="s">
        <v>1878</v>
      </c>
      <c r="D76" s="558"/>
      <c r="E76" s="558"/>
      <c r="F76" s="558"/>
      <c r="G76" s="558"/>
      <c r="H76" s="558"/>
      <c r="I76" s="558"/>
      <c r="J76" s="558"/>
      <c r="K76" s="558"/>
      <c r="L76" s="558"/>
      <c r="M76" s="558"/>
      <c r="N76" s="593"/>
      <c r="O76" s="1385"/>
      <c r="P76" s="1385"/>
      <c r="Q76" s="1386"/>
      <c r="R76" s="1391"/>
      <c r="S76" s="1391"/>
      <c r="T76" s="1391"/>
      <c r="U76" s="1392"/>
    </row>
    <row r="77" spans="2:21" ht="14.25" customHeight="1">
      <c r="B77" s="1343"/>
      <c r="C77" s="581" t="s">
        <v>1879</v>
      </c>
      <c r="D77" s="582"/>
      <c r="E77" s="582"/>
      <c r="F77" s="582"/>
      <c r="G77" s="582"/>
      <c r="H77" s="582"/>
      <c r="I77" s="582"/>
      <c r="J77" s="582"/>
      <c r="K77" s="582"/>
      <c r="L77" s="582"/>
      <c r="M77" s="582"/>
      <c r="N77" s="583"/>
      <c r="O77" s="1349"/>
      <c r="P77" s="1349"/>
      <c r="Q77" s="1345"/>
      <c r="R77" s="1378"/>
      <c r="S77" s="1378"/>
      <c r="T77" s="1378"/>
      <c r="U77" s="1379"/>
    </row>
    <row r="78" spans="2:21" ht="13.5" customHeight="1">
      <c r="B78" s="1342" t="s">
        <v>2240</v>
      </c>
      <c r="C78" s="578" t="s">
        <v>1880</v>
      </c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80"/>
      <c r="O78" s="1348">
        <v>0</v>
      </c>
      <c r="P78" s="1348">
        <v>2</v>
      </c>
      <c r="Q78" s="1344">
        <v>8</v>
      </c>
      <c r="R78" s="1371"/>
      <c r="S78" s="1371"/>
      <c r="T78" s="1371"/>
      <c r="U78" s="1372"/>
    </row>
    <row r="79" spans="2:21" ht="13.5" customHeight="1">
      <c r="B79" s="1384"/>
      <c r="C79" s="592" t="s">
        <v>412</v>
      </c>
      <c r="D79" s="558"/>
      <c r="E79" s="558"/>
      <c r="F79" s="558"/>
      <c r="G79" s="558"/>
      <c r="H79" s="558"/>
      <c r="I79" s="558"/>
      <c r="J79" s="558"/>
      <c r="K79" s="558"/>
      <c r="L79" s="558"/>
      <c r="M79" s="558"/>
      <c r="N79" s="593"/>
      <c r="O79" s="1385"/>
      <c r="P79" s="1385"/>
      <c r="Q79" s="1386"/>
      <c r="R79" s="1391"/>
      <c r="S79" s="1391"/>
      <c r="T79" s="1391"/>
      <c r="U79" s="1392"/>
    </row>
    <row r="80" spans="2:21" ht="13.5" customHeight="1">
      <c r="B80" s="1343"/>
      <c r="C80" s="581" t="s">
        <v>1879</v>
      </c>
      <c r="D80" s="582"/>
      <c r="E80" s="582"/>
      <c r="F80" s="582"/>
      <c r="G80" s="582"/>
      <c r="H80" s="582"/>
      <c r="I80" s="582"/>
      <c r="J80" s="582"/>
      <c r="K80" s="582"/>
      <c r="L80" s="582"/>
      <c r="M80" s="582"/>
      <c r="N80" s="583"/>
      <c r="O80" s="1349"/>
      <c r="P80" s="1349"/>
      <c r="Q80" s="1345"/>
      <c r="R80" s="1378"/>
      <c r="S80" s="1378"/>
      <c r="T80" s="1378"/>
      <c r="U80" s="1379"/>
    </row>
    <row r="81" spans="2:25" ht="14.25" customHeight="1">
      <c r="B81" s="1342" t="s">
        <v>2241</v>
      </c>
      <c r="C81" s="578" t="s">
        <v>1881</v>
      </c>
      <c r="D81" s="579"/>
      <c r="E81" s="579"/>
      <c r="F81" s="579"/>
      <c r="G81" s="579"/>
      <c r="H81" s="579"/>
      <c r="I81" s="579"/>
      <c r="J81" s="579"/>
      <c r="K81" s="579"/>
      <c r="L81" s="579"/>
      <c r="M81" s="579"/>
      <c r="N81" s="580"/>
      <c r="O81" s="1348">
        <v>0</v>
      </c>
      <c r="P81" s="1348">
        <v>2</v>
      </c>
      <c r="Q81" s="1344">
        <v>9</v>
      </c>
      <c r="R81" s="1371"/>
      <c r="S81" s="1371"/>
      <c r="T81" s="1371"/>
      <c r="U81" s="1372"/>
    </row>
    <row r="82" spans="2:25" ht="14.25" customHeight="1">
      <c r="B82" s="1384"/>
      <c r="C82" s="592" t="s">
        <v>1882</v>
      </c>
      <c r="D82" s="558"/>
      <c r="E82" s="558"/>
      <c r="F82" s="558"/>
      <c r="G82" s="558"/>
      <c r="H82" s="558"/>
      <c r="I82" s="558"/>
      <c r="J82" s="558"/>
      <c r="K82" s="558"/>
      <c r="L82" s="558"/>
      <c r="M82" s="558"/>
      <c r="N82" s="593"/>
      <c r="O82" s="1385"/>
      <c r="P82" s="1385"/>
      <c r="Q82" s="1386"/>
      <c r="R82" s="1391"/>
      <c r="S82" s="1391"/>
      <c r="T82" s="1391"/>
      <c r="U82" s="1392"/>
    </row>
    <row r="83" spans="2:25" ht="14.25" customHeight="1">
      <c r="B83" s="1343"/>
      <c r="C83" s="581" t="s">
        <v>410</v>
      </c>
      <c r="D83" s="582"/>
      <c r="E83" s="582"/>
      <c r="F83" s="582"/>
      <c r="G83" s="582"/>
      <c r="H83" s="582"/>
      <c r="I83" s="582"/>
      <c r="J83" s="582"/>
      <c r="K83" s="582"/>
      <c r="L83" s="582"/>
      <c r="M83" s="582"/>
      <c r="N83" s="583"/>
      <c r="O83" s="1349"/>
      <c r="P83" s="1349"/>
      <c r="Q83" s="1345"/>
      <c r="R83" s="1378"/>
      <c r="S83" s="1378"/>
      <c r="T83" s="1378"/>
      <c r="U83" s="1379"/>
    </row>
    <row r="84" spans="2:25" ht="13.5" customHeight="1">
      <c r="B84" s="1342" t="s">
        <v>2242</v>
      </c>
      <c r="C84" s="578" t="s">
        <v>1883</v>
      </c>
      <c r="D84" s="579"/>
      <c r="E84" s="579"/>
      <c r="F84" s="579"/>
      <c r="G84" s="579"/>
      <c r="H84" s="579"/>
      <c r="I84" s="579"/>
      <c r="J84" s="579"/>
      <c r="K84" s="579"/>
      <c r="L84" s="579"/>
      <c r="M84" s="579"/>
      <c r="N84" s="580"/>
      <c r="O84" s="1348">
        <v>0</v>
      </c>
      <c r="P84" s="1348">
        <v>3</v>
      </c>
      <c r="Q84" s="1390">
        <v>0</v>
      </c>
      <c r="R84" s="1371"/>
      <c r="S84" s="1371"/>
      <c r="T84" s="1371"/>
      <c r="U84" s="1372"/>
    </row>
    <row r="85" spans="2:25" ht="13.5" customHeight="1">
      <c r="B85" s="1343"/>
      <c r="C85" s="581" t="s">
        <v>1884</v>
      </c>
      <c r="D85" s="582"/>
      <c r="E85" s="582"/>
      <c r="F85" s="582"/>
      <c r="G85" s="582"/>
      <c r="H85" s="582"/>
      <c r="I85" s="582"/>
      <c r="J85" s="582"/>
      <c r="K85" s="582"/>
      <c r="L85" s="582"/>
      <c r="M85" s="582"/>
      <c r="N85" s="583"/>
      <c r="O85" s="1349"/>
      <c r="P85" s="1349"/>
      <c r="Q85" s="1390"/>
      <c r="R85" s="1378"/>
      <c r="S85" s="1378"/>
      <c r="T85" s="1378"/>
      <c r="U85" s="1379"/>
    </row>
    <row r="86" spans="2:25" ht="13.5" customHeight="1">
      <c r="B86" s="1342" t="s">
        <v>2243</v>
      </c>
      <c r="C86" s="578" t="s">
        <v>1425</v>
      </c>
      <c r="D86" s="579"/>
      <c r="E86" s="579"/>
      <c r="F86" s="579"/>
      <c r="G86" s="579"/>
      <c r="H86" s="579"/>
      <c r="I86" s="579"/>
      <c r="J86" s="579"/>
      <c r="K86" s="579"/>
      <c r="L86" s="579"/>
      <c r="M86" s="579"/>
      <c r="N86" s="580"/>
      <c r="O86" s="1348">
        <v>0</v>
      </c>
      <c r="P86" s="1348">
        <v>3</v>
      </c>
      <c r="Q86" s="1390">
        <v>1</v>
      </c>
      <c r="R86" s="1371"/>
      <c r="S86" s="1371"/>
      <c r="T86" s="1371"/>
      <c r="U86" s="1372"/>
    </row>
    <row r="87" spans="2:25" ht="13.5" customHeight="1">
      <c r="B87" s="1343"/>
      <c r="C87" s="581" t="s">
        <v>1426</v>
      </c>
      <c r="D87" s="582"/>
      <c r="E87" s="582"/>
      <c r="F87" s="582"/>
      <c r="G87" s="582"/>
      <c r="H87" s="582"/>
      <c r="I87" s="582"/>
      <c r="J87" s="582"/>
      <c r="K87" s="582"/>
      <c r="L87" s="582"/>
      <c r="M87" s="582"/>
      <c r="N87" s="583"/>
      <c r="O87" s="1349"/>
      <c r="P87" s="1349"/>
      <c r="Q87" s="1390"/>
      <c r="R87" s="1378"/>
      <c r="S87" s="1378"/>
      <c r="T87" s="1378"/>
      <c r="U87" s="1379"/>
    </row>
    <row r="88" spans="2:25" ht="12.75" customHeight="1">
      <c r="B88" s="1342" t="s">
        <v>2244</v>
      </c>
      <c r="C88" s="578" t="s">
        <v>1427</v>
      </c>
      <c r="D88" s="579"/>
      <c r="E88" s="579"/>
      <c r="F88" s="579"/>
      <c r="G88" s="579"/>
      <c r="H88" s="579"/>
      <c r="I88" s="579"/>
      <c r="J88" s="579"/>
      <c r="K88" s="579"/>
      <c r="L88" s="579"/>
      <c r="M88" s="579"/>
      <c r="N88" s="580"/>
      <c r="O88" s="1348">
        <v>0</v>
      </c>
      <c r="P88" s="1348">
        <v>3</v>
      </c>
      <c r="Q88" s="1390">
        <v>2</v>
      </c>
      <c r="R88" s="1371"/>
      <c r="S88" s="1371"/>
      <c r="T88" s="1371"/>
      <c r="U88" s="1372"/>
    </row>
    <row r="89" spans="2:25" ht="12.75" customHeight="1">
      <c r="B89" s="1343"/>
      <c r="C89" s="581" t="s">
        <v>1428</v>
      </c>
      <c r="D89" s="582"/>
      <c r="E89" s="582"/>
      <c r="F89" s="582"/>
      <c r="G89" s="582"/>
      <c r="H89" s="582"/>
      <c r="I89" s="582"/>
      <c r="J89" s="582"/>
      <c r="K89" s="582"/>
      <c r="L89" s="582"/>
      <c r="M89" s="582"/>
      <c r="N89" s="583"/>
      <c r="O89" s="1349"/>
      <c r="P89" s="1349"/>
      <c r="Q89" s="1390"/>
      <c r="R89" s="1378"/>
      <c r="S89" s="1378"/>
      <c r="T89" s="1378"/>
      <c r="U89" s="1379"/>
    </row>
    <row r="90" spans="2:25" s="440" customFormat="1" ht="15.75" customHeight="1">
      <c r="B90" s="604" t="s">
        <v>1421</v>
      </c>
      <c r="C90" s="585" t="s">
        <v>1429</v>
      </c>
      <c r="D90" s="568"/>
      <c r="E90" s="568"/>
      <c r="F90" s="568"/>
      <c r="G90" s="568"/>
      <c r="H90" s="568"/>
      <c r="I90" s="568"/>
      <c r="J90" s="568"/>
      <c r="K90" s="568"/>
      <c r="L90" s="568"/>
      <c r="M90" s="568"/>
      <c r="N90" s="586"/>
      <c r="O90" s="584"/>
      <c r="P90" s="584"/>
      <c r="Q90" s="584"/>
      <c r="R90" s="1437"/>
      <c r="S90" s="1437"/>
      <c r="T90" s="1437"/>
      <c r="U90" s="1438"/>
      <c r="V90" s="741"/>
      <c r="W90" s="741"/>
      <c r="X90" s="741"/>
      <c r="Y90" s="741"/>
    </row>
    <row r="91" spans="2:25" ht="13.5" customHeight="1">
      <c r="B91" s="1342" t="s">
        <v>2245</v>
      </c>
      <c r="C91" s="578" t="s">
        <v>1430</v>
      </c>
      <c r="D91" s="579"/>
      <c r="E91" s="579"/>
      <c r="F91" s="579"/>
      <c r="G91" s="579"/>
      <c r="H91" s="579"/>
      <c r="I91" s="579"/>
      <c r="J91" s="579"/>
      <c r="K91" s="579"/>
      <c r="L91" s="579"/>
      <c r="M91" s="579"/>
      <c r="N91" s="580"/>
      <c r="O91" s="1348">
        <v>0</v>
      </c>
      <c r="P91" s="1348">
        <v>3</v>
      </c>
      <c r="Q91" s="1390">
        <v>3</v>
      </c>
      <c r="R91" s="1371"/>
      <c r="S91" s="1371"/>
      <c r="T91" s="1371"/>
      <c r="U91" s="1372"/>
    </row>
    <row r="92" spans="2:25" ht="13.5" customHeight="1">
      <c r="B92" s="1343"/>
      <c r="C92" s="581" t="s">
        <v>1431</v>
      </c>
      <c r="D92" s="582"/>
      <c r="E92" s="582"/>
      <c r="F92" s="582"/>
      <c r="G92" s="582"/>
      <c r="H92" s="582"/>
      <c r="I92" s="582"/>
      <c r="J92" s="582"/>
      <c r="K92" s="582"/>
      <c r="L92" s="582"/>
      <c r="M92" s="582"/>
      <c r="N92" s="583"/>
      <c r="O92" s="1349"/>
      <c r="P92" s="1349"/>
      <c r="Q92" s="1390"/>
      <c r="R92" s="1378"/>
      <c r="S92" s="1378"/>
      <c r="T92" s="1378"/>
      <c r="U92" s="1379"/>
    </row>
    <row r="93" spans="2:25" ht="14.25" customHeight="1">
      <c r="B93" s="1342" t="s">
        <v>2246</v>
      </c>
      <c r="C93" s="578" t="s">
        <v>1432</v>
      </c>
      <c r="D93" s="579"/>
      <c r="E93" s="579"/>
      <c r="F93" s="579"/>
      <c r="G93" s="579"/>
      <c r="H93" s="579"/>
      <c r="I93" s="579"/>
      <c r="J93" s="579"/>
      <c r="K93" s="579"/>
      <c r="L93" s="579"/>
      <c r="M93" s="579"/>
      <c r="N93" s="580"/>
      <c r="O93" s="1348">
        <v>0</v>
      </c>
      <c r="P93" s="1348">
        <v>3</v>
      </c>
      <c r="Q93" s="1344">
        <v>4</v>
      </c>
      <c r="R93" s="1371"/>
      <c r="S93" s="1371"/>
      <c r="T93" s="1371"/>
      <c r="U93" s="1372"/>
    </row>
    <row r="94" spans="2:25" ht="14.25" customHeight="1">
      <c r="B94" s="1384"/>
      <c r="C94" s="592" t="s">
        <v>1433</v>
      </c>
      <c r="D94" s="558"/>
      <c r="E94" s="558"/>
      <c r="F94" s="558"/>
      <c r="G94" s="558"/>
      <c r="H94" s="558"/>
      <c r="I94" s="558"/>
      <c r="J94" s="558"/>
      <c r="K94" s="558"/>
      <c r="L94" s="558"/>
      <c r="M94" s="558"/>
      <c r="N94" s="593"/>
      <c r="O94" s="1385"/>
      <c r="P94" s="1385"/>
      <c r="Q94" s="1386"/>
      <c r="R94" s="1391"/>
      <c r="S94" s="1391"/>
      <c r="T94" s="1391"/>
      <c r="U94" s="1392"/>
    </row>
    <row r="95" spans="2:25" ht="14.25" customHeight="1">
      <c r="B95" s="1343"/>
      <c r="C95" s="581" t="s">
        <v>1434</v>
      </c>
      <c r="D95" s="582"/>
      <c r="E95" s="582"/>
      <c r="F95" s="582"/>
      <c r="G95" s="582"/>
      <c r="H95" s="582"/>
      <c r="I95" s="582"/>
      <c r="J95" s="582"/>
      <c r="K95" s="582"/>
      <c r="L95" s="582"/>
      <c r="M95" s="582"/>
      <c r="N95" s="583"/>
      <c r="O95" s="1349"/>
      <c r="P95" s="1349"/>
      <c r="Q95" s="1345"/>
      <c r="R95" s="1378"/>
      <c r="S95" s="1378"/>
      <c r="T95" s="1378"/>
      <c r="U95" s="1379"/>
    </row>
    <row r="96" spans="2:25" ht="15" customHeight="1">
      <c r="B96" s="1342" t="s">
        <v>2247</v>
      </c>
      <c r="C96" s="578" t="s">
        <v>1435</v>
      </c>
      <c r="D96" s="579"/>
      <c r="E96" s="579"/>
      <c r="F96" s="579"/>
      <c r="G96" s="579"/>
      <c r="H96" s="579"/>
      <c r="I96" s="579"/>
      <c r="J96" s="579"/>
      <c r="K96" s="579"/>
      <c r="L96" s="579"/>
      <c r="M96" s="579"/>
      <c r="N96" s="580"/>
      <c r="O96" s="1348">
        <v>0</v>
      </c>
      <c r="P96" s="1348">
        <v>3</v>
      </c>
      <c r="Q96" s="1344">
        <v>5</v>
      </c>
      <c r="R96" s="1371"/>
      <c r="S96" s="1371"/>
      <c r="T96" s="1371"/>
      <c r="U96" s="1372"/>
    </row>
    <row r="97" spans="2:25" ht="15" customHeight="1">
      <c r="B97" s="1384"/>
      <c r="C97" s="592" t="s">
        <v>1436</v>
      </c>
      <c r="D97" s="558"/>
      <c r="E97" s="558"/>
      <c r="F97" s="558"/>
      <c r="G97" s="558"/>
      <c r="H97" s="558"/>
      <c r="I97" s="558"/>
      <c r="J97" s="558"/>
      <c r="K97" s="558"/>
      <c r="L97" s="558"/>
      <c r="M97" s="558"/>
      <c r="N97" s="593"/>
      <c r="O97" s="1385"/>
      <c r="P97" s="1385"/>
      <c r="Q97" s="1386"/>
      <c r="R97" s="1391"/>
      <c r="S97" s="1391"/>
      <c r="T97" s="1391"/>
      <c r="U97" s="1392"/>
    </row>
    <row r="98" spans="2:25" ht="15" customHeight="1">
      <c r="B98" s="1343"/>
      <c r="C98" s="581" t="s">
        <v>1437</v>
      </c>
      <c r="D98" s="582"/>
      <c r="E98" s="582"/>
      <c r="F98" s="582"/>
      <c r="G98" s="582"/>
      <c r="H98" s="582"/>
      <c r="I98" s="582"/>
      <c r="J98" s="582"/>
      <c r="K98" s="582"/>
      <c r="L98" s="582"/>
      <c r="M98" s="582"/>
      <c r="N98" s="583"/>
      <c r="O98" s="1349"/>
      <c r="P98" s="1349"/>
      <c r="Q98" s="1345"/>
      <c r="R98" s="1378"/>
      <c r="S98" s="1378"/>
      <c r="T98" s="1378"/>
      <c r="U98" s="1379"/>
    </row>
    <row r="99" spans="2:25" ht="12.75" customHeight="1">
      <c r="B99" s="1342" t="s">
        <v>2248</v>
      </c>
      <c r="C99" s="578" t="s">
        <v>487</v>
      </c>
      <c r="D99" s="579"/>
      <c r="E99" s="579"/>
      <c r="F99" s="579"/>
      <c r="G99" s="579"/>
      <c r="H99" s="579"/>
      <c r="I99" s="579"/>
      <c r="J99" s="579"/>
      <c r="K99" s="579"/>
      <c r="L99" s="579"/>
      <c r="M99" s="579"/>
      <c r="N99" s="580"/>
      <c r="O99" s="1348">
        <v>0</v>
      </c>
      <c r="P99" s="1348">
        <v>3</v>
      </c>
      <c r="Q99" s="1344">
        <v>6</v>
      </c>
      <c r="R99" s="1371"/>
      <c r="S99" s="1371"/>
      <c r="T99" s="1371"/>
      <c r="U99" s="1372"/>
    </row>
    <row r="100" spans="2:25" ht="12.75" customHeight="1">
      <c r="B100" s="1343"/>
      <c r="C100" s="581" t="s">
        <v>488</v>
      </c>
      <c r="D100" s="582"/>
      <c r="E100" s="582"/>
      <c r="F100" s="582"/>
      <c r="G100" s="582"/>
      <c r="H100" s="582"/>
      <c r="I100" s="582"/>
      <c r="J100" s="582"/>
      <c r="K100" s="582"/>
      <c r="L100" s="582"/>
      <c r="M100" s="582"/>
      <c r="N100" s="583"/>
      <c r="O100" s="1349"/>
      <c r="P100" s="1349"/>
      <c r="Q100" s="1345"/>
      <c r="R100" s="1378"/>
      <c r="S100" s="1378"/>
      <c r="T100" s="1378"/>
      <c r="U100" s="1379"/>
    </row>
    <row r="101" spans="2:25" ht="12.75" customHeight="1">
      <c r="B101" s="1342" t="s">
        <v>2249</v>
      </c>
      <c r="C101" s="592" t="s">
        <v>491</v>
      </c>
      <c r="D101" s="558"/>
      <c r="E101" s="558"/>
      <c r="F101" s="558"/>
      <c r="G101" s="558"/>
      <c r="H101" s="558"/>
      <c r="I101" s="558"/>
      <c r="J101" s="558"/>
      <c r="K101" s="558"/>
      <c r="L101" s="558"/>
      <c r="M101" s="558"/>
      <c r="N101" s="593"/>
      <c r="O101" s="1344">
        <v>0</v>
      </c>
      <c r="P101" s="1344">
        <v>3</v>
      </c>
      <c r="Q101" s="1344">
        <v>7</v>
      </c>
      <c r="R101" s="1371"/>
      <c r="S101" s="1371"/>
      <c r="T101" s="1371"/>
      <c r="U101" s="1372"/>
    </row>
    <row r="102" spans="2:25" ht="12.75" customHeight="1">
      <c r="B102" s="1343"/>
      <c r="C102" s="592" t="s">
        <v>492</v>
      </c>
      <c r="D102" s="558"/>
      <c r="E102" s="558"/>
      <c r="F102" s="558"/>
      <c r="G102" s="558"/>
      <c r="H102" s="558"/>
      <c r="I102" s="558"/>
      <c r="J102" s="558"/>
      <c r="K102" s="558"/>
      <c r="L102" s="558"/>
      <c r="M102" s="558"/>
      <c r="N102" s="593"/>
      <c r="O102" s="1345"/>
      <c r="P102" s="1345"/>
      <c r="Q102" s="1345"/>
      <c r="R102" s="1378"/>
      <c r="S102" s="1378"/>
      <c r="T102" s="1378"/>
      <c r="U102" s="1379"/>
    </row>
    <row r="103" spans="2:25" ht="14.25" customHeight="1">
      <c r="B103" s="1342" t="s">
        <v>2250</v>
      </c>
      <c r="C103" s="578" t="s">
        <v>489</v>
      </c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80"/>
      <c r="O103" s="1348">
        <v>0</v>
      </c>
      <c r="P103" s="1348">
        <v>3</v>
      </c>
      <c r="Q103" s="1344">
        <v>8</v>
      </c>
      <c r="R103" s="1371"/>
      <c r="S103" s="1371"/>
      <c r="T103" s="1371"/>
      <c r="U103" s="1372"/>
    </row>
    <row r="104" spans="2:25" ht="14.25" customHeight="1" thickBot="1">
      <c r="B104" s="1364"/>
      <c r="C104" s="611" t="s">
        <v>490</v>
      </c>
      <c r="D104" s="612"/>
      <c r="E104" s="612"/>
      <c r="F104" s="612"/>
      <c r="G104" s="612"/>
      <c r="H104" s="612"/>
      <c r="I104" s="612"/>
      <c r="J104" s="612"/>
      <c r="K104" s="612"/>
      <c r="L104" s="612"/>
      <c r="M104" s="612"/>
      <c r="N104" s="613"/>
      <c r="O104" s="1389"/>
      <c r="P104" s="1389"/>
      <c r="Q104" s="1368"/>
      <c r="R104" s="1373"/>
      <c r="S104" s="1373"/>
      <c r="T104" s="1373"/>
      <c r="U104" s="1374"/>
    </row>
    <row r="105" spans="2:25" s="440" customFormat="1" ht="15.75" customHeight="1">
      <c r="B105" s="604" t="s">
        <v>493</v>
      </c>
      <c r="C105" s="585" t="s">
        <v>494</v>
      </c>
      <c r="D105" s="568"/>
      <c r="E105" s="568"/>
      <c r="F105" s="568"/>
      <c r="G105" s="568"/>
      <c r="H105" s="568"/>
      <c r="I105" s="568"/>
      <c r="J105" s="568"/>
      <c r="K105" s="568"/>
      <c r="L105" s="568"/>
      <c r="M105" s="568"/>
      <c r="N105" s="586"/>
      <c r="O105" s="584"/>
      <c r="P105" s="584"/>
      <c r="Q105" s="584"/>
      <c r="R105" s="1387"/>
      <c r="S105" s="1387"/>
      <c r="T105" s="1387"/>
      <c r="U105" s="1388"/>
      <c r="V105" s="741"/>
      <c r="W105" s="741"/>
      <c r="X105" s="741"/>
      <c r="Y105" s="741"/>
    </row>
    <row r="106" spans="2:25" ht="14.25" customHeight="1">
      <c r="B106" s="1342" t="s">
        <v>2251</v>
      </c>
      <c r="C106" s="578" t="s">
        <v>1210</v>
      </c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80"/>
      <c r="O106" s="1348">
        <v>0</v>
      </c>
      <c r="P106" s="1348">
        <v>3</v>
      </c>
      <c r="Q106" s="1344">
        <v>9</v>
      </c>
      <c r="R106" s="1357"/>
      <c r="S106" s="1357"/>
      <c r="T106" s="1357"/>
      <c r="U106" s="1358"/>
    </row>
    <row r="107" spans="2:25" ht="14.25" customHeight="1">
      <c r="B107" s="1384"/>
      <c r="C107" s="592" t="s">
        <v>1211</v>
      </c>
      <c r="D107" s="558"/>
      <c r="E107" s="558"/>
      <c r="F107" s="558"/>
      <c r="G107" s="558"/>
      <c r="H107" s="558"/>
      <c r="I107" s="558"/>
      <c r="J107" s="558"/>
      <c r="K107" s="558"/>
      <c r="L107" s="558"/>
      <c r="M107" s="558"/>
      <c r="N107" s="593"/>
      <c r="O107" s="1385"/>
      <c r="P107" s="1385"/>
      <c r="Q107" s="1386"/>
      <c r="R107" s="1380"/>
      <c r="S107" s="1380"/>
      <c r="T107" s="1380"/>
      <c r="U107" s="1381"/>
    </row>
    <row r="108" spans="2:25" ht="14.25" customHeight="1">
      <c r="B108" s="1343"/>
      <c r="C108" s="581" t="s">
        <v>1212</v>
      </c>
      <c r="D108" s="582"/>
      <c r="E108" s="582"/>
      <c r="F108" s="582"/>
      <c r="G108" s="582"/>
      <c r="H108" s="582"/>
      <c r="I108" s="582"/>
      <c r="J108" s="582"/>
      <c r="K108" s="582"/>
      <c r="L108" s="582"/>
      <c r="M108" s="582"/>
      <c r="N108" s="583"/>
      <c r="O108" s="1349"/>
      <c r="P108" s="1349"/>
      <c r="Q108" s="1345"/>
      <c r="R108" s="1359"/>
      <c r="S108" s="1359"/>
      <c r="T108" s="1359"/>
      <c r="U108" s="1360"/>
    </row>
    <row r="109" spans="2:25" ht="13.5" customHeight="1">
      <c r="B109" s="1342" t="s">
        <v>2252</v>
      </c>
      <c r="C109" s="578" t="s">
        <v>1213</v>
      </c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80"/>
      <c r="O109" s="1348">
        <v>0</v>
      </c>
      <c r="P109" s="1348">
        <v>4</v>
      </c>
      <c r="Q109" s="1344">
        <v>0</v>
      </c>
      <c r="R109" s="1357"/>
      <c r="S109" s="1357"/>
      <c r="T109" s="1357"/>
      <c r="U109" s="1358"/>
    </row>
    <row r="110" spans="2:25" ht="13.5" customHeight="1">
      <c r="B110" s="1384"/>
      <c r="C110" s="592" t="s">
        <v>1214</v>
      </c>
      <c r="D110" s="558"/>
      <c r="E110" s="558"/>
      <c r="F110" s="558"/>
      <c r="G110" s="558"/>
      <c r="H110" s="558"/>
      <c r="I110" s="558"/>
      <c r="J110" s="558"/>
      <c r="K110" s="558"/>
      <c r="L110" s="558"/>
      <c r="M110" s="558"/>
      <c r="N110" s="593"/>
      <c r="O110" s="1385"/>
      <c r="P110" s="1385"/>
      <c r="Q110" s="1386"/>
      <c r="R110" s="1380"/>
      <c r="S110" s="1380"/>
      <c r="T110" s="1380"/>
      <c r="U110" s="1381"/>
    </row>
    <row r="111" spans="2:25" ht="13.5" customHeight="1">
      <c r="B111" s="1343"/>
      <c r="C111" s="581" t="s">
        <v>1215</v>
      </c>
      <c r="D111" s="582"/>
      <c r="E111" s="582"/>
      <c r="F111" s="582"/>
      <c r="G111" s="582"/>
      <c r="H111" s="582"/>
      <c r="I111" s="582"/>
      <c r="J111" s="582"/>
      <c r="K111" s="582"/>
      <c r="L111" s="582"/>
      <c r="M111" s="582"/>
      <c r="N111" s="583"/>
      <c r="O111" s="1349"/>
      <c r="P111" s="1349"/>
      <c r="Q111" s="1345"/>
      <c r="R111" s="1359"/>
      <c r="S111" s="1359"/>
      <c r="T111" s="1359"/>
      <c r="U111" s="1360"/>
    </row>
    <row r="112" spans="2:25" ht="14.25" customHeight="1">
      <c r="B112" s="1342" t="s">
        <v>2254</v>
      </c>
      <c r="C112" s="578" t="s">
        <v>1216</v>
      </c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80"/>
      <c r="O112" s="1348">
        <v>0</v>
      </c>
      <c r="P112" s="1348">
        <v>4</v>
      </c>
      <c r="Q112" s="1344">
        <v>1</v>
      </c>
      <c r="R112" s="1357"/>
      <c r="S112" s="1357"/>
      <c r="T112" s="1357"/>
      <c r="U112" s="1358"/>
    </row>
    <row r="113" spans="2:25" ht="14.25" customHeight="1">
      <c r="B113" s="1384"/>
      <c r="C113" s="592" t="s">
        <v>1217</v>
      </c>
      <c r="D113" s="558"/>
      <c r="E113" s="558"/>
      <c r="F113" s="558"/>
      <c r="G113" s="558"/>
      <c r="H113" s="558"/>
      <c r="I113" s="558"/>
      <c r="J113" s="558"/>
      <c r="K113" s="558"/>
      <c r="L113" s="558"/>
      <c r="M113" s="558"/>
      <c r="N113" s="593"/>
      <c r="O113" s="1385"/>
      <c r="P113" s="1385"/>
      <c r="Q113" s="1386"/>
      <c r="R113" s="1380"/>
      <c r="S113" s="1380"/>
      <c r="T113" s="1380"/>
      <c r="U113" s="1381"/>
    </row>
    <row r="114" spans="2:25" ht="14.25" customHeight="1">
      <c r="B114" s="1343"/>
      <c r="C114" s="581" t="s">
        <v>1218</v>
      </c>
      <c r="D114" s="582"/>
      <c r="E114" s="582"/>
      <c r="F114" s="582"/>
      <c r="G114" s="582"/>
      <c r="H114" s="582"/>
      <c r="I114" s="582"/>
      <c r="J114" s="582"/>
      <c r="K114" s="582"/>
      <c r="L114" s="582"/>
      <c r="M114" s="582"/>
      <c r="N114" s="583"/>
      <c r="O114" s="1349"/>
      <c r="P114" s="1349"/>
      <c r="Q114" s="1345"/>
      <c r="R114" s="1359"/>
      <c r="S114" s="1359"/>
      <c r="T114" s="1359"/>
      <c r="U114" s="1360"/>
    </row>
    <row r="115" spans="2:25" ht="15.75" customHeight="1">
      <c r="B115" s="605"/>
      <c r="C115" s="587" t="s">
        <v>1219</v>
      </c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80"/>
      <c r="O115" s="576"/>
      <c r="P115" s="576"/>
      <c r="Q115" s="576"/>
      <c r="R115" s="1357"/>
      <c r="S115" s="1357"/>
      <c r="T115" s="1357"/>
      <c r="U115" s="1358"/>
    </row>
    <row r="116" spans="2:25" ht="15.75" customHeight="1">
      <c r="B116" s="607" t="s">
        <v>2032</v>
      </c>
      <c r="C116" s="590" t="s">
        <v>2031</v>
      </c>
      <c r="D116" s="582"/>
      <c r="E116" s="582"/>
      <c r="F116" s="582"/>
      <c r="G116" s="582"/>
      <c r="H116" s="582"/>
      <c r="I116" s="582"/>
      <c r="J116" s="582"/>
      <c r="K116" s="582"/>
      <c r="L116" s="582"/>
      <c r="M116" s="582"/>
      <c r="N116" s="583"/>
      <c r="O116" s="577"/>
      <c r="P116" s="577"/>
      <c r="Q116" s="577"/>
      <c r="R116" s="1359"/>
      <c r="S116" s="1359"/>
      <c r="T116" s="1359"/>
      <c r="U116" s="1360"/>
    </row>
    <row r="117" spans="2:25" ht="12" customHeight="1">
      <c r="B117" s="1342">
        <v>42</v>
      </c>
      <c r="C117" s="578" t="s">
        <v>776</v>
      </c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80"/>
      <c r="O117" s="1348">
        <v>0</v>
      </c>
      <c r="P117" s="1348">
        <v>4</v>
      </c>
      <c r="Q117" s="1344">
        <v>2</v>
      </c>
      <c r="R117" s="1357">
        <f>IF(SUM(R5-S6+R8-R10+R13+R16+R21+R29+R31+R33+R36+R39+R42+R43+R46+R48+R50+R52-R56-R58+R60-R62+R65-R68+R72-R75+R78-R81+R84+R86+R88-R91-R93-R96+R99-R101+R103+R106+R109+R112)&lt;0,0,R5-S6+R8-R10+R13+R16+R21+R29+R31+R33+R36+R39+R42+R43+R46+R48+R50+R52-R56-R58+R60-R62+R65-R68+R72-R75+R78-R81+R84+R86+R88-R91-R93-R96+R99-R101+R103+R106+R109+R112)</f>
        <v>0</v>
      </c>
      <c r="S117" s="1357"/>
      <c r="T117" s="1357"/>
      <c r="U117" s="1358"/>
    </row>
    <row r="118" spans="2:25" ht="12" customHeight="1">
      <c r="B118" s="1384"/>
      <c r="C118" s="592" t="s">
        <v>777</v>
      </c>
      <c r="D118" s="558"/>
      <c r="E118" s="558"/>
      <c r="F118" s="558"/>
      <c r="G118" s="558"/>
      <c r="H118" s="558"/>
      <c r="I118" s="558"/>
      <c r="J118" s="558"/>
      <c r="K118" s="558"/>
      <c r="L118" s="558"/>
      <c r="M118" s="558"/>
      <c r="N118" s="593"/>
      <c r="O118" s="1385"/>
      <c r="P118" s="1385"/>
      <c r="Q118" s="1386"/>
      <c r="R118" s="1380"/>
      <c r="S118" s="1380"/>
      <c r="T118" s="1380"/>
      <c r="U118" s="1381"/>
    </row>
    <row r="119" spans="2:25" ht="12" customHeight="1">
      <c r="B119" s="1343"/>
      <c r="C119" s="581" t="s">
        <v>778</v>
      </c>
      <c r="D119" s="582"/>
      <c r="E119" s="582"/>
      <c r="F119" s="582"/>
      <c r="G119" s="582"/>
      <c r="H119" s="582"/>
      <c r="I119" s="582"/>
      <c r="J119" s="582"/>
      <c r="K119" s="582"/>
      <c r="L119" s="582"/>
      <c r="M119" s="582"/>
      <c r="N119" s="583"/>
      <c r="O119" s="1349"/>
      <c r="P119" s="1349"/>
      <c r="Q119" s="1345"/>
      <c r="R119" s="1359"/>
      <c r="S119" s="1359"/>
      <c r="T119" s="1359"/>
      <c r="U119" s="1360"/>
    </row>
    <row r="120" spans="2:25" ht="12" customHeight="1">
      <c r="B120" s="1342" t="s">
        <v>2256</v>
      </c>
      <c r="C120" s="578" t="s">
        <v>2584</v>
      </c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80"/>
      <c r="O120" s="1348">
        <v>0</v>
      </c>
      <c r="P120" s="1348">
        <v>4</v>
      </c>
      <c r="Q120" s="1344">
        <v>3</v>
      </c>
      <c r="R120" s="1357">
        <f>IF(SUM(R5-S6+R8-R10+R13+R16+R21+R25+R29+R31+R33+R36+R39+R42+R43+R46+R48+R50+R52-R56-R58+R60-R62+R65-R68+R72-R75+R78-R81+R84+R86+R88-R91-R93-R96+R99-R101+R103+R103+R106+R109+R112)&gt;0,0,R5-S6+R8-R10+R13+R16+R21+R25+R29+R31+R33+R36+R39+R42+R43+R46+R48+R50+R52-R56-R58+R60-R62+R65-R68+R72-R75+R78-R81+R84+R86+R88-R91-R93-R96+R99-R101+R103+R103+R106+R109+R112)*-1</f>
        <v>0</v>
      </c>
      <c r="S120" s="1357"/>
      <c r="T120" s="1357"/>
      <c r="U120" s="1358"/>
    </row>
    <row r="121" spans="2:25" ht="12" customHeight="1">
      <c r="B121" s="1384"/>
      <c r="C121" s="592" t="s">
        <v>2585</v>
      </c>
      <c r="D121" s="558"/>
      <c r="E121" s="558"/>
      <c r="F121" s="558"/>
      <c r="G121" s="558"/>
      <c r="H121" s="558"/>
      <c r="I121" s="558"/>
      <c r="J121" s="558"/>
      <c r="K121" s="558"/>
      <c r="L121" s="558"/>
      <c r="M121" s="558"/>
      <c r="N121" s="593"/>
      <c r="O121" s="1385"/>
      <c r="P121" s="1385"/>
      <c r="Q121" s="1386"/>
      <c r="R121" s="1380"/>
      <c r="S121" s="1380"/>
      <c r="T121" s="1380"/>
      <c r="U121" s="1381"/>
    </row>
    <row r="122" spans="2:25" ht="12" customHeight="1">
      <c r="B122" s="1343"/>
      <c r="C122" s="581" t="s">
        <v>2586</v>
      </c>
      <c r="D122" s="582"/>
      <c r="E122" s="582"/>
      <c r="F122" s="582"/>
      <c r="G122" s="582"/>
      <c r="H122" s="582"/>
      <c r="I122" s="582"/>
      <c r="J122" s="582"/>
      <c r="K122" s="582"/>
      <c r="L122" s="582"/>
      <c r="M122" s="582"/>
      <c r="N122" s="583"/>
      <c r="O122" s="1349"/>
      <c r="P122" s="1349"/>
      <c r="Q122" s="1345"/>
      <c r="R122" s="1359"/>
      <c r="S122" s="1359"/>
      <c r="T122" s="1359"/>
      <c r="U122" s="1360"/>
    </row>
    <row r="123" spans="2:25" s="440" customFormat="1" ht="15.75" customHeight="1">
      <c r="B123" s="604" t="s">
        <v>2587</v>
      </c>
      <c r="C123" s="585" t="s">
        <v>2588</v>
      </c>
      <c r="D123" s="568"/>
      <c r="E123" s="568"/>
      <c r="F123" s="568"/>
      <c r="G123" s="568"/>
      <c r="H123" s="568"/>
      <c r="I123" s="568"/>
      <c r="J123" s="568"/>
      <c r="K123" s="568"/>
      <c r="L123" s="568"/>
      <c r="M123" s="568"/>
      <c r="N123" s="586"/>
      <c r="O123" s="584"/>
      <c r="P123" s="584"/>
      <c r="Q123" s="584"/>
      <c r="R123" s="1387"/>
      <c r="S123" s="1387"/>
      <c r="T123" s="1387"/>
      <c r="U123" s="1388"/>
      <c r="V123" s="741"/>
      <c r="W123" s="741"/>
      <c r="X123" s="741"/>
      <c r="Y123" s="741"/>
    </row>
    <row r="124" spans="2:25" ht="13.5" customHeight="1">
      <c r="B124" s="1342" t="s">
        <v>2257</v>
      </c>
      <c r="C124" s="578" t="s">
        <v>2589</v>
      </c>
      <c r="D124" s="579"/>
      <c r="E124" s="579"/>
      <c r="F124" s="579"/>
      <c r="G124" s="579"/>
      <c r="H124" s="579"/>
      <c r="I124" s="579"/>
      <c r="J124" s="579"/>
      <c r="K124" s="579"/>
      <c r="L124" s="579"/>
      <c r="M124" s="579"/>
      <c r="N124" s="580"/>
      <c r="O124" s="1348">
        <v>0</v>
      </c>
      <c r="P124" s="1348">
        <v>4</v>
      </c>
      <c r="Q124" s="1344">
        <v>4</v>
      </c>
      <c r="R124" s="1357">
        <f>'Obrazac GU-DOB'!Q32-'Obrazac GU-DOB'!P30</f>
        <v>0</v>
      </c>
      <c r="S124" s="1357"/>
      <c r="T124" s="1357"/>
      <c r="U124" s="1358"/>
    </row>
    <row r="125" spans="2:25" ht="13.5" customHeight="1">
      <c r="B125" s="1384"/>
      <c r="C125" s="592" t="s">
        <v>2590</v>
      </c>
      <c r="D125" s="558"/>
      <c r="E125" s="558"/>
      <c r="F125" s="558"/>
      <c r="G125" s="558"/>
      <c r="H125" s="558"/>
      <c r="I125" s="558"/>
      <c r="J125" s="558"/>
      <c r="K125" s="558"/>
      <c r="L125" s="558"/>
      <c r="M125" s="558"/>
      <c r="N125" s="593"/>
      <c r="O125" s="1385"/>
      <c r="P125" s="1385"/>
      <c r="Q125" s="1386"/>
      <c r="R125" s="1380"/>
      <c r="S125" s="1380"/>
      <c r="T125" s="1380"/>
      <c r="U125" s="1381"/>
    </row>
    <row r="126" spans="2:25" ht="13.5" customHeight="1">
      <c r="B126" s="1343"/>
      <c r="C126" s="581" t="s">
        <v>2591</v>
      </c>
      <c r="D126" s="582"/>
      <c r="E126" s="582"/>
      <c r="F126" s="582"/>
      <c r="G126" s="582"/>
      <c r="H126" s="582"/>
      <c r="I126" s="582"/>
      <c r="J126" s="582"/>
      <c r="K126" s="582"/>
      <c r="L126" s="582"/>
      <c r="M126" s="582"/>
      <c r="N126" s="583"/>
      <c r="O126" s="1349"/>
      <c r="P126" s="1349"/>
      <c r="Q126" s="1345"/>
      <c r="R126" s="1359"/>
      <c r="S126" s="1359"/>
      <c r="T126" s="1359"/>
      <c r="U126" s="1360"/>
    </row>
    <row r="127" spans="2:25" ht="13.5" customHeight="1">
      <c r="B127" s="1342" t="s">
        <v>1172</v>
      </c>
      <c r="C127" s="578" t="s">
        <v>2592</v>
      </c>
      <c r="D127" s="579"/>
      <c r="E127" s="579"/>
      <c r="F127" s="579"/>
      <c r="G127" s="579"/>
      <c r="H127" s="579"/>
      <c r="I127" s="579"/>
      <c r="J127" s="579"/>
      <c r="K127" s="579"/>
      <c r="L127" s="579"/>
      <c r="M127" s="579"/>
      <c r="N127" s="580"/>
      <c r="O127" s="1348">
        <v>0</v>
      </c>
      <c r="P127" s="1348">
        <v>4</v>
      </c>
      <c r="Q127" s="1344">
        <v>5</v>
      </c>
      <c r="R127" s="1357">
        <f>IF(SUM(R117-R124)&lt;0,0,R117-R124)</f>
        <v>0</v>
      </c>
      <c r="S127" s="1357"/>
      <c r="T127" s="1357"/>
      <c r="U127" s="1358"/>
    </row>
    <row r="128" spans="2:25" ht="13.5" customHeight="1">
      <c r="B128" s="1343"/>
      <c r="C128" s="581" t="s">
        <v>2593</v>
      </c>
      <c r="D128" s="582"/>
      <c r="E128" s="582"/>
      <c r="F128" s="582"/>
      <c r="G128" s="582"/>
      <c r="H128" s="582"/>
      <c r="I128" s="582"/>
      <c r="J128" s="582"/>
      <c r="K128" s="582"/>
      <c r="L128" s="582"/>
      <c r="M128" s="582"/>
      <c r="N128" s="583"/>
      <c r="O128" s="1349"/>
      <c r="P128" s="1349"/>
      <c r="Q128" s="1345"/>
      <c r="R128" s="1359"/>
      <c r="S128" s="1359"/>
      <c r="T128" s="1359"/>
      <c r="U128" s="1360"/>
    </row>
    <row r="129" spans="2:25" ht="13.5" customHeight="1">
      <c r="B129" s="1342" t="s">
        <v>363</v>
      </c>
      <c r="C129" s="578" t="s">
        <v>2594</v>
      </c>
      <c r="D129" s="579"/>
      <c r="E129" s="579"/>
      <c r="F129" s="579"/>
      <c r="G129" s="579"/>
      <c r="H129" s="579"/>
      <c r="I129" s="579"/>
      <c r="J129" s="579"/>
      <c r="K129" s="579"/>
      <c r="L129" s="579"/>
      <c r="M129" s="579"/>
      <c r="N129" s="580"/>
      <c r="O129" s="1348">
        <v>0</v>
      </c>
      <c r="P129" s="1348">
        <v>4</v>
      </c>
      <c r="Q129" s="1344">
        <v>6</v>
      </c>
      <c r="R129" s="1357">
        <f>IF(SUM(R124+R120-R117)&lt;0,0,R124+R120-R117)</f>
        <v>0</v>
      </c>
      <c r="S129" s="1357"/>
      <c r="T129" s="1357"/>
      <c r="U129" s="1358"/>
    </row>
    <row r="130" spans="2:25" ht="13.5" customHeight="1">
      <c r="B130" s="1343"/>
      <c r="C130" s="581" t="s">
        <v>2595</v>
      </c>
      <c r="D130" s="582"/>
      <c r="E130" s="582"/>
      <c r="F130" s="582"/>
      <c r="G130" s="582"/>
      <c r="H130" s="582"/>
      <c r="I130" s="582"/>
      <c r="J130" s="582"/>
      <c r="K130" s="582"/>
      <c r="L130" s="582"/>
      <c r="M130" s="582"/>
      <c r="N130" s="583"/>
      <c r="O130" s="1349"/>
      <c r="P130" s="1349"/>
      <c r="Q130" s="1345"/>
      <c r="R130" s="1359"/>
      <c r="S130" s="1359"/>
      <c r="T130" s="1359"/>
      <c r="U130" s="1360"/>
    </row>
    <row r="131" spans="2:25" ht="13.5" customHeight="1">
      <c r="B131" s="1342" t="s">
        <v>364</v>
      </c>
      <c r="C131" s="578" t="s">
        <v>2118</v>
      </c>
      <c r="D131" s="579"/>
      <c r="E131" s="579"/>
      <c r="F131" s="579"/>
      <c r="G131" s="579"/>
      <c r="H131" s="579"/>
      <c r="I131" s="579"/>
      <c r="J131" s="579"/>
      <c r="K131" s="579"/>
      <c r="L131" s="579"/>
      <c r="M131" s="579"/>
      <c r="N131" s="580"/>
      <c r="O131" s="1348">
        <v>0</v>
      </c>
      <c r="P131" s="1348">
        <v>4</v>
      </c>
      <c r="Q131" s="1344">
        <v>7</v>
      </c>
      <c r="R131" s="1357">
        <f>R129-'Obrazac GU-DOB'!Q17</f>
        <v>0</v>
      </c>
      <c r="S131" s="1357"/>
      <c r="T131" s="1357"/>
      <c r="U131" s="1358"/>
    </row>
    <row r="132" spans="2:25" ht="13.5" customHeight="1">
      <c r="B132" s="1384"/>
      <c r="C132" s="592" t="s">
        <v>2119</v>
      </c>
      <c r="D132" s="558"/>
      <c r="E132" s="558"/>
      <c r="F132" s="558"/>
      <c r="G132" s="558"/>
      <c r="H132" s="558"/>
      <c r="I132" s="558"/>
      <c r="J132" s="558"/>
      <c r="K132" s="558"/>
      <c r="L132" s="558"/>
      <c r="M132" s="558"/>
      <c r="N132" s="593"/>
      <c r="O132" s="1385"/>
      <c r="P132" s="1385"/>
      <c r="Q132" s="1386"/>
      <c r="R132" s="1380"/>
      <c r="S132" s="1380"/>
      <c r="T132" s="1380"/>
      <c r="U132" s="1381"/>
    </row>
    <row r="133" spans="2:25" ht="13.5" customHeight="1">
      <c r="B133" s="1343"/>
      <c r="C133" s="581" t="s">
        <v>1276</v>
      </c>
      <c r="D133" s="582"/>
      <c r="E133" s="582"/>
      <c r="F133" s="582"/>
      <c r="G133" s="582"/>
      <c r="H133" s="582"/>
      <c r="I133" s="582"/>
      <c r="J133" s="582"/>
      <c r="K133" s="582"/>
      <c r="L133" s="582"/>
      <c r="M133" s="582"/>
      <c r="N133" s="583"/>
      <c r="O133" s="1349"/>
      <c r="P133" s="1349"/>
      <c r="Q133" s="1345"/>
      <c r="R133" s="1359"/>
      <c r="S133" s="1359"/>
      <c r="T133" s="1359"/>
      <c r="U133" s="1360"/>
    </row>
    <row r="134" spans="2:25" s="440" customFormat="1" ht="15.75" customHeight="1">
      <c r="B134" s="608"/>
      <c r="C134" s="587" t="s">
        <v>1277</v>
      </c>
      <c r="D134" s="588"/>
      <c r="E134" s="588"/>
      <c r="F134" s="588"/>
      <c r="G134" s="588"/>
      <c r="H134" s="588"/>
      <c r="I134" s="588"/>
      <c r="J134" s="588"/>
      <c r="K134" s="588"/>
      <c r="L134" s="588"/>
      <c r="M134" s="588"/>
      <c r="N134" s="589"/>
      <c r="O134" s="596"/>
      <c r="P134" s="596"/>
      <c r="Q134" s="596"/>
      <c r="R134" s="751"/>
      <c r="S134" s="751"/>
      <c r="T134" s="751"/>
      <c r="U134" s="752"/>
      <c r="V134" s="741"/>
      <c r="W134" s="741"/>
      <c r="X134" s="741"/>
      <c r="Y134" s="741"/>
    </row>
    <row r="135" spans="2:25" s="440" customFormat="1" ht="15.75" customHeight="1">
      <c r="B135" s="607" t="s">
        <v>1279</v>
      </c>
      <c r="C135" s="590" t="s">
        <v>1278</v>
      </c>
      <c r="D135" s="567"/>
      <c r="E135" s="567"/>
      <c r="F135" s="567"/>
      <c r="G135" s="567"/>
      <c r="H135" s="567"/>
      <c r="I135" s="567"/>
      <c r="J135" s="567"/>
      <c r="K135" s="567"/>
      <c r="L135" s="567"/>
      <c r="M135" s="567"/>
      <c r="N135" s="591"/>
      <c r="O135" s="566"/>
      <c r="P135" s="566"/>
      <c r="Q135" s="566"/>
      <c r="R135" s="753"/>
      <c r="S135" s="753"/>
      <c r="T135" s="753"/>
      <c r="U135" s="754"/>
      <c r="V135" s="741"/>
      <c r="W135" s="741"/>
      <c r="X135" s="741"/>
      <c r="Y135" s="741"/>
    </row>
    <row r="136" spans="2:25" ht="15.75" customHeight="1">
      <c r="B136" s="606" t="s">
        <v>365</v>
      </c>
      <c r="C136" s="570" t="s">
        <v>1280</v>
      </c>
      <c r="D136" s="571"/>
      <c r="E136" s="571"/>
      <c r="F136" s="571"/>
      <c r="G136" s="571"/>
      <c r="H136" s="571"/>
      <c r="I136" s="571"/>
      <c r="J136" s="571"/>
      <c r="K136" s="571"/>
      <c r="L136" s="571"/>
      <c r="M136" s="571"/>
      <c r="N136" s="572"/>
      <c r="O136" s="573">
        <v>0</v>
      </c>
      <c r="P136" s="573">
        <v>4</v>
      </c>
      <c r="Q136" s="573">
        <v>8</v>
      </c>
      <c r="R136" s="1355">
        <f>R127</f>
        <v>0</v>
      </c>
      <c r="S136" s="1355"/>
      <c r="T136" s="1355"/>
      <c r="U136" s="1356"/>
    </row>
    <row r="137" spans="2:25" ht="15.75" customHeight="1">
      <c r="B137" s="606" t="s">
        <v>366</v>
      </c>
      <c r="C137" s="570" t="s">
        <v>1281</v>
      </c>
      <c r="D137" s="571"/>
      <c r="E137" s="571"/>
      <c r="F137" s="571"/>
      <c r="G137" s="571"/>
      <c r="H137" s="571"/>
      <c r="I137" s="571"/>
      <c r="J137" s="571"/>
      <c r="K137" s="571"/>
      <c r="L137" s="571"/>
      <c r="M137" s="571"/>
      <c r="N137" s="572"/>
      <c r="O137" s="573">
        <v>0</v>
      </c>
      <c r="P137" s="573">
        <v>4</v>
      </c>
      <c r="Q137" s="573">
        <v>9</v>
      </c>
      <c r="R137" s="1355">
        <f>R136*10%</f>
        <v>0</v>
      </c>
      <c r="S137" s="1355"/>
      <c r="T137" s="1355"/>
      <c r="U137" s="1356"/>
    </row>
    <row r="138" spans="2:25" ht="15.75" customHeight="1">
      <c r="B138" s="606" t="s">
        <v>367</v>
      </c>
      <c r="C138" s="570" t="s">
        <v>1282</v>
      </c>
      <c r="D138" s="571"/>
      <c r="E138" s="571"/>
      <c r="F138" s="571"/>
      <c r="G138" s="571"/>
      <c r="H138" s="571"/>
      <c r="I138" s="571"/>
      <c r="J138" s="571"/>
      <c r="K138" s="571"/>
      <c r="L138" s="571"/>
      <c r="M138" s="571"/>
      <c r="N138" s="572"/>
      <c r="O138" s="573">
        <v>0</v>
      </c>
      <c r="P138" s="573">
        <v>5</v>
      </c>
      <c r="Q138" s="573">
        <v>0</v>
      </c>
      <c r="R138" s="1355">
        <f>SUM(R139:U144)</f>
        <v>0</v>
      </c>
      <c r="S138" s="1355"/>
      <c r="T138" s="1355"/>
      <c r="U138" s="1356"/>
    </row>
    <row r="139" spans="2:25" ht="15.75" customHeight="1">
      <c r="B139" s="606"/>
      <c r="C139" s="598" t="s">
        <v>1283</v>
      </c>
      <c r="D139" s="570" t="s">
        <v>1284</v>
      </c>
      <c r="E139" s="571"/>
      <c r="F139" s="571"/>
      <c r="G139" s="571"/>
      <c r="H139" s="571"/>
      <c r="I139" s="571"/>
      <c r="J139" s="571"/>
      <c r="K139" s="571"/>
      <c r="L139" s="571"/>
      <c r="M139" s="571"/>
      <c r="N139" s="572"/>
      <c r="O139" s="573"/>
      <c r="P139" s="573"/>
      <c r="Q139" s="573"/>
      <c r="R139" s="1355"/>
      <c r="S139" s="1355"/>
      <c r="T139" s="1355"/>
      <c r="U139" s="1356"/>
    </row>
    <row r="140" spans="2:25" ht="15.75" customHeight="1">
      <c r="B140" s="606"/>
      <c r="C140" s="598" t="s">
        <v>1285</v>
      </c>
      <c r="D140" s="570" t="s">
        <v>1286</v>
      </c>
      <c r="E140" s="571"/>
      <c r="F140" s="571"/>
      <c r="G140" s="571"/>
      <c r="H140" s="571"/>
      <c r="I140" s="571"/>
      <c r="J140" s="571"/>
      <c r="K140" s="571"/>
      <c r="L140" s="571"/>
      <c r="M140" s="571"/>
      <c r="N140" s="572"/>
      <c r="O140" s="573"/>
      <c r="P140" s="573"/>
      <c r="Q140" s="573"/>
      <c r="R140" s="1355"/>
      <c r="S140" s="1355"/>
      <c r="T140" s="1355"/>
      <c r="U140" s="1356"/>
    </row>
    <row r="141" spans="2:25" ht="15.75" customHeight="1">
      <c r="B141" s="1342"/>
      <c r="C141" s="1382" t="s">
        <v>1287</v>
      </c>
      <c r="D141" s="578" t="s">
        <v>1288</v>
      </c>
      <c r="E141" s="579"/>
      <c r="F141" s="579"/>
      <c r="G141" s="579"/>
      <c r="H141" s="579"/>
      <c r="I141" s="579"/>
      <c r="J141" s="579"/>
      <c r="K141" s="579"/>
      <c r="L141" s="579"/>
      <c r="M141" s="579"/>
      <c r="N141" s="580"/>
      <c r="O141" s="1344"/>
      <c r="P141" s="1344"/>
      <c r="Q141" s="1344"/>
      <c r="R141" s="1357"/>
      <c r="S141" s="1357"/>
      <c r="T141" s="1357"/>
      <c r="U141" s="1358"/>
    </row>
    <row r="142" spans="2:25" ht="15.75" customHeight="1">
      <c r="B142" s="1343"/>
      <c r="C142" s="1383"/>
      <c r="D142" s="581" t="s">
        <v>1289</v>
      </c>
      <c r="E142" s="582"/>
      <c r="F142" s="582"/>
      <c r="G142" s="582"/>
      <c r="H142" s="582"/>
      <c r="I142" s="582"/>
      <c r="J142" s="582"/>
      <c r="K142" s="582"/>
      <c r="L142" s="582"/>
      <c r="M142" s="582"/>
      <c r="N142" s="583"/>
      <c r="O142" s="1345"/>
      <c r="P142" s="1345"/>
      <c r="Q142" s="1345"/>
      <c r="R142" s="1359"/>
      <c r="S142" s="1359"/>
      <c r="T142" s="1359"/>
      <c r="U142" s="1360"/>
    </row>
    <row r="143" spans="2:25" ht="15.75" customHeight="1">
      <c r="B143" s="606"/>
      <c r="C143" s="598" t="s">
        <v>1290</v>
      </c>
      <c r="D143" s="570" t="s">
        <v>1291</v>
      </c>
      <c r="E143" s="571"/>
      <c r="F143" s="571"/>
      <c r="G143" s="571"/>
      <c r="H143" s="571"/>
      <c r="I143" s="571"/>
      <c r="J143" s="571"/>
      <c r="K143" s="571"/>
      <c r="L143" s="571"/>
      <c r="M143" s="571"/>
      <c r="N143" s="572"/>
      <c r="O143" s="573"/>
      <c r="P143" s="573"/>
      <c r="Q143" s="573"/>
      <c r="R143" s="1355"/>
      <c r="S143" s="1355"/>
      <c r="T143" s="1355"/>
      <c r="U143" s="1356"/>
    </row>
    <row r="144" spans="2:25" ht="15.75" customHeight="1">
      <c r="B144" s="606"/>
      <c r="C144" s="598" t="s">
        <v>1292</v>
      </c>
      <c r="D144" s="570" t="s">
        <v>730</v>
      </c>
      <c r="E144" s="571"/>
      <c r="F144" s="571"/>
      <c r="G144" s="571"/>
      <c r="H144" s="571"/>
      <c r="I144" s="571"/>
      <c r="J144" s="571"/>
      <c r="K144" s="571"/>
      <c r="L144" s="571"/>
      <c r="M144" s="571"/>
      <c r="N144" s="572"/>
      <c r="O144" s="573"/>
      <c r="P144" s="573"/>
      <c r="Q144" s="573"/>
      <c r="R144" s="1355"/>
      <c r="S144" s="1355"/>
      <c r="T144" s="1355"/>
      <c r="U144" s="1356"/>
    </row>
    <row r="145" spans="2:25" ht="15.75" customHeight="1">
      <c r="B145" s="606" t="s">
        <v>368</v>
      </c>
      <c r="C145" s="1361" t="s">
        <v>731</v>
      </c>
      <c r="D145" s="1362"/>
      <c r="E145" s="1362"/>
      <c r="F145" s="1362"/>
      <c r="G145" s="1362"/>
      <c r="H145" s="1362"/>
      <c r="I145" s="1362"/>
      <c r="J145" s="1362"/>
      <c r="K145" s="1362"/>
      <c r="L145" s="1362"/>
      <c r="M145" s="1362"/>
      <c r="N145" s="1363"/>
      <c r="O145" s="573">
        <v>0</v>
      </c>
      <c r="P145" s="573">
        <v>5</v>
      </c>
      <c r="Q145" s="573">
        <v>1</v>
      </c>
      <c r="R145" s="1355">
        <f>SUM(R146:U150)</f>
        <v>0</v>
      </c>
      <c r="S145" s="1355"/>
      <c r="T145" s="1355"/>
      <c r="U145" s="1356"/>
    </row>
    <row r="146" spans="2:25" ht="15.75" customHeight="1">
      <c r="B146" s="606"/>
      <c r="C146" s="598" t="s">
        <v>1283</v>
      </c>
      <c r="D146" s="570" t="s">
        <v>732</v>
      </c>
      <c r="E146" s="571"/>
      <c r="F146" s="571"/>
      <c r="G146" s="571"/>
      <c r="H146" s="571"/>
      <c r="I146" s="571"/>
      <c r="J146" s="571"/>
      <c r="K146" s="571"/>
      <c r="L146" s="571"/>
      <c r="M146" s="571"/>
      <c r="N146" s="572"/>
      <c r="O146" s="573"/>
      <c r="P146" s="573"/>
      <c r="Q146" s="573"/>
      <c r="R146" s="1355"/>
      <c r="S146" s="1355"/>
      <c r="T146" s="1355"/>
      <c r="U146" s="1356"/>
    </row>
    <row r="147" spans="2:25" ht="15.75" customHeight="1">
      <c r="B147" s="606"/>
      <c r="C147" s="598" t="s">
        <v>1285</v>
      </c>
      <c r="D147" s="570" t="s">
        <v>733</v>
      </c>
      <c r="E147" s="571"/>
      <c r="F147" s="571"/>
      <c r="G147" s="571"/>
      <c r="H147" s="571"/>
      <c r="I147" s="571"/>
      <c r="J147" s="571"/>
      <c r="K147" s="571"/>
      <c r="L147" s="571"/>
      <c r="M147" s="571"/>
      <c r="N147" s="572"/>
      <c r="O147" s="573"/>
      <c r="P147" s="573"/>
      <c r="Q147" s="573"/>
      <c r="R147" s="1355"/>
      <c r="S147" s="1355"/>
      <c r="T147" s="1355"/>
      <c r="U147" s="1356"/>
    </row>
    <row r="148" spans="2:25" ht="15.75" customHeight="1">
      <c r="B148" s="606"/>
      <c r="C148" s="598" t="s">
        <v>734</v>
      </c>
      <c r="D148" s="570" t="s">
        <v>735</v>
      </c>
      <c r="E148" s="571"/>
      <c r="F148" s="571"/>
      <c r="G148" s="571"/>
      <c r="H148" s="571"/>
      <c r="I148" s="571"/>
      <c r="J148" s="571"/>
      <c r="K148" s="571"/>
      <c r="L148" s="571"/>
      <c r="M148" s="571"/>
      <c r="N148" s="572"/>
      <c r="O148" s="573"/>
      <c r="P148" s="573"/>
      <c r="Q148" s="573"/>
      <c r="R148" s="1355"/>
      <c r="S148" s="1355"/>
      <c r="T148" s="1355"/>
      <c r="U148" s="1356"/>
    </row>
    <row r="149" spans="2:25" ht="15.75" customHeight="1">
      <c r="B149" s="606"/>
      <c r="C149" s="598" t="s">
        <v>1290</v>
      </c>
      <c r="D149" s="570" t="s">
        <v>736</v>
      </c>
      <c r="E149" s="571"/>
      <c r="F149" s="571"/>
      <c r="G149" s="571"/>
      <c r="H149" s="571"/>
      <c r="I149" s="571"/>
      <c r="J149" s="571"/>
      <c r="K149" s="571"/>
      <c r="L149" s="571"/>
      <c r="M149" s="571"/>
      <c r="N149" s="572"/>
      <c r="O149" s="573"/>
      <c r="P149" s="573"/>
      <c r="Q149" s="573"/>
      <c r="R149" s="1355"/>
      <c r="S149" s="1355"/>
      <c r="T149" s="1355"/>
      <c r="U149" s="1356"/>
    </row>
    <row r="150" spans="2:25" ht="15.75" customHeight="1">
      <c r="B150" s="606"/>
      <c r="C150" s="598" t="s">
        <v>1292</v>
      </c>
      <c r="D150" s="570" t="s">
        <v>737</v>
      </c>
      <c r="E150" s="571"/>
      <c r="F150" s="571"/>
      <c r="G150" s="571"/>
      <c r="H150" s="571"/>
      <c r="I150" s="571"/>
      <c r="J150" s="571"/>
      <c r="K150" s="571"/>
      <c r="L150" s="571"/>
      <c r="M150" s="571"/>
      <c r="N150" s="572"/>
      <c r="O150" s="573"/>
      <c r="P150" s="573"/>
      <c r="Q150" s="573"/>
      <c r="R150" s="1355"/>
      <c r="S150" s="1355"/>
      <c r="T150" s="1355"/>
      <c r="U150" s="1356"/>
    </row>
    <row r="151" spans="2:25" ht="15.75" customHeight="1">
      <c r="B151" s="606" t="s">
        <v>369</v>
      </c>
      <c r="C151" s="1361" t="s">
        <v>738</v>
      </c>
      <c r="D151" s="1362"/>
      <c r="E151" s="1362"/>
      <c r="F151" s="1362"/>
      <c r="G151" s="1362"/>
      <c r="H151" s="1362"/>
      <c r="I151" s="1362"/>
      <c r="J151" s="1362"/>
      <c r="K151" s="1362"/>
      <c r="L151" s="1362"/>
      <c r="M151" s="1362"/>
      <c r="N151" s="1363"/>
      <c r="O151" s="573">
        <v>0</v>
      </c>
      <c r="P151" s="573">
        <v>5</v>
      </c>
      <c r="Q151" s="573">
        <v>2</v>
      </c>
      <c r="R151" s="1355">
        <f>SUM(R152:U154)</f>
        <v>0</v>
      </c>
      <c r="S151" s="1355"/>
      <c r="T151" s="1355"/>
      <c r="U151" s="1356"/>
    </row>
    <row r="152" spans="2:25" ht="15.75" customHeight="1">
      <c r="B152" s="606"/>
      <c r="C152" s="598" t="s">
        <v>1283</v>
      </c>
      <c r="D152" s="570" t="s">
        <v>455</v>
      </c>
      <c r="E152" s="571"/>
      <c r="F152" s="571"/>
      <c r="G152" s="571"/>
      <c r="H152" s="571"/>
      <c r="I152" s="571"/>
      <c r="J152" s="571"/>
      <c r="K152" s="571"/>
      <c r="L152" s="571"/>
      <c r="M152" s="571"/>
      <c r="N152" s="572"/>
      <c r="O152" s="573"/>
      <c r="P152" s="573"/>
      <c r="Q152" s="573"/>
      <c r="R152" s="1355"/>
      <c r="S152" s="1355"/>
      <c r="T152" s="1355"/>
      <c r="U152" s="1356"/>
    </row>
    <row r="153" spans="2:25" ht="15.75" customHeight="1">
      <c r="B153" s="606"/>
      <c r="C153" s="598" t="s">
        <v>1285</v>
      </c>
      <c r="D153" s="570" t="s">
        <v>456</v>
      </c>
      <c r="E153" s="571"/>
      <c r="F153" s="571"/>
      <c r="G153" s="571"/>
      <c r="H153" s="571"/>
      <c r="I153" s="571"/>
      <c r="J153" s="571"/>
      <c r="K153" s="571"/>
      <c r="L153" s="571"/>
      <c r="M153" s="571"/>
      <c r="N153" s="572"/>
      <c r="O153" s="573"/>
      <c r="P153" s="573"/>
      <c r="Q153" s="573"/>
      <c r="R153" s="1355"/>
      <c r="S153" s="1355"/>
      <c r="T153" s="1355"/>
      <c r="U153" s="1356"/>
    </row>
    <row r="154" spans="2:25" ht="15.75" customHeight="1">
      <c r="B154" s="606"/>
      <c r="C154" s="598" t="s">
        <v>1287</v>
      </c>
      <c r="D154" s="570" t="s">
        <v>457</v>
      </c>
      <c r="E154" s="571"/>
      <c r="F154" s="571"/>
      <c r="G154" s="571"/>
      <c r="H154" s="571"/>
      <c r="I154" s="571"/>
      <c r="J154" s="571"/>
      <c r="K154" s="571"/>
      <c r="L154" s="571"/>
      <c r="M154" s="571"/>
      <c r="N154" s="572"/>
      <c r="O154" s="573"/>
      <c r="P154" s="573"/>
      <c r="Q154" s="573"/>
      <c r="R154" s="1355"/>
      <c r="S154" s="1355"/>
      <c r="T154" s="1355"/>
      <c r="U154" s="1356"/>
    </row>
    <row r="155" spans="2:25" ht="15.75" customHeight="1" thickBot="1">
      <c r="B155" s="609" t="s">
        <v>370</v>
      </c>
      <c r="C155" s="1350" t="s">
        <v>458</v>
      </c>
      <c r="D155" s="1351"/>
      <c r="E155" s="1351"/>
      <c r="F155" s="1351"/>
      <c r="G155" s="1351"/>
      <c r="H155" s="1351"/>
      <c r="I155" s="1351"/>
      <c r="J155" s="1351"/>
      <c r="K155" s="1351"/>
      <c r="L155" s="1351"/>
      <c r="M155" s="1351"/>
      <c r="N155" s="1352"/>
      <c r="O155" s="610">
        <v>0</v>
      </c>
      <c r="P155" s="610">
        <v>5</v>
      </c>
      <c r="Q155" s="610">
        <v>3</v>
      </c>
      <c r="R155" s="1353"/>
      <c r="S155" s="1353"/>
      <c r="T155" s="1353"/>
      <c r="U155" s="1354"/>
    </row>
    <row r="156" spans="2:25" s="440" customFormat="1" ht="15.75" customHeight="1">
      <c r="B156" s="604"/>
      <c r="C156" s="585" t="s">
        <v>459</v>
      </c>
      <c r="D156" s="568"/>
      <c r="E156" s="568"/>
      <c r="F156" s="568"/>
      <c r="G156" s="568"/>
      <c r="H156" s="568"/>
      <c r="I156" s="568"/>
      <c r="J156" s="568"/>
      <c r="K156" s="568"/>
      <c r="L156" s="568"/>
      <c r="M156" s="568"/>
      <c r="N156" s="586"/>
      <c r="O156" s="584"/>
      <c r="P156" s="584"/>
      <c r="Q156" s="584"/>
      <c r="R156" s="1346"/>
      <c r="S156" s="1346"/>
      <c r="T156" s="1346"/>
      <c r="U156" s="1347"/>
      <c r="V156" s="741"/>
      <c r="W156" s="741"/>
      <c r="X156" s="741"/>
      <c r="Y156" s="741"/>
    </row>
    <row r="157" spans="2:25" ht="14.25" customHeight="1">
      <c r="B157" s="1342" t="s">
        <v>372</v>
      </c>
      <c r="C157" s="578" t="s">
        <v>460</v>
      </c>
      <c r="D157" s="579"/>
      <c r="E157" s="579"/>
      <c r="F157" s="579"/>
      <c r="G157" s="579"/>
      <c r="H157" s="579"/>
      <c r="I157" s="579"/>
      <c r="J157" s="579"/>
      <c r="K157" s="579"/>
      <c r="L157" s="579"/>
      <c r="M157" s="579"/>
      <c r="N157" s="580"/>
      <c r="O157" s="1348">
        <v>0</v>
      </c>
      <c r="P157" s="1348">
        <v>5</v>
      </c>
      <c r="Q157" s="1344">
        <v>4</v>
      </c>
      <c r="R157" s="1371">
        <f>IF(SUM(R137-R138-R145-R151)&lt;0,0,R137-R138-R145-R151)</f>
        <v>0</v>
      </c>
      <c r="S157" s="1371"/>
      <c r="T157" s="1371"/>
      <c r="U157" s="1372"/>
    </row>
    <row r="158" spans="2:25" ht="14.25" customHeight="1">
      <c r="B158" s="1343"/>
      <c r="C158" s="581" t="s">
        <v>2429</v>
      </c>
      <c r="D158" s="582"/>
      <c r="E158" s="582"/>
      <c r="F158" s="582"/>
      <c r="G158" s="582"/>
      <c r="H158" s="582"/>
      <c r="I158" s="582"/>
      <c r="J158" s="582"/>
      <c r="K158" s="582"/>
      <c r="L158" s="582"/>
      <c r="M158" s="582"/>
      <c r="N158" s="583"/>
      <c r="O158" s="1349"/>
      <c r="P158" s="1349"/>
      <c r="Q158" s="1345"/>
      <c r="R158" s="1378"/>
      <c r="S158" s="1378"/>
      <c r="T158" s="1378"/>
      <c r="U158" s="1379"/>
    </row>
    <row r="159" spans="2:25" ht="15.75" customHeight="1">
      <c r="B159" s="1342" t="s">
        <v>373</v>
      </c>
      <c r="C159" s="578" t="s">
        <v>2430</v>
      </c>
      <c r="D159" s="579"/>
      <c r="E159" s="579"/>
      <c r="F159" s="579"/>
      <c r="G159" s="579"/>
      <c r="H159" s="579"/>
      <c r="I159" s="579"/>
      <c r="J159" s="579"/>
      <c r="K159" s="579"/>
      <c r="L159" s="579"/>
      <c r="M159" s="579"/>
      <c r="N159" s="580"/>
      <c r="O159" s="1348">
        <v>0</v>
      </c>
      <c r="P159" s="1348">
        <v>5</v>
      </c>
      <c r="Q159" s="1344">
        <v>5</v>
      </c>
      <c r="R159" s="1371"/>
      <c r="S159" s="1371"/>
      <c r="T159" s="1371"/>
      <c r="U159" s="1372"/>
    </row>
    <row r="160" spans="2:25" ht="15.75" customHeight="1">
      <c r="B160" s="1343"/>
      <c r="C160" s="581" t="s">
        <v>2431</v>
      </c>
      <c r="D160" s="582"/>
      <c r="E160" s="582"/>
      <c r="F160" s="582"/>
      <c r="G160" s="582"/>
      <c r="H160" s="582"/>
      <c r="I160" s="582"/>
      <c r="J160" s="582"/>
      <c r="K160" s="582"/>
      <c r="L160" s="582"/>
      <c r="M160" s="582"/>
      <c r="N160" s="583"/>
      <c r="O160" s="1349"/>
      <c r="P160" s="1349"/>
      <c r="Q160" s="1345"/>
      <c r="R160" s="1378"/>
      <c r="S160" s="1378"/>
      <c r="T160" s="1378"/>
      <c r="U160" s="1379"/>
    </row>
    <row r="161" spans="2:22" ht="15.75" customHeight="1">
      <c r="B161" s="606" t="s">
        <v>375</v>
      </c>
      <c r="C161" s="1361" t="s">
        <v>2432</v>
      </c>
      <c r="D161" s="1362"/>
      <c r="E161" s="1362"/>
      <c r="F161" s="1362"/>
      <c r="G161" s="1362"/>
      <c r="H161" s="1362"/>
      <c r="I161" s="1362"/>
      <c r="J161" s="1362"/>
      <c r="K161" s="1362"/>
      <c r="L161" s="1362"/>
      <c r="M161" s="1362"/>
      <c r="N161" s="1363"/>
      <c r="O161" s="573">
        <v>0</v>
      </c>
      <c r="P161" s="573">
        <v>5</v>
      </c>
      <c r="Q161" s="573">
        <v>6</v>
      </c>
      <c r="R161" s="1340"/>
      <c r="S161" s="1340"/>
      <c r="T161" s="1340"/>
      <c r="U161" s="1341"/>
    </row>
    <row r="162" spans="2:22" ht="15.75" customHeight="1">
      <c r="B162" s="606" t="s">
        <v>1225</v>
      </c>
      <c r="C162" s="1337" t="s">
        <v>2433</v>
      </c>
      <c r="D162" s="1338"/>
      <c r="E162" s="1338"/>
      <c r="F162" s="1338"/>
      <c r="G162" s="1338"/>
      <c r="H162" s="1338"/>
      <c r="I162" s="1338"/>
      <c r="J162" s="1338"/>
      <c r="K162" s="1338"/>
      <c r="L162" s="1338"/>
      <c r="M162" s="1338"/>
      <c r="N162" s="1339"/>
      <c r="O162" s="573">
        <v>0</v>
      </c>
      <c r="P162" s="573">
        <v>5</v>
      </c>
      <c r="Q162" s="573">
        <v>7</v>
      </c>
      <c r="R162" s="1369">
        <v>0</v>
      </c>
      <c r="S162" s="1369"/>
      <c r="T162" s="1369"/>
      <c r="U162" s="1370"/>
      <c r="V162" s="825" t="s">
        <v>608</v>
      </c>
    </row>
    <row r="163" spans="2:22" ht="15.75" customHeight="1">
      <c r="B163" s="606" t="s">
        <v>1226</v>
      </c>
      <c r="C163" s="1337" t="s">
        <v>2434</v>
      </c>
      <c r="D163" s="1338"/>
      <c r="E163" s="1338"/>
      <c r="F163" s="1338"/>
      <c r="G163" s="1338"/>
      <c r="H163" s="1338"/>
      <c r="I163" s="1338"/>
      <c r="J163" s="1338"/>
      <c r="K163" s="1338"/>
      <c r="L163" s="1338"/>
      <c r="M163" s="1338"/>
      <c r="N163" s="1339"/>
      <c r="O163" s="573">
        <v>0</v>
      </c>
      <c r="P163" s="573">
        <v>5</v>
      </c>
      <c r="Q163" s="573">
        <v>8</v>
      </c>
      <c r="R163" s="1340">
        <f>IF(SUM(R157+R159+R161-R162)&lt;0,0,R157+R159+R161-R162)</f>
        <v>0</v>
      </c>
      <c r="S163" s="1340"/>
      <c r="T163" s="1340"/>
      <c r="U163" s="1341"/>
    </row>
    <row r="164" spans="2:22" ht="15.75" customHeight="1">
      <c r="B164" s="1342" t="s">
        <v>1227</v>
      </c>
      <c r="C164" s="1365" t="s">
        <v>2435</v>
      </c>
      <c r="D164" s="1366"/>
      <c r="E164" s="1366"/>
      <c r="F164" s="1366"/>
      <c r="G164" s="1366"/>
      <c r="H164" s="1366"/>
      <c r="I164" s="1366"/>
      <c r="J164" s="1366"/>
      <c r="K164" s="1366"/>
      <c r="L164" s="1366"/>
      <c r="M164" s="1366"/>
      <c r="N164" s="1367"/>
      <c r="O164" s="1344">
        <v>0</v>
      </c>
      <c r="P164" s="1344">
        <v>5</v>
      </c>
      <c r="Q164" s="1344">
        <v>9</v>
      </c>
      <c r="R164" s="1371">
        <f>IF(SUM(R162-R157-R159-R161)&lt;0,0,R162-R157-R159-R161)</f>
        <v>0</v>
      </c>
      <c r="S164" s="1371"/>
      <c r="T164" s="1371"/>
      <c r="U164" s="1372"/>
    </row>
    <row r="165" spans="2:22" ht="15.75" customHeight="1" thickBot="1">
      <c r="B165" s="1364"/>
      <c r="C165" s="1375" t="s">
        <v>2436</v>
      </c>
      <c r="D165" s="1376"/>
      <c r="E165" s="1376"/>
      <c r="F165" s="1376"/>
      <c r="G165" s="1376"/>
      <c r="H165" s="1376"/>
      <c r="I165" s="1376"/>
      <c r="J165" s="1376"/>
      <c r="K165" s="1376"/>
      <c r="L165" s="1376"/>
      <c r="M165" s="1376"/>
      <c r="N165" s="1377"/>
      <c r="O165" s="1368"/>
      <c r="P165" s="1368"/>
      <c r="Q165" s="1368"/>
      <c r="R165" s="1373"/>
      <c r="S165" s="1373"/>
      <c r="T165" s="1373"/>
      <c r="U165" s="1374"/>
    </row>
    <row r="166" spans="2:22" ht="15.75" customHeight="1">
      <c r="C166" s="1430" t="s">
        <v>398</v>
      </c>
      <c r="D166" s="1431"/>
      <c r="E166" s="1431"/>
      <c r="F166" s="1431"/>
      <c r="G166" s="1431"/>
      <c r="H166" s="1431"/>
      <c r="I166" s="1431"/>
      <c r="J166" s="1431"/>
      <c r="K166" s="1431"/>
      <c r="L166" s="1431"/>
      <c r="M166" s="1431"/>
      <c r="N166" s="1431"/>
      <c r="O166" s="1431"/>
      <c r="P166" s="1431"/>
      <c r="Q166" s="1432"/>
      <c r="R166" s="1371"/>
      <c r="S166" s="1371"/>
      <c r="T166" s="1371"/>
      <c r="U166" s="1372"/>
    </row>
    <row r="167" spans="2:22" ht="15.75" customHeight="1" thickBot="1">
      <c r="C167" s="1389"/>
      <c r="D167" s="1433"/>
      <c r="E167" s="1433"/>
      <c r="F167" s="1433"/>
      <c r="G167" s="1433"/>
      <c r="H167" s="1433"/>
      <c r="I167" s="1433"/>
      <c r="J167" s="1433"/>
      <c r="K167" s="1433"/>
      <c r="L167" s="1433"/>
      <c r="M167" s="1433"/>
      <c r="N167" s="1433"/>
      <c r="O167" s="1433"/>
      <c r="P167" s="1433"/>
      <c r="Q167" s="1434"/>
      <c r="R167" s="1373"/>
      <c r="S167" s="1373"/>
      <c r="T167" s="1373"/>
      <c r="U167" s="1374"/>
    </row>
    <row r="168" spans="2:22" ht="15.75" customHeight="1"/>
    <row r="169" spans="2:22" ht="26.25">
      <c r="I169" s="764" t="s">
        <v>244</v>
      </c>
      <c r="J169" s="764"/>
      <c r="K169" s="764"/>
      <c r="L169" s="764"/>
      <c r="M169" s="764"/>
      <c r="N169" s="764"/>
      <c r="O169" s="765"/>
      <c r="P169" s="765"/>
      <c r="Q169" s="765"/>
      <c r="S169" s="766"/>
      <c r="T169" s="766"/>
      <c r="U169" s="766" t="s">
        <v>1964</v>
      </c>
    </row>
  </sheetData>
  <mergeCells count="310">
    <mergeCell ref="V35:Y35"/>
    <mergeCell ref="V36:Y36"/>
    <mergeCell ref="V30:Y30"/>
    <mergeCell ref="V31:Y31"/>
    <mergeCell ref="V32:Y32"/>
    <mergeCell ref="R166:U167"/>
    <mergeCell ref="C166:Q167"/>
    <mergeCell ref="V37:Y37"/>
    <mergeCell ref="V38:Y38"/>
    <mergeCell ref="R36:U38"/>
    <mergeCell ref="R39:U41"/>
    <mergeCell ref="Q46:Q47"/>
    <mergeCell ref="R42:U42"/>
    <mergeCell ref="R43:U45"/>
    <mergeCell ref="R50:U51"/>
    <mergeCell ref="R52:U55"/>
    <mergeCell ref="R58:U59"/>
    <mergeCell ref="R62:U64"/>
    <mergeCell ref="R68:U71"/>
    <mergeCell ref="R75:U77"/>
    <mergeCell ref="R78:U80"/>
    <mergeCell ref="R90:U90"/>
    <mergeCell ref="R91:U92"/>
    <mergeCell ref="R86:U87"/>
    <mergeCell ref="AG30:AJ30"/>
    <mergeCell ref="V29:Y29"/>
    <mergeCell ref="V25:Y25"/>
    <mergeCell ref="V26:Y26"/>
    <mergeCell ref="V27:Y27"/>
    <mergeCell ref="V28:Y28"/>
    <mergeCell ref="AG32:AJ32"/>
    <mergeCell ref="V33:Y33"/>
    <mergeCell ref="V34:Y34"/>
    <mergeCell ref="V20:Y20"/>
    <mergeCell ref="V21:Y21"/>
    <mergeCell ref="V22:Y22"/>
    <mergeCell ref="V23:Y23"/>
    <mergeCell ref="O8:O9"/>
    <mergeCell ref="P8:P9"/>
    <mergeCell ref="Q8:Q9"/>
    <mergeCell ref="R5:U5"/>
    <mergeCell ref="R7:U7"/>
    <mergeCell ref="R2:U2"/>
    <mergeCell ref="B3:B4"/>
    <mergeCell ref="O3:O4"/>
    <mergeCell ref="P3:P4"/>
    <mergeCell ref="Q3:Q4"/>
    <mergeCell ref="R3:U4"/>
    <mergeCell ref="B8:B9"/>
    <mergeCell ref="Q16:Q20"/>
    <mergeCell ref="R16:U20"/>
    <mergeCell ref="O16:O20"/>
    <mergeCell ref="P16:P20"/>
    <mergeCell ref="Q25:Q28"/>
    <mergeCell ref="B29:B30"/>
    <mergeCell ref="O29:O30"/>
    <mergeCell ref="P29:P30"/>
    <mergeCell ref="Q29:Q30"/>
    <mergeCell ref="R25:U28"/>
    <mergeCell ref="R8:U9"/>
    <mergeCell ref="Q10:Q11"/>
    <mergeCell ref="S6:V6"/>
    <mergeCell ref="R10:U11"/>
    <mergeCell ref="B10:B11"/>
    <mergeCell ref="O10:O11"/>
    <mergeCell ref="P10:P11"/>
    <mergeCell ref="B16:B20"/>
    <mergeCell ref="B13:B15"/>
    <mergeCell ref="O13:O15"/>
    <mergeCell ref="P13:P15"/>
    <mergeCell ref="R12:U12"/>
    <mergeCell ref="R13:U15"/>
    <mergeCell ref="Q13:Q15"/>
    <mergeCell ref="V24:Y24"/>
    <mergeCell ref="O21:O24"/>
    <mergeCell ref="P21:P24"/>
    <mergeCell ref="Q21:Q24"/>
    <mergeCell ref="B21:B24"/>
    <mergeCell ref="R21:U24"/>
    <mergeCell ref="B39:B41"/>
    <mergeCell ref="O39:O41"/>
    <mergeCell ref="P39:P41"/>
    <mergeCell ref="Q39:Q41"/>
    <mergeCell ref="B36:B38"/>
    <mergeCell ref="O36:O38"/>
    <mergeCell ref="P36:P38"/>
    <mergeCell ref="Q36:Q38"/>
    <mergeCell ref="R31:U32"/>
    <mergeCell ref="B33:B35"/>
    <mergeCell ref="O33:O35"/>
    <mergeCell ref="P33:P35"/>
    <mergeCell ref="Q33:Q35"/>
    <mergeCell ref="R33:U35"/>
    <mergeCell ref="B31:B32"/>
    <mergeCell ref="O31:O32"/>
    <mergeCell ref="P31:P32"/>
    <mergeCell ref="Q31:Q32"/>
    <mergeCell ref="R29:U30"/>
    <mergeCell ref="B25:B28"/>
    <mergeCell ref="O25:O28"/>
    <mergeCell ref="P25:P28"/>
    <mergeCell ref="B50:B51"/>
    <mergeCell ref="O50:O51"/>
    <mergeCell ref="P50:P51"/>
    <mergeCell ref="Q50:Q51"/>
    <mergeCell ref="B43:B45"/>
    <mergeCell ref="O43:O45"/>
    <mergeCell ref="P43:P45"/>
    <mergeCell ref="Q43:Q45"/>
    <mergeCell ref="R46:U47"/>
    <mergeCell ref="B48:B49"/>
    <mergeCell ref="O48:O49"/>
    <mergeCell ref="P48:P49"/>
    <mergeCell ref="Q48:Q49"/>
    <mergeCell ref="R48:U49"/>
    <mergeCell ref="B46:B47"/>
    <mergeCell ref="O46:O47"/>
    <mergeCell ref="P46:P47"/>
    <mergeCell ref="B56:B57"/>
    <mergeCell ref="O56:O57"/>
    <mergeCell ref="P56:P57"/>
    <mergeCell ref="Q56:Q57"/>
    <mergeCell ref="R56:U57"/>
    <mergeCell ref="B52:B55"/>
    <mergeCell ref="O52:O55"/>
    <mergeCell ref="P52:P55"/>
    <mergeCell ref="Q52:Q55"/>
    <mergeCell ref="B60:B61"/>
    <mergeCell ref="O60:O61"/>
    <mergeCell ref="P60:P61"/>
    <mergeCell ref="Q60:Q61"/>
    <mergeCell ref="R60:U61"/>
    <mergeCell ref="B58:B59"/>
    <mergeCell ref="O58:O59"/>
    <mergeCell ref="P58:P59"/>
    <mergeCell ref="Q58:Q59"/>
    <mergeCell ref="B65:B67"/>
    <mergeCell ref="O65:O67"/>
    <mergeCell ref="P65:P67"/>
    <mergeCell ref="Q65:Q67"/>
    <mergeCell ref="R65:U67"/>
    <mergeCell ref="B62:B64"/>
    <mergeCell ref="O62:O64"/>
    <mergeCell ref="P62:P64"/>
    <mergeCell ref="Q62:Q64"/>
    <mergeCell ref="B72:B74"/>
    <mergeCell ref="O72:O74"/>
    <mergeCell ref="P72:P74"/>
    <mergeCell ref="Q72:Q74"/>
    <mergeCell ref="R72:U74"/>
    <mergeCell ref="B68:B71"/>
    <mergeCell ref="O68:O71"/>
    <mergeCell ref="P68:P71"/>
    <mergeCell ref="Q68:Q71"/>
    <mergeCell ref="B78:B80"/>
    <mergeCell ref="O78:O80"/>
    <mergeCell ref="P78:P80"/>
    <mergeCell ref="Q78:Q80"/>
    <mergeCell ref="B75:B77"/>
    <mergeCell ref="O75:O77"/>
    <mergeCell ref="P75:P77"/>
    <mergeCell ref="Q75:Q77"/>
    <mergeCell ref="R81:U83"/>
    <mergeCell ref="B84:B85"/>
    <mergeCell ref="O84:O85"/>
    <mergeCell ref="P84:P85"/>
    <mergeCell ref="Q84:Q85"/>
    <mergeCell ref="R84:U85"/>
    <mergeCell ref="B81:B83"/>
    <mergeCell ref="O81:O83"/>
    <mergeCell ref="P81:P83"/>
    <mergeCell ref="Q81:Q83"/>
    <mergeCell ref="B86:B87"/>
    <mergeCell ref="O86:O87"/>
    <mergeCell ref="P86:P87"/>
    <mergeCell ref="Q86:Q87"/>
    <mergeCell ref="R93:U95"/>
    <mergeCell ref="B96:B98"/>
    <mergeCell ref="O96:O98"/>
    <mergeCell ref="P96:P98"/>
    <mergeCell ref="Q96:Q98"/>
    <mergeCell ref="R96:U98"/>
    <mergeCell ref="B93:B95"/>
    <mergeCell ref="O93:O95"/>
    <mergeCell ref="P93:P95"/>
    <mergeCell ref="Q93:Q95"/>
    <mergeCell ref="R88:U89"/>
    <mergeCell ref="B91:B92"/>
    <mergeCell ref="O91:O92"/>
    <mergeCell ref="P91:P92"/>
    <mergeCell ref="Q91:Q92"/>
    <mergeCell ref="B88:B89"/>
    <mergeCell ref="O88:O89"/>
    <mergeCell ref="P88:P89"/>
    <mergeCell ref="Q88:Q89"/>
    <mergeCell ref="R99:U100"/>
    <mergeCell ref="B101:B102"/>
    <mergeCell ref="O101:O102"/>
    <mergeCell ref="P101:P102"/>
    <mergeCell ref="Q101:Q102"/>
    <mergeCell ref="R101:U102"/>
    <mergeCell ref="B99:B100"/>
    <mergeCell ref="O99:O100"/>
    <mergeCell ref="P99:P100"/>
    <mergeCell ref="Q99:Q100"/>
    <mergeCell ref="R103:U104"/>
    <mergeCell ref="R105:U105"/>
    <mergeCell ref="P112:P114"/>
    <mergeCell ref="Q112:Q114"/>
    <mergeCell ref="R106:U108"/>
    <mergeCell ref="R109:U111"/>
    <mergeCell ref="P106:P108"/>
    <mergeCell ref="Q106:Q108"/>
    <mergeCell ref="B109:B111"/>
    <mergeCell ref="O109:O111"/>
    <mergeCell ref="P109:P111"/>
    <mergeCell ref="Q109:Q111"/>
    <mergeCell ref="B103:B104"/>
    <mergeCell ref="O103:O104"/>
    <mergeCell ref="P103:P104"/>
    <mergeCell ref="Q103:Q104"/>
    <mergeCell ref="B106:B108"/>
    <mergeCell ref="O106:O108"/>
    <mergeCell ref="R112:U114"/>
    <mergeCell ref="R115:U116"/>
    <mergeCell ref="B117:B119"/>
    <mergeCell ref="O117:O119"/>
    <mergeCell ref="P117:P119"/>
    <mergeCell ref="Q117:Q119"/>
    <mergeCell ref="R117:U119"/>
    <mergeCell ref="B112:B114"/>
    <mergeCell ref="O112:O114"/>
    <mergeCell ref="R120:U122"/>
    <mergeCell ref="R123:U123"/>
    <mergeCell ref="B124:B126"/>
    <mergeCell ref="O124:O126"/>
    <mergeCell ref="P124:P126"/>
    <mergeCell ref="Q124:Q126"/>
    <mergeCell ref="R124:U126"/>
    <mergeCell ref="B120:B122"/>
    <mergeCell ref="O120:O122"/>
    <mergeCell ref="P120:P122"/>
    <mergeCell ref="Q120:Q122"/>
    <mergeCell ref="R127:U128"/>
    <mergeCell ref="B129:B130"/>
    <mergeCell ref="O129:O130"/>
    <mergeCell ref="P129:P130"/>
    <mergeCell ref="Q129:Q130"/>
    <mergeCell ref="R129:U130"/>
    <mergeCell ref="B127:B128"/>
    <mergeCell ref="O127:O128"/>
    <mergeCell ref="P127:P128"/>
    <mergeCell ref="Q127:Q128"/>
    <mergeCell ref="R140:U140"/>
    <mergeCell ref="R131:U133"/>
    <mergeCell ref="R136:U136"/>
    <mergeCell ref="B141:B142"/>
    <mergeCell ref="C141:C142"/>
    <mergeCell ref="B131:B133"/>
    <mergeCell ref="O131:O133"/>
    <mergeCell ref="P131:P133"/>
    <mergeCell ref="Q131:Q133"/>
    <mergeCell ref="O141:O142"/>
    <mergeCell ref="P141:P142"/>
    <mergeCell ref="Q141:Q142"/>
    <mergeCell ref="B164:B165"/>
    <mergeCell ref="C164:N164"/>
    <mergeCell ref="O164:O165"/>
    <mergeCell ref="P164:P165"/>
    <mergeCell ref="R161:U161"/>
    <mergeCell ref="C162:N162"/>
    <mergeCell ref="R162:U162"/>
    <mergeCell ref="O159:O160"/>
    <mergeCell ref="C151:N151"/>
    <mergeCell ref="R151:U151"/>
    <mergeCell ref="Q164:Q165"/>
    <mergeCell ref="R164:U165"/>
    <mergeCell ref="C165:N165"/>
    <mergeCell ref="R159:U160"/>
    <mergeCell ref="C161:N161"/>
    <mergeCell ref="R157:U158"/>
    <mergeCell ref="R153:U153"/>
    <mergeCell ref="R154:U154"/>
    <mergeCell ref="R152:U152"/>
    <mergeCell ref="Q157:Q158"/>
    <mergeCell ref="P159:P160"/>
    <mergeCell ref="B1:U1"/>
    <mergeCell ref="C163:N163"/>
    <mergeCell ref="R163:U163"/>
    <mergeCell ref="B159:B160"/>
    <mergeCell ref="Q159:Q160"/>
    <mergeCell ref="R156:U156"/>
    <mergeCell ref="B157:B158"/>
    <mergeCell ref="O157:O158"/>
    <mergeCell ref="P157:P158"/>
    <mergeCell ref="C155:N155"/>
    <mergeCell ref="R155:U155"/>
    <mergeCell ref="R147:U147"/>
    <mergeCell ref="R148:U148"/>
    <mergeCell ref="R149:U149"/>
    <mergeCell ref="R150:U150"/>
    <mergeCell ref="R141:U142"/>
    <mergeCell ref="C145:N145"/>
    <mergeCell ref="R145:U145"/>
    <mergeCell ref="R143:U143"/>
    <mergeCell ref="R144:U144"/>
    <mergeCell ref="R146:U146"/>
    <mergeCell ref="R137:U137"/>
    <mergeCell ref="R138:U138"/>
    <mergeCell ref="R139:U139"/>
  </mergeCells>
  <phoneticPr fontId="6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31"/>
  </sheetPr>
  <dimension ref="A1:J105"/>
  <sheetViews>
    <sheetView showGridLines="0" topLeftCell="A46" workbookViewId="0">
      <selection activeCell="E58" sqref="E58"/>
    </sheetView>
  </sheetViews>
  <sheetFormatPr defaultRowHeight="12.75"/>
  <cols>
    <col min="1" max="1" width="16.140625" customWidth="1"/>
    <col min="3" max="3" width="15.85546875" customWidth="1"/>
    <col min="5" max="5" width="18" customWidth="1"/>
    <col min="6" max="6" width="17" customWidth="1"/>
    <col min="7" max="7" width="14.7109375" customWidth="1"/>
    <col min="8" max="8" width="16.85546875" customWidth="1"/>
  </cols>
  <sheetData>
    <row r="1" spans="1:9" ht="20.25">
      <c r="A1" s="416" t="s">
        <v>1182</v>
      </c>
      <c r="B1" s="417"/>
      <c r="C1" s="418"/>
      <c r="D1" s="417"/>
      <c r="E1" s="417"/>
      <c r="F1" s="417"/>
      <c r="G1" s="417"/>
    </row>
    <row r="3" spans="1:9" s="136" customFormat="1">
      <c r="A3" s="163"/>
      <c r="B3" s="164"/>
      <c r="C3" s="164"/>
      <c r="D3" s="142" t="s">
        <v>1019</v>
      </c>
      <c r="E3" s="148"/>
      <c r="F3" s="148"/>
      <c r="G3" s="142"/>
    </row>
    <row r="4" spans="1:9" s="136" customFormat="1" ht="15.75">
      <c r="A4" s="1475" t="s">
        <v>849</v>
      </c>
      <c r="B4" s="1476"/>
      <c r="C4" s="1477"/>
      <c r="D4" s="142"/>
      <c r="E4" s="294">
        <f>FirmaDjeSifra</f>
        <v>0</v>
      </c>
      <c r="F4" s="148"/>
      <c r="G4" s="142"/>
    </row>
    <row r="5" spans="1:9" s="142" customFormat="1">
      <c r="A5" s="119"/>
      <c r="B5" s="119"/>
      <c r="C5" s="183"/>
      <c r="E5" s="148"/>
      <c r="F5" s="425"/>
    </row>
    <row r="6" spans="1:9" s="136" customFormat="1">
      <c r="A6" s="117" t="s">
        <v>133</v>
      </c>
      <c r="B6" s="165"/>
      <c r="C6" s="184"/>
      <c r="D6" s="185"/>
      <c r="E6" s="118" t="s">
        <v>2481</v>
      </c>
      <c r="F6" s="118"/>
      <c r="G6" s="118"/>
    </row>
    <row r="7" spans="1:9" s="136" customFormat="1">
      <c r="A7" s="121" t="s">
        <v>328</v>
      </c>
      <c r="B7" s="182"/>
      <c r="C7" s="186"/>
      <c r="D7" s="186"/>
      <c r="E7" s="449">
        <f>unos!G54</f>
        <v>0</v>
      </c>
      <c r="F7" s="449"/>
      <c r="G7" s="449"/>
    </row>
    <row r="8" spans="1:9" s="136" customFormat="1" ht="15.75">
      <c r="A8" s="125" t="s">
        <v>850</v>
      </c>
      <c r="B8" s="182"/>
      <c r="C8" s="187"/>
      <c r="D8" s="188"/>
      <c r="E8" s="798">
        <v>5.0000000000000001E-4</v>
      </c>
      <c r="F8" s="126"/>
      <c r="G8" s="126"/>
      <c r="H8" s="116" t="s">
        <v>1477</v>
      </c>
    </row>
    <row r="9" spans="1:9" s="136" customFormat="1">
      <c r="A9" s="127" t="s">
        <v>132</v>
      </c>
      <c r="B9" s="182"/>
      <c r="C9" s="189"/>
      <c r="D9" s="189"/>
      <c r="E9" s="450">
        <f>E7*E8</f>
        <v>0</v>
      </c>
      <c r="F9" s="450"/>
      <c r="G9" s="450"/>
    </row>
    <row r="10" spans="1:9" s="136" customFormat="1">
      <c r="A10" s="127" t="s">
        <v>851</v>
      </c>
      <c r="B10" s="182"/>
      <c r="C10" s="190"/>
      <c r="D10" s="190"/>
      <c r="E10" s="450">
        <v>0</v>
      </c>
      <c r="F10" s="450">
        <v>0</v>
      </c>
      <c r="G10" s="450">
        <v>0</v>
      </c>
    </row>
    <row r="11" spans="1:9" s="136" customFormat="1" ht="15.75">
      <c r="A11" s="129" t="s">
        <v>1140</v>
      </c>
      <c r="B11" s="143"/>
      <c r="C11" s="143"/>
      <c r="E11" s="143"/>
      <c r="F11" s="143"/>
    </row>
    <row r="12" spans="1:9" s="166" customFormat="1" ht="15.75">
      <c r="A12" s="175" t="s">
        <v>1275</v>
      </c>
      <c r="B12" s="130"/>
      <c r="C12" s="130"/>
      <c r="D12" s="131"/>
      <c r="E12" s="130"/>
      <c r="F12" s="130"/>
      <c r="G12" s="131"/>
    </row>
    <row r="13" spans="1:9" s="166" customFormat="1" ht="15.75">
      <c r="A13" s="175" t="s">
        <v>1139</v>
      </c>
      <c r="B13" s="130"/>
      <c r="C13" s="130"/>
      <c r="D13" s="131"/>
      <c r="E13" s="130"/>
      <c r="F13" s="130"/>
      <c r="G13" s="131"/>
    </row>
    <row r="14" spans="1:9" s="136" customFormat="1">
      <c r="A14" s="149"/>
      <c r="B14" s="143"/>
      <c r="C14" s="143"/>
      <c r="E14" s="143"/>
      <c r="F14" s="143"/>
      <c r="I14" s="143"/>
    </row>
    <row r="15" spans="1:9" s="136" customFormat="1">
      <c r="A15" s="1478" t="s">
        <v>2205</v>
      </c>
      <c r="B15" s="1479"/>
      <c r="C15" s="1479"/>
      <c r="D15" s="1479"/>
      <c r="E15" s="1479"/>
      <c r="F15" s="1479"/>
      <c r="G15" s="1480"/>
      <c r="I15" s="143"/>
    </row>
    <row r="16" spans="1:9" s="136" customFormat="1" ht="18">
      <c r="A16" s="1481" t="s">
        <v>138</v>
      </c>
      <c r="B16" s="1481"/>
      <c r="C16" s="1481"/>
      <c r="D16" s="1481"/>
      <c r="E16" s="1481"/>
      <c r="F16" s="1482"/>
      <c r="G16" s="1483" t="s">
        <v>137</v>
      </c>
      <c r="H16" s="1483"/>
      <c r="I16" s="143"/>
    </row>
    <row r="17" spans="1:9" s="136" customFormat="1" ht="12.75" customHeight="1">
      <c r="A17" s="122" t="s">
        <v>139</v>
      </c>
      <c r="B17" s="167"/>
      <c r="C17" s="167"/>
      <c r="D17" s="160"/>
      <c r="E17" s="442">
        <v>0</v>
      </c>
      <c r="F17" s="176"/>
      <c r="G17" s="1483"/>
      <c r="H17" s="1483"/>
      <c r="I17" s="143"/>
    </row>
    <row r="18" spans="1:9" s="136" customFormat="1" ht="12.75" customHeight="1">
      <c r="A18" s="122" t="s">
        <v>696</v>
      </c>
      <c r="B18" s="167"/>
      <c r="C18" s="167"/>
      <c r="D18" s="160"/>
      <c r="E18" s="442">
        <f>E17*47.05882%</f>
        <v>0</v>
      </c>
      <c r="F18" s="176"/>
      <c r="G18" s="1483"/>
      <c r="H18" s="1483"/>
      <c r="I18" s="143"/>
    </row>
    <row r="19" spans="1:9" s="136" customFormat="1" ht="12.75" customHeight="1">
      <c r="A19" s="122" t="s">
        <v>134</v>
      </c>
      <c r="B19" s="167"/>
      <c r="C19" s="167"/>
      <c r="D19" s="160"/>
      <c r="E19" s="442">
        <f>E17+E18</f>
        <v>0</v>
      </c>
      <c r="F19" s="176"/>
      <c r="G19" s="1483"/>
      <c r="H19" s="1483"/>
      <c r="I19" s="143"/>
    </row>
    <row r="20" spans="1:9" s="136" customFormat="1">
      <c r="A20" s="122"/>
      <c r="B20" s="167"/>
      <c r="C20" s="167"/>
      <c r="D20" s="160"/>
      <c r="E20" s="120" t="s">
        <v>136</v>
      </c>
      <c r="F20" s="177" t="s">
        <v>1120</v>
      </c>
      <c r="G20" s="132" t="s">
        <v>136</v>
      </c>
      <c r="H20" s="177" t="s">
        <v>1120</v>
      </c>
      <c r="I20" s="143"/>
    </row>
    <row r="21" spans="1:9" s="136" customFormat="1">
      <c r="A21" s="122"/>
      <c r="B21" s="123" t="s">
        <v>135</v>
      </c>
      <c r="C21" s="124" t="s">
        <v>791</v>
      </c>
      <c r="D21" s="168"/>
      <c r="E21" s="442">
        <f>E19*C21</f>
        <v>0</v>
      </c>
      <c r="F21" s="442">
        <v>0</v>
      </c>
      <c r="G21" s="442">
        <v>0</v>
      </c>
      <c r="H21" s="442">
        <v>0</v>
      </c>
      <c r="I21" s="143"/>
    </row>
    <row r="22" spans="1:9" s="136" customFormat="1">
      <c r="A22" s="122"/>
      <c r="B22" s="123" t="s">
        <v>789</v>
      </c>
      <c r="C22" s="124" t="s">
        <v>792</v>
      </c>
      <c r="D22" s="160"/>
      <c r="E22" s="442">
        <f>E19*C22</f>
        <v>0</v>
      </c>
      <c r="F22" s="442">
        <v>0</v>
      </c>
      <c r="G22" s="442">
        <v>0</v>
      </c>
      <c r="H22" s="442">
        <v>0</v>
      </c>
    </row>
    <row r="23" spans="1:9" s="136" customFormat="1">
      <c r="A23" s="122"/>
      <c r="B23" s="123" t="s">
        <v>790</v>
      </c>
      <c r="C23" s="124" t="s">
        <v>1193</v>
      </c>
      <c r="D23" s="160"/>
      <c r="E23" s="442">
        <f>E19*C23</f>
        <v>0</v>
      </c>
      <c r="F23" s="442">
        <v>0</v>
      </c>
      <c r="G23" s="442">
        <v>0</v>
      </c>
      <c r="H23" s="442">
        <v>0</v>
      </c>
    </row>
    <row r="24" spans="1:9" s="136" customFormat="1">
      <c r="A24" s="144"/>
      <c r="B24" s="148"/>
      <c r="C24" s="148"/>
      <c r="D24" s="142"/>
      <c r="E24" s="148"/>
      <c r="F24" s="148"/>
      <c r="G24" s="142"/>
      <c r="H24" s="142"/>
    </row>
    <row r="25" spans="1:9" s="136" customFormat="1" ht="18">
      <c r="A25" s="1484" t="s">
        <v>1142</v>
      </c>
      <c r="B25" s="1484"/>
      <c r="C25" s="1484"/>
      <c r="D25" s="1484"/>
      <c r="E25" s="1484"/>
      <c r="F25" s="1484"/>
      <c r="G25" s="142"/>
      <c r="H25" s="142"/>
    </row>
    <row r="26" spans="1:9" s="136" customFormat="1">
      <c r="A26" s="148"/>
      <c r="B26" s="142"/>
      <c r="E26" s="148"/>
      <c r="F26" s="148"/>
      <c r="G26" s="142"/>
      <c r="H26" s="142"/>
    </row>
    <row r="27" spans="1:9" s="136" customFormat="1">
      <c r="A27" s="121" t="s">
        <v>328</v>
      </c>
      <c r="B27" s="169"/>
      <c r="C27" s="170"/>
      <c r="D27" s="1485">
        <f>unos!G54</f>
        <v>0</v>
      </c>
      <c r="E27" s="1485"/>
      <c r="F27" s="1485"/>
      <c r="G27" s="1486" t="s">
        <v>1320</v>
      </c>
      <c r="H27" s="1486"/>
    </row>
    <row r="28" spans="1:9" s="136" customFormat="1">
      <c r="A28" s="121" t="s">
        <v>130</v>
      </c>
      <c r="B28" s="169"/>
      <c r="C28" s="170"/>
      <c r="D28" s="1488">
        <v>6.9999999999999999E-4</v>
      </c>
      <c r="E28" s="1488"/>
      <c r="F28" s="1488"/>
      <c r="G28" s="1053" t="s">
        <v>1319</v>
      </c>
      <c r="H28" s="802"/>
    </row>
    <row r="29" spans="1:9" s="136" customFormat="1">
      <c r="A29" s="121" t="s">
        <v>131</v>
      </c>
      <c r="B29" s="169"/>
      <c r="C29" s="170"/>
      <c r="D29" s="1485">
        <f>D27*D28</f>
        <v>0</v>
      </c>
      <c r="E29" s="1485"/>
      <c r="F29" s="1485"/>
      <c r="G29" s="1053" t="s">
        <v>1316</v>
      </c>
      <c r="H29" s="802"/>
    </row>
    <row r="30" spans="1:9" s="136" customFormat="1">
      <c r="A30" s="121" t="s">
        <v>1314</v>
      </c>
      <c r="B30" s="169"/>
      <c r="C30" s="170"/>
      <c r="D30" s="1485">
        <f>SUM(H28:H31)</f>
        <v>0</v>
      </c>
      <c r="E30" s="1485"/>
      <c r="F30" s="1485"/>
      <c r="G30" s="1053" t="s">
        <v>1317</v>
      </c>
      <c r="H30" s="802"/>
    </row>
    <row r="31" spans="1:9" s="136" customFormat="1">
      <c r="A31" s="121" t="s">
        <v>1315</v>
      </c>
      <c r="B31" s="169"/>
      <c r="C31" s="170"/>
      <c r="D31" s="1485">
        <f>D29-D30</f>
        <v>0</v>
      </c>
      <c r="E31" s="1485"/>
      <c r="F31" s="1485"/>
      <c r="G31" s="1053" t="s">
        <v>1318</v>
      </c>
      <c r="H31" s="802"/>
    </row>
    <row r="32" spans="1:9" s="142" customFormat="1" ht="36.75" customHeight="1">
      <c r="A32" s="191"/>
      <c r="B32" s="150"/>
      <c r="C32" s="150"/>
      <c r="D32" s="803"/>
      <c r="E32" s="803"/>
      <c r="F32" s="803"/>
    </row>
    <row r="33" spans="1:10" s="136" customFormat="1">
      <c r="A33" s="191"/>
      <c r="B33" s="150"/>
      <c r="C33" s="151"/>
      <c r="D33" s="193"/>
      <c r="E33" s="193"/>
      <c r="F33" s="193"/>
      <c r="G33" s="1487" t="s">
        <v>2030</v>
      </c>
      <c r="H33" s="1487"/>
      <c r="I33" s="1487"/>
      <c r="J33" s="1487"/>
    </row>
    <row r="34" spans="1:10" s="136" customFormat="1" ht="18">
      <c r="A34" s="191"/>
      <c r="B34" s="150"/>
      <c r="C34" s="197" t="s">
        <v>948</v>
      </c>
      <c r="D34" s="193"/>
      <c r="E34" s="193"/>
      <c r="F34" s="193"/>
      <c r="G34" s="799" t="s">
        <v>2027</v>
      </c>
      <c r="H34" s="799" t="s">
        <v>2028</v>
      </c>
      <c r="I34" s="1491" t="s">
        <v>2029</v>
      </c>
      <c r="J34" s="1491"/>
    </row>
    <row r="35" spans="1:10" s="136" customFormat="1">
      <c r="A35" s="194" t="s">
        <v>601</v>
      </c>
      <c r="B35" s="195"/>
      <c r="C35" s="196"/>
      <c r="D35" s="1469">
        <f>SUM(G35:J35)</f>
        <v>0</v>
      </c>
      <c r="E35" s="1469"/>
      <c r="F35" s="1470"/>
      <c r="G35" s="800">
        <f>G41/G40</f>
        <v>0</v>
      </c>
      <c r="H35" s="800"/>
      <c r="I35" s="1489"/>
      <c r="J35" s="1489"/>
    </row>
    <row r="36" spans="1:10" s="136" customFormat="1">
      <c r="A36" s="194" t="s">
        <v>602</v>
      </c>
      <c r="B36" s="195"/>
      <c r="C36" s="196"/>
      <c r="D36" s="1469">
        <f>SUM(G36:J36)</f>
        <v>0</v>
      </c>
      <c r="E36" s="1469"/>
      <c r="F36" s="1470"/>
      <c r="G36" s="800"/>
      <c r="H36" s="800">
        <f>H41/H40</f>
        <v>0</v>
      </c>
      <c r="I36" s="1489"/>
      <c r="J36" s="1489"/>
    </row>
    <row r="37" spans="1:10" s="136" customFormat="1">
      <c r="A37" s="194" t="s">
        <v>603</v>
      </c>
      <c r="B37" s="195"/>
      <c r="C37" s="196"/>
      <c r="D37" s="1469">
        <f>I37</f>
        <v>0</v>
      </c>
      <c r="E37" s="1469"/>
      <c r="F37" s="1470"/>
      <c r="G37" s="800"/>
      <c r="H37" s="800"/>
      <c r="I37" s="1489">
        <f>I41/I40</f>
        <v>0</v>
      </c>
      <c r="J37" s="1489"/>
    </row>
    <row r="38" spans="1:10" s="136" customFormat="1">
      <c r="A38" s="194" t="s">
        <v>604</v>
      </c>
      <c r="B38" s="195"/>
      <c r="C38" s="196"/>
      <c r="D38" s="1469"/>
      <c r="E38" s="1469"/>
      <c r="F38" s="1470"/>
      <c r="G38" s="800"/>
      <c r="H38" s="800"/>
      <c r="I38" s="1489"/>
      <c r="J38" s="1489"/>
    </row>
    <row r="39" spans="1:10" s="136" customFormat="1">
      <c r="A39" s="194" t="s">
        <v>605</v>
      </c>
      <c r="B39" s="195"/>
      <c r="C39" s="196"/>
      <c r="D39" s="1469">
        <f>SUM(D35:D38)</f>
        <v>0</v>
      </c>
      <c r="E39" s="1469"/>
      <c r="F39" s="1470"/>
      <c r="G39" s="800"/>
      <c r="H39" s="800"/>
      <c r="I39" s="1489"/>
      <c r="J39" s="1489"/>
    </row>
    <row r="40" spans="1:10" s="136" customFormat="1">
      <c r="A40" s="194" t="s">
        <v>606</v>
      </c>
      <c r="B40" s="195"/>
      <c r="C40" s="196"/>
      <c r="D40" s="1471">
        <v>5.0000000000000001E-3</v>
      </c>
      <c r="E40" s="1471"/>
      <c r="F40" s="1472"/>
      <c r="G40" s="801">
        <v>5.0000000000000001E-3</v>
      </c>
      <c r="H40" s="801">
        <v>5.0000000000000001E-3</v>
      </c>
      <c r="I40" s="1490">
        <v>5.0000000000000001E-3</v>
      </c>
      <c r="J40" s="1491"/>
    </row>
    <row r="41" spans="1:10" s="136" customFormat="1">
      <c r="A41" s="194" t="s">
        <v>607</v>
      </c>
      <c r="B41" s="195"/>
      <c r="C41" s="196"/>
      <c r="D41" s="1469">
        <f>D39*D40</f>
        <v>0</v>
      </c>
      <c r="E41" s="1469"/>
      <c r="F41" s="1470"/>
      <c r="G41" s="802">
        <v>0</v>
      </c>
      <c r="H41" s="802">
        <v>0</v>
      </c>
      <c r="I41" s="1492">
        <v>0</v>
      </c>
      <c r="J41" s="1492"/>
    </row>
    <row r="42" spans="1:10" s="136" customFormat="1">
      <c r="A42" s="191"/>
      <c r="B42" s="150"/>
      <c r="C42" s="151"/>
      <c r="D42" s="192"/>
      <c r="E42" s="192"/>
      <c r="F42" s="192"/>
      <c r="G42" s="142"/>
      <c r="H42" s="142"/>
    </row>
    <row r="43" spans="1:10" s="136" customFormat="1" ht="18">
      <c r="A43" s="191"/>
      <c r="B43" s="150"/>
      <c r="C43" s="197" t="s">
        <v>2676</v>
      </c>
      <c r="D43" s="193"/>
      <c r="E43" s="489"/>
      <c r="F43" s="489"/>
      <c r="G43" s="490"/>
      <c r="H43" s="490"/>
    </row>
    <row r="44" spans="1:10" s="136" customFormat="1" ht="18">
      <c r="A44" s="191"/>
      <c r="B44" s="150"/>
      <c r="C44" s="197"/>
      <c r="D44" s="492" t="s">
        <v>240</v>
      </c>
      <c r="E44" s="493" t="s">
        <v>236</v>
      </c>
      <c r="F44" s="493" t="s">
        <v>237</v>
      </c>
      <c r="G44" s="494" t="s">
        <v>238</v>
      </c>
      <c r="H44" s="499" t="s">
        <v>239</v>
      </c>
    </row>
    <row r="45" spans="1:10" s="136" customFormat="1">
      <c r="A45" s="194" t="s">
        <v>601</v>
      </c>
      <c r="B45" s="195"/>
      <c r="C45" s="491"/>
      <c r="D45" s="495">
        <v>5.0000000000000001E-3</v>
      </c>
      <c r="E45" s="497">
        <f>F45/D45</f>
        <v>0</v>
      </c>
      <c r="F45" s="497">
        <v>0</v>
      </c>
      <c r="G45" s="498">
        <v>0</v>
      </c>
      <c r="H45" s="498">
        <f>F45-G45</f>
        <v>0</v>
      </c>
    </row>
    <row r="46" spans="1:10" s="136" customFormat="1">
      <c r="A46" s="194" t="s">
        <v>602</v>
      </c>
      <c r="B46" s="195"/>
      <c r="C46" s="491"/>
      <c r="D46" s="495">
        <v>5.0000000000000001E-3</v>
      </c>
      <c r="E46" s="497">
        <f>F46/D46</f>
        <v>0</v>
      </c>
      <c r="F46" s="497">
        <v>0</v>
      </c>
      <c r="G46" s="498"/>
      <c r="H46" s="498">
        <f>F46-G46</f>
        <v>0</v>
      </c>
    </row>
    <row r="47" spans="1:10" s="136" customFormat="1">
      <c r="A47" s="194" t="s">
        <v>241</v>
      </c>
      <c r="B47" s="195"/>
      <c r="C47" s="196"/>
      <c r="D47" s="496"/>
      <c r="E47" s="497">
        <f>SUM(E45:E46)</f>
        <v>0</v>
      </c>
      <c r="F47" s="497">
        <f>SUM(F45:F46)</f>
        <v>0</v>
      </c>
      <c r="G47" s="497">
        <f>SUM(G45:G46)</f>
        <v>0</v>
      </c>
      <c r="H47" s="497">
        <f>SUM(H45:H46)</f>
        <v>0</v>
      </c>
    </row>
    <row r="48" spans="1:10" s="136" customFormat="1" ht="15.75">
      <c r="A48" s="502"/>
      <c r="B48" s="503"/>
      <c r="C48" s="504"/>
      <c r="D48" s="506" t="s">
        <v>859</v>
      </c>
      <c r="E48" s="505"/>
      <c r="F48" s="505"/>
      <c r="G48" s="505"/>
      <c r="H48" s="505"/>
    </row>
    <row r="49" spans="1:8" s="136" customFormat="1" ht="15.75">
      <c r="A49" s="502"/>
      <c r="B49" s="503"/>
      <c r="C49" s="504"/>
      <c r="D49" s="506" t="s">
        <v>2596</v>
      </c>
      <c r="E49" s="505"/>
      <c r="F49" s="505"/>
      <c r="G49" s="505"/>
      <c r="H49" s="505"/>
    </row>
    <row r="51" spans="1:8">
      <c r="A51" s="1475" t="s">
        <v>544</v>
      </c>
      <c r="B51" s="1476"/>
      <c r="C51" s="1476"/>
      <c r="D51" s="1476"/>
      <c r="E51" s="1476"/>
      <c r="F51" s="1477"/>
    </row>
    <row r="52" spans="1:8">
      <c r="A52" s="144"/>
      <c r="C52" s="181" t="s">
        <v>945</v>
      </c>
      <c r="D52" s="404"/>
      <c r="E52" s="181" t="s">
        <v>946</v>
      </c>
      <c r="F52" s="148"/>
    </row>
    <row r="53" spans="1:8">
      <c r="A53" s="1473" t="s">
        <v>2013</v>
      </c>
      <c r="B53" s="1474"/>
      <c r="C53" s="389"/>
      <c r="D53" s="142"/>
      <c r="E53" s="414">
        <f>SUMIF(GK!A:A,"5201",GK!E:E)</f>
        <v>0</v>
      </c>
      <c r="F53" s="148"/>
    </row>
    <row r="54" spans="1:8">
      <c r="A54" s="1473" t="s">
        <v>2014</v>
      </c>
      <c r="B54" s="1474"/>
      <c r="C54" s="389"/>
      <c r="D54" s="142"/>
      <c r="E54" s="414">
        <v>0</v>
      </c>
      <c r="F54" s="148"/>
    </row>
    <row r="55" spans="1:8">
      <c r="A55" s="1473" t="s">
        <v>1501</v>
      </c>
      <c r="B55" s="1474"/>
      <c r="C55" s="389"/>
      <c r="D55" s="142"/>
      <c r="E55" s="414">
        <f>SUMIF(GK!A:A,"5203",GK!E:E)</f>
        <v>0</v>
      </c>
      <c r="F55" s="148"/>
    </row>
    <row r="56" spans="1:8">
      <c r="A56" s="1473" t="s">
        <v>1502</v>
      </c>
      <c r="B56" s="1474"/>
      <c r="C56" s="389"/>
      <c r="D56" s="142"/>
      <c r="E56" s="414">
        <f>SUMIF(GK!A:A,"5204",GK!E:E)</f>
        <v>0</v>
      </c>
      <c r="F56" s="148"/>
    </row>
    <row r="57" spans="1:8">
      <c r="A57" s="1473" t="s">
        <v>1503</v>
      </c>
      <c r="B57" s="1474"/>
      <c r="C57" s="389"/>
      <c r="D57" s="142"/>
      <c r="E57" s="414">
        <f>SUMIF(GK!A:A,"5202",GK!E:E)</f>
        <v>0</v>
      </c>
      <c r="F57" s="148"/>
    </row>
    <row r="58" spans="1:8">
      <c r="A58" s="405" t="s">
        <v>1504</v>
      </c>
      <c r="B58" s="406"/>
      <c r="C58" s="390"/>
      <c r="D58" s="142"/>
      <c r="E58" s="414">
        <f>unos!G161</f>
        <v>0</v>
      </c>
      <c r="F58" s="148"/>
    </row>
    <row r="59" spans="1:8">
      <c r="A59" s="424"/>
      <c r="B59" s="419"/>
      <c r="C59" s="420"/>
      <c r="D59" s="421"/>
      <c r="E59" s="422">
        <v>0</v>
      </c>
      <c r="F59" s="425"/>
      <c r="G59" s="423"/>
    </row>
    <row r="60" spans="1:8">
      <c r="A60" s="405"/>
      <c r="B60" s="406"/>
      <c r="C60" s="407"/>
      <c r="D60" s="142"/>
      <c r="E60" s="408"/>
      <c r="F60" s="425"/>
    </row>
    <row r="61" spans="1:8">
      <c r="A61" s="405"/>
      <c r="B61" s="406"/>
      <c r="C61" s="407"/>
      <c r="D61" s="142"/>
      <c r="E61" s="408"/>
      <c r="F61" s="148"/>
    </row>
    <row r="63" spans="1:8" ht="25.5" customHeight="1">
      <c r="A63" s="462" t="s">
        <v>285</v>
      </c>
      <c r="B63" s="463"/>
      <c r="C63" s="464"/>
      <c r="D63" s="464"/>
      <c r="E63" s="465"/>
      <c r="F63" s="1445" t="s">
        <v>2850</v>
      </c>
      <c r="G63" s="1446"/>
    </row>
    <row r="64" spans="1:8">
      <c r="F64" s="1248" t="s">
        <v>1039</v>
      </c>
      <c r="G64" s="1249" t="s">
        <v>1040</v>
      </c>
    </row>
    <row r="65" spans="1:7" ht="15">
      <c r="A65" s="1216" t="s">
        <v>2833</v>
      </c>
      <c r="B65" s="1217"/>
      <c r="C65" s="1217"/>
      <c r="D65" s="1217"/>
      <c r="E65" s="1459">
        <v>650</v>
      </c>
      <c r="F65" s="1461">
        <f>unos!F18</f>
        <v>0</v>
      </c>
      <c r="G65" s="1463">
        <f>unos!G18</f>
        <v>0</v>
      </c>
    </row>
    <row r="66" spans="1:7">
      <c r="A66" s="1218" t="s">
        <v>2805</v>
      </c>
      <c r="B66" s="1219"/>
      <c r="C66" s="1219"/>
      <c r="D66" s="1219"/>
      <c r="E66" s="1460"/>
      <c r="F66" s="1462"/>
      <c r="G66" s="1464"/>
    </row>
    <row r="67" spans="1:7">
      <c r="A67" s="1220" t="s">
        <v>2834</v>
      </c>
      <c r="B67" s="1221"/>
      <c r="C67" s="1221"/>
      <c r="D67" s="1221"/>
      <c r="E67" s="1222" t="s">
        <v>2806</v>
      </c>
      <c r="F67" s="1267"/>
      <c r="G67" s="1268"/>
    </row>
    <row r="68" spans="1:7">
      <c r="A68" s="1220" t="s">
        <v>2835</v>
      </c>
      <c r="B68" s="1221"/>
      <c r="C68" s="1221"/>
      <c r="D68" s="1221"/>
      <c r="E68" s="1222" t="s">
        <v>2806</v>
      </c>
      <c r="F68" s="1267"/>
      <c r="G68" s="1268"/>
    </row>
    <row r="69" spans="1:7">
      <c r="E69" s="1215"/>
      <c r="F69" s="1269"/>
      <c r="G69" s="1269"/>
    </row>
    <row r="70" spans="1:7">
      <c r="E70" s="1215"/>
      <c r="F70" s="1269"/>
      <c r="G70" s="1269"/>
    </row>
    <row r="71" spans="1:7">
      <c r="A71" s="1223" t="s">
        <v>2836</v>
      </c>
      <c r="B71" s="1224"/>
      <c r="C71" s="1224"/>
      <c r="D71" s="1224"/>
      <c r="E71" s="1225" t="s">
        <v>2812</v>
      </c>
      <c r="F71" s="1270">
        <f>C53+C54</f>
        <v>0</v>
      </c>
      <c r="G71" s="1270">
        <f>E53+E54</f>
        <v>0</v>
      </c>
    </row>
    <row r="72" spans="1:7">
      <c r="A72" s="1223" t="s">
        <v>2837</v>
      </c>
      <c r="B72" s="1224"/>
      <c r="C72" s="1224"/>
      <c r="D72" s="1224"/>
      <c r="E72" s="1225" t="s">
        <v>2813</v>
      </c>
      <c r="F72" s="1270">
        <f>C57</f>
        <v>0</v>
      </c>
      <c r="G72" s="1270">
        <f>E57</f>
        <v>0</v>
      </c>
    </row>
    <row r="73" spans="1:7">
      <c r="A73" s="1223" t="s">
        <v>2838</v>
      </c>
      <c r="B73" s="1224"/>
      <c r="C73" s="1224"/>
      <c r="D73" s="1224"/>
      <c r="E73" s="1225" t="s">
        <v>2814</v>
      </c>
      <c r="F73" s="1270">
        <f>C55</f>
        <v>0</v>
      </c>
      <c r="G73" s="1270">
        <f>E55</f>
        <v>0</v>
      </c>
    </row>
    <row r="74" spans="1:7">
      <c r="A74" s="1223" t="s">
        <v>2839</v>
      </c>
      <c r="B74" s="1224"/>
      <c r="C74" s="1224"/>
      <c r="D74" s="1224"/>
      <c r="E74" s="1225" t="s">
        <v>2840</v>
      </c>
      <c r="F74" s="1270">
        <f>C56</f>
        <v>0</v>
      </c>
      <c r="G74" s="1270">
        <f>E56</f>
        <v>0</v>
      </c>
    </row>
    <row r="75" spans="1:7">
      <c r="E75" s="1215"/>
      <c r="F75" s="1269"/>
      <c r="G75" s="1269"/>
    </row>
    <row r="76" spans="1:7">
      <c r="E76" s="1215"/>
      <c r="F76" s="1269"/>
      <c r="G76" s="1269"/>
    </row>
    <row r="77" spans="1:7">
      <c r="A77" s="1226" t="s">
        <v>2841</v>
      </c>
      <c r="B77" s="1227"/>
      <c r="C77" s="1227"/>
      <c r="D77" s="1227"/>
      <c r="E77" s="1465">
        <v>523</v>
      </c>
      <c r="F77" s="1467">
        <f>unos!F67</f>
        <v>0</v>
      </c>
      <c r="G77" s="1467">
        <f>unos!G67</f>
        <v>0</v>
      </c>
    </row>
    <row r="78" spans="1:7">
      <c r="A78" s="1228" t="s">
        <v>2805</v>
      </c>
      <c r="B78" s="1229"/>
      <c r="C78" s="1229"/>
      <c r="D78" s="1229"/>
      <c r="E78" s="1466"/>
      <c r="F78" s="1468"/>
      <c r="G78" s="1468"/>
    </row>
    <row r="79" spans="1:7">
      <c r="A79" s="1230" t="s">
        <v>2842</v>
      </c>
      <c r="B79" s="1231"/>
      <c r="C79" s="1231"/>
      <c r="D79" s="1231"/>
      <c r="E79" s="1232" t="s">
        <v>2816</v>
      </c>
      <c r="F79" s="1271"/>
      <c r="G79" s="1272"/>
    </row>
    <row r="80" spans="1:7">
      <c r="E80" s="1215"/>
      <c r="F80" s="1269"/>
      <c r="G80" s="1269"/>
    </row>
    <row r="81" spans="1:7">
      <c r="A81" s="1233" t="s">
        <v>2843</v>
      </c>
      <c r="B81" s="1234"/>
      <c r="C81" s="1234"/>
      <c r="D81" s="1234"/>
      <c r="E81" s="1447">
        <v>559</v>
      </c>
      <c r="F81" s="1449">
        <f>unos!F97</f>
        <v>0</v>
      </c>
      <c r="G81" s="1451">
        <f>unos!G97</f>
        <v>0</v>
      </c>
    </row>
    <row r="82" spans="1:7">
      <c r="A82" s="1235" t="s">
        <v>2805</v>
      </c>
      <c r="B82" s="1236"/>
      <c r="C82" s="1236"/>
      <c r="D82" s="1236"/>
      <c r="E82" s="1448"/>
      <c r="F82" s="1450"/>
      <c r="G82" s="1452"/>
    </row>
    <row r="83" spans="1:7">
      <c r="A83" s="1237" t="s">
        <v>2844</v>
      </c>
      <c r="B83" s="1238"/>
      <c r="C83" s="1238"/>
      <c r="D83" s="1238"/>
      <c r="E83" s="1239" t="s">
        <v>2829</v>
      </c>
      <c r="F83" s="1273"/>
      <c r="G83" s="1274"/>
    </row>
    <row r="84" spans="1:7">
      <c r="A84" s="1237" t="s">
        <v>2845</v>
      </c>
      <c r="B84" s="1238"/>
      <c r="C84" s="1238"/>
      <c r="D84" s="1238"/>
      <c r="E84" s="1239" t="s">
        <v>2830</v>
      </c>
      <c r="F84" s="1273"/>
      <c r="G84" s="1274"/>
    </row>
    <row r="85" spans="1:7">
      <c r="E85" s="1215"/>
      <c r="F85" s="1269"/>
      <c r="G85" s="1269"/>
    </row>
    <row r="86" spans="1:7">
      <c r="A86" s="460"/>
      <c r="E86" s="1215"/>
      <c r="F86" s="1269"/>
      <c r="G86" s="1269"/>
    </row>
    <row r="87" spans="1:7">
      <c r="A87" s="1240" t="s">
        <v>2846</v>
      </c>
      <c r="B87" s="1241"/>
      <c r="C87" s="1241"/>
      <c r="D87" s="1241"/>
      <c r="E87" s="1453" t="s">
        <v>2831</v>
      </c>
      <c r="F87" s="1455"/>
      <c r="G87" s="1457"/>
    </row>
    <row r="88" spans="1:7">
      <c r="A88" s="1242" t="s">
        <v>2847</v>
      </c>
      <c r="B88" s="1243"/>
      <c r="C88" s="1243"/>
      <c r="D88" s="1243"/>
      <c r="E88" s="1454"/>
      <c r="F88" s="1456"/>
      <c r="G88" s="1458"/>
    </row>
    <row r="89" spans="1:7">
      <c r="F89" s="1269"/>
      <c r="G89" s="1269"/>
    </row>
    <row r="90" spans="1:7">
      <c r="A90" s="1244" t="s">
        <v>2848</v>
      </c>
      <c r="B90" s="1245"/>
      <c r="C90" s="1245"/>
      <c r="D90" s="1245"/>
      <c r="E90" s="1439" t="s">
        <v>2832</v>
      </c>
      <c r="F90" s="1441"/>
      <c r="G90" s="1443"/>
    </row>
    <row r="91" spans="1:7">
      <c r="A91" s="1246" t="s">
        <v>2849</v>
      </c>
      <c r="B91" s="1247"/>
      <c r="C91" s="1247"/>
      <c r="D91" s="1247"/>
      <c r="E91" s="1440"/>
      <c r="F91" s="1442"/>
      <c r="G91" s="1444"/>
    </row>
    <row r="92" spans="1:7">
      <c r="F92" s="1275"/>
      <c r="G92" s="1275"/>
    </row>
    <row r="93" spans="1:7">
      <c r="A93" s="1251" t="s">
        <v>2851</v>
      </c>
      <c r="B93" s="1252"/>
      <c r="C93" s="1252"/>
      <c r="D93" s="1252"/>
      <c r="E93" s="1250">
        <v>480</v>
      </c>
      <c r="F93" s="1276"/>
      <c r="G93" s="1277"/>
    </row>
    <row r="94" spans="1:7">
      <c r="F94" s="1275"/>
      <c r="G94" s="1275"/>
    </row>
    <row r="95" spans="1:7">
      <c r="A95" s="1251" t="s">
        <v>2933</v>
      </c>
      <c r="B95" s="1252"/>
      <c r="C95" s="1252"/>
      <c r="D95" s="1252"/>
      <c r="E95" s="1250" t="s">
        <v>2935</v>
      </c>
      <c r="F95" s="1276"/>
      <c r="G95" s="1277"/>
    </row>
    <row r="96" spans="1:7">
      <c r="F96" s="1275"/>
      <c r="G96" s="1275"/>
    </row>
    <row r="97" spans="1:9">
      <c r="A97" s="1251" t="s">
        <v>2934</v>
      </c>
      <c r="B97" s="1252"/>
      <c r="C97" s="1252"/>
      <c r="D97" s="1252"/>
      <c r="E97" s="1250" t="s">
        <v>2935</v>
      </c>
      <c r="F97" s="1276"/>
      <c r="G97" s="1277"/>
    </row>
    <row r="101" spans="1:9" ht="15.75">
      <c r="A101" s="470" t="s">
        <v>1422</v>
      </c>
      <c r="H101" t="s">
        <v>2581</v>
      </c>
    </row>
    <row r="102" spans="1:9">
      <c r="A102" s="468" t="s">
        <v>1424</v>
      </c>
      <c r="B102" s="469"/>
      <c r="C102" s="469"/>
      <c r="D102" s="469"/>
      <c r="E102" s="469"/>
      <c r="F102" s="469"/>
      <c r="G102" s="1114">
        <f>'STAT.ANEX 1'!AA26-unos!G54</f>
        <v>0</v>
      </c>
      <c r="H102" s="471">
        <v>0</v>
      </c>
      <c r="I102" s="467">
        <f>IF(G102&lt;&gt;0,"GRESKA",G102)</f>
        <v>0</v>
      </c>
    </row>
    <row r="103" spans="1:9">
      <c r="A103" s="468" t="s">
        <v>1423</v>
      </c>
      <c r="B103" s="469"/>
      <c r="C103" s="469"/>
      <c r="D103" s="469"/>
      <c r="E103" s="469"/>
      <c r="F103" s="469"/>
      <c r="G103" s="1114">
        <f>'STAT.ANEX 1'!AA65-unos!G126</f>
        <v>0</v>
      </c>
      <c r="H103" s="471">
        <v>0</v>
      </c>
      <c r="I103" s="459">
        <f>IF(G103&lt;&gt;0,"GRESKA",G103)</f>
        <v>0</v>
      </c>
    </row>
    <row r="104" spans="1:9">
      <c r="G104" s="458"/>
      <c r="H104" s="471">
        <v>0</v>
      </c>
    </row>
    <row r="105" spans="1:9" ht="33">
      <c r="A105" s="417"/>
      <c r="B105" s="417"/>
      <c r="C105" s="461" t="s">
        <v>1157</v>
      </c>
      <c r="D105" s="417"/>
      <c r="E105" s="417"/>
      <c r="F105" s="417"/>
      <c r="G105" s="417"/>
    </row>
  </sheetData>
  <mergeCells count="48">
    <mergeCell ref="I39:J39"/>
    <mergeCell ref="I40:J40"/>
    <mergeCell ref="I41:J41"/>
    <mergeCell ref="I34:J34"/>
    <mergeCell ref="I35:J35"/>
    <mergeCell ref="I36:J36"/>
    <mergeCell ref="I37:J37"/>
    <mergeCell ref="I38:J38"/>
    <mergeCell ref="D36:F36"/>
    <mergeCell ref="A4:C4"/>
    <mergeCell ref="A15:G15"/>
    <mergeCell ref="A16:F16"/>
    <mergeCell ref="G16:H19"/>
    <mergeCell ref="A25:F25"/>
    <mergeCell ref="D27:F27"/>
    <mergeCell ref="G27:H27"/>
    <mergeCell ref="G33:J33"/>
    <mergeCell ref="D28:F28"/>
    <mergeCell ref="D29:F29"/>
    <mergeCell ref="D30:F30"/>
    <mergeCell ref="D31:F31"/>
    <mergeCell ref="D35:F35"/>
    <mergeCell ref="A57:B57"/>
    <mergeCell ref="A51:F51"/>
    <mergeCell ref="A53:B53"/>
    <mergeCell ref="A54:B54"/>
    <mergeCell ref="A55:B55"/>
    <mergeCell ref="D37:F38"/>
    <mergeCell ref="D39:F39"/>
    <mergeCell ref="D40:F40"/>
    <mergeCell ref="D41:F41"/>
    <mergeCell ref="A56:B56"/>
    <mergeCell ref="E90:E91"/>
    <mergeCell ref="F90:F91"/>
    <mergeCell ref="G90:G91"/>
    <mergeCell ref="F63:G63"/>
    <mergeCell ref="E81:E82"/>
    <mergeCell ref="F81:F82"/>
    <mergeCell ref="G81:G82"/>
    <mergeCell ref="E87:E88"/>
    <mergeCell ref="F87:F88"/>
    <mergeCell ref="G87:G88"/>
    <mergeCell ref="E65:E66"/>
    <mergeCell ref="F65:F66"/>
    <mergeCell ref="G65:G66"/>
    <mergeCell ref="E77:E78"/>
    <mergeCell ref="F77:F78"/>
    <mergeCell ref="G77:G78"/>
  </mergeCells>
  <phoneticPr fontId="60" type="noConversion"/>
  <pageMargins left="0.37" right="0.75" top="0.41" bottom="0.35" header="0.27" footer="0.2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0" enableFormatConditionsCalculation="0">
    <tabColor indexed="43"/>
  </sheetPr>
  <dimension ref="A1:AN79"/>
  <sheetViews>
    <sheetView showGridLines="0" workbookViewId="0">
      <selection activeCell="L6" sqref="L6"/>
    </sheetView>
  </sheetViews>
  <sheetFormatPr defaultColWidth="3" defaultRowHeight="12.75"/>
  <cols>
    <col min="1" max="1" width="5.7109375" style="235" customWidth="1"/>
    <col min="2" max="23" width="2.7109375" style="235" customWidth="1"/>
    <col min="24" max="24" width="5.7109375" style="235" customWidth="1"/>
    <col min="25" max="29" width="2.7109375" style="235" customWidth="1"/>
    <col min="30" max="30" width="4.7109375" style="235" customWidth="1"/>
    <col min="31" max="35" width="2.7109375" style="235" customWidth="1"/>
    <col min="36" max="36" width="4.5703125" style="235" customWidth="1"/>
    <col min="37" max="38" width="2.7109375" style="235" customWidth="1"/>
    <col min="39" max="16384" width="3" style="235"/>
  </cols>
  <sheetData>
    <row r="1" spans="1:40" s="225" customFormat="1" ht="23.25" thickBot="1">
      <c r="A1" s="1529" t="s">
        <v>2164</v>
      </c>
      <c r="B1" s="1530"/>
      <c r="C1" s="1530"/>
      <c r="D1" s="1530"/>
      <c r="E1" s="1530"/>
      <c r="F1" s="1530"/>
      <c r="G1" s="1530"/>
      <c r="H1" s="1530"/>
      <c r="I1" s="1530"/>
      <c r="J1" s="1530"/>
      <c r="K1" s="1530"/>
      <c r="L1" s="1530"/>
      <c r="M1" s="1530"/>
      <c r="N1" s="1530"/>
      <c r="O1" s="1530"/>
      <c r="P1" s="1530"/>
      <c r="Q1" s="1530"/>
      <c r="R1" s="1530"/>
      <c r="S1" s="1530"/>
      <c r="T1" s="1530"/>
      <c r="U1" s="1530"/>
      <c r="V1" s="1530"/>
      <c r="W1" s="1530"/>
      <c r="X1" s="1530"/>
      <c r="Y1" s="1530"/>
      <c r="Z1" s="1530"/>
      <c r="AA1" s="1530"/>
      <c r="AB1" s="1530"/>
      <c r="AC1" s="1530"/>
      <c r="AD1" s="1530"/>
      <c r="AE1" s="1530"/>
      <c r="AF1" s="1530"/>
      <c r="AG1" s="1530"/>
      <c r="AH1" s="1530"/>
      <c r="AI1" s="1530"/>
      <c r="AJ1" s="1530"/>
      <c r="AK1" s="1530"/>
      <c r="AL1" s="1531"/>
    </row>
    <row r="2" spans="1:40" s="225" customFormat="1" ht="21" thickBot="1">
      <c r="A2" s="1525" t="s">
        <v>2207</v>
      </c>
      <c r="B2" s="1526"/>
      <c r="C2" s="1526"/>
      <c r="D2" s="1526"/>
      <c r="E2" s="1526"/>
      <c r="F2" s="1526"/>
      <c r="G2" s="1526"/>
      <c r="H2" s="1526"/>
      <c r="I2" s="1526"/>
      <c r="J2" s="1526"/>
      <c r="K2" s="1526"/>
      <c r="L2" s="1526"/>
      <c r="M2" s="1526"/>
      <c r="N2" s="1526"/>
      <c r="O2" s="1526"/>
      <c r="P2" s="1526"/>
      <c r="Q2" s="1526"/>
      <c r="R2" s="1526"/>
      <c r="S2" s="1526"/>
      <c r="T2" s="1526"/>
      <c r="U2" s="1526"/>
      <c r="V2" s="1526"/>
      <c r="W2" s="1526"/>
      <c r="X2" s="1526"/>
      <c r="Y2" s="1526"/>
      <c r="Z2" s="1526"/>
      <c r="AA2" s="1526"/>
      <c r="AB2" s="1526"/>
      <c r="AC2" s="1526"/>
      <c r="AD2" s="1526"/>
      <c r="AE2" s="1526"/>
      <c r="AF2" s="1526"/>
      <c r="AG2" s="1526"/>
      <c r="AH2" s="1526"/>
      <c r="AI2" s="1526"/>
      <c r="AJ2" s="1526"/>
      <c r="AK2" s="1526"/>
      <c r="AL2" s="1526"/>
    </row>
    <row r="3" spans="1:40" s="223" customFormat="1" ht="14.25" thickTop="1" thickBot="1">
      <c r="A3" s="219"/>
      <c r="B3" s="247" t="s">
        <v>2729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8"/>
      <c r="AJ3" s="259">
        <v>2</v>
      </c>
      <c r="AK3" s="224"/>
      <c r="AL3" s="224"/>
      <c r="AM3" s="224"/>
      <c r="AN3" s="224"/>
    </row>
    <row r="4" spans="1:40" s="223" customFormat="1" ht="14.25" thickTop="1" thickBot="1">
      <c r="A4" s="219"/>
      <c r="B4" s="220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6"/>
      <c r="AG4" s="224"/>
      <c r="AH4" s="224"/>
      <c r="AI4" s="224"/>
      <c r="AJ4" s="224"/>
      <c r="AK4" s="224"/>
      <c r="AL4" s="224"/>
      <c r="AM4" s="224"/>
      <c r="AN4" s="224"/>
    </row>
    <row r="5" spans="1:40" s="223" customFormat="1" ht="14.25" thickTop="1" thickBot="1">
      <c r="A5" s="219"/>
      <c r="B5" s="281" t="s">
        <v>589</v>
      </c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8"/>
      <c r="AJ5" s="259">
        <v>0</v>
      </c>
      <c r="AK5" s="224"/>
      <c r="AL5" s="224"/>
      <c r="AM5" s="224"/>
      <c r="AN5" s="224"/>
    </row>
    <row r="6" spans="1:40" s="223" customFormat="1" ht="13.5" thickTop="1">
      <c r="A6" s="219"/>
      <c r="B6" s="1522" t="s">
        <v>2863</v>
      </c>
      <c r="C6" s="1523"/>
      <c r="D6" s="1523"/>
      <c r="E6" s="1523"/>
      <c r="F6" s="1523"/>
      <c r="G6" s="1523"/>
      <c r="H6" s="1523"/>
      <c r="I6" s="1523"/>
      <c r="J6" s="1523"/>
      <c r="K6" s="1524"/>
      <c r="L6" s="1256"/>
      <c r="M6" s="1256"/>
      <c r="N6" s="1256"/>
      <c r="O6" s="1256"/>
      <c r="P6" s="1257"/>
      <c r="Q6" s="1257"/>
      <c r="R6" s="1257"/>
      <c r="S6" s="1257"/>
      <c r="T6" s="1257"/>
      <c r="U6" s="1257"/>
      <c r="V6" s="1257"/>
      <c r="W6" s="1257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80"/>
      <c r="AK6" s="224"/>
      <c r="AL6" s="224"/>
      <c r="AM6" s="224"/>
      <c r="AN6" s="224"/>
    </row>
    <row r="7" spans="1:40" s="223" customFormat="1">
      <c r="A7" s="219"/>
      <c r="B7" s="1522" t="s">
        <v>1396</v>
      </c>
      <c r="C7" s="1523"/>
      <c r="D7" s="1523"/>
      <c r="E7" s="1523"/>
      <c r="F7" s="1523"/>
      <c r="G7" s="1523"/>
      <c r="H7" s="1523"/>
      <c r="I7" s="1523"/>
      <c r="J7" s="1523"/>
      <c r="K7" s="1524"/>
      <c r="L7" s="1500">
        <f>FirmaSjediste</f>
        <v>0</v>
      </c>
      <c r="M7" s="1500"/>
      <c r="N7" s="1500"/>
      <c r="O7" s="1500"/>
      <c r="P7" s="1500"/>
      <c r="Q7" s="1500"/>
      <c r="R7" s="1500"/>
      <c r="S7" s="1500"/>
      <c r="T7" s="1500"/>
      <c r="U7" s="1500"/>
      <c r="V7" s="1500"/>
      <c r="W7" s="1500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80"/>
      <c r="AK7" s="224"/>
      <c r="AL7" s="224"/>
      <c r="AM7" s="224"/>
      <c r="AN7" s="224"/>
    </row>
    <row r="8" spans="1:40" s="223" customFormat="1">
      <c r="A8" s="219"/>
      <c r="B8" s="1522" t="s">
        <v>2861</v>
      </c>
      <c r="C8" s="1523"/>
      <c r="D8" s="1523"/>
      <c r="E8" s="1523"/>
      <c r="F8" s="1523"/>
      <c r="G8" s="1523"/>
      <c r="H8" s="1523"/>
      <c r="I8" s="1523"/>
      <c r="J8" s="1523"/>
      <c r="K8" s="1524"/>
      <c r="L8" s="1500" t="s">
        <v>2862</v>
      </c>
      <c r="M8" s="1500"/>
      <c r="N8" s="1500"/>
      <c r="O8" s="1500"/>
      <c r="P8" s="1500"/>
      <c r="Q8" s="1500"/>
      <c r="R8" s="1500"/>
      <c r="S8" s="1500"/>
      <c r="T8" s="1500"/>
      <c r="U8" s="1500"/>
      <c r="V8" s="1500"/>
      <c r="W8" s="1500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80"/>
      <c r="AK8" s="224"/>
      <c r="AL8" s="224"/>
      <c r="AM8" s="224"/>
      <c r="AN8" s="224"/>
    </row>
    <row r="9" spans="1:40" s="223" customFormat="1" ht="18.75">
      <c r="A9" s="227"/>
      <c r="B9" s="260" t="s">
        <v>2580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22"/>
      <c r="Z9" s="222"/>
      <c r="AA9" s="222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</row>
    <row r="10" spans="1:40" s="223" customFormat="1">
      <c r="A10" s="258" t="s">
        <v>673</v>
      </c>
      <c r="B10" s="1527" t="s">
        <v>1068</v>
      </c>
      <c r="C10" s="1527"/>
      <c r="D10" s="1527"/>
      <c r="E10" s="1527"/>
      <c r="F10" s="1527"/>
      <c r="G10" s="1527"/>
      <c r="H10" s="1527"/>
      <c r="I10" s="1527"/>
      <c r="J10" s="1527"/>
      <c r="K10" s="1527"/>
      <c r="L10" s="1527"/>
      <c r="M10" s="1527"/>
      <c r="N10" s="1527"/>
      <c r="O10" s="1527"/>
      <c r="P10" s="1527"/>
      <c r="Q10" s="1527"/>
      <c r="R10" s="1527"/>
      <c r="S10" s="1512">
        <v>0</v>
      </c>
      <c r="T10" s="1512"/>
      <c r="U10" s="1512"/>
      <c r="V10" s="1512"/>
      <c r="W10" s="1512"/>
      <c r="X10" s="1512"/>
      <c r="Y10" s="295"/>
      <c r="Z10" s="295"/>
      <c r="AA10" s="295"/>
      <c r="AB10" s="295"/>
      <c r="AC10" s="295"/>
      <c r="AD10" s="296"/>
      <c r="AE10" s="1532"/>
      <c r="AF10" s="1532"/>
      <c r="AG10" s="1532"/>
      <c r="AH10" s="1532"/>
      <c r="AI10" s="1532"/>
      <c r="AJ10" s="1532"/>
      <c r="AK10" s="222"/>
      <c r="AL10" s="224"/>
      <c r="AM10" s="224"/>
      <c r="AN10" s="224"/>
    </row>
    <row r="11" spans="1:40" s="223" customFormat="1">
      <c r="A11" s="258" t="s">
        <v>674</v>
      </c>
      <c r="B11" s="1527" t="s">
        <v>884</v>
      </c>
      <c r="C11" s="1527"/>
      <c r="D11" s="1527"/>
      <c r="E11" s="1527"/>
      <c r="F11" s="1527"/>
      <c r="G11" s="1527"/>
      <c r="H11" s="1527"/>
      <c r="I11" s="1527"/>
      <c r="J11" s="1527"/>
      <c r="K11" s="1527"/>
      <c r="L11" s="1527"/>
      <c r="M11" s="1527"/>
      <c r="N11" s="1527"/>
      <c r="O11" s="1527"/>
      <c r="P11" s="1527"/>
      <c r="Q11" s="1527"/>
      <c r="R11" s="1527"/>
      <c r="S11" s="1512"/>
      <c r="T11" s="1512"/>
      <c r="U11" s="1512"/>
      <c r="V11" s="1512"/>
      <c r="W11" s="1512"/>
      <c r="X11" s="1512"/>
      <c r="Y11" s="295"/>
      <c r="Z11" s="295"/>
      <c r="AA11" s="298"/>
      <c r="AB11" s="295"/>
      <c r="AC11" s="295"/>
      <c r="AD11" s="296"/>
      <c r="AE11" s="297"/>
      <c r="AF11" s="297"/>
      <c r="AG11" s="297"/>
      <c r="AH11" s="297"/>
      <c r="AI11" s="297"/>
      <c r="AJ11" s="297"/>
      <c r="AK11" s="222"/>
      <c r="AL11" s="224"/>
      <c r="AM11" s="224"/>
      <c r="AN11" s="224"/>
    </row>
    <row r="12" spans="1:40" s="223" customFormat="1">
      <c r="A12" s="258" t="s">
        <v>675</v>
      </c>
      <c r="B12" s="1527" t="s">
        <v>885</v>
      </c>
      <c r="C12" s="1527"/>
      <c r="D12" s="1527"/>
      <c r="E12" s="1527"/>
      <c r="F12" s="1527"/>
      <c r="G12" s="1527"/>
      <c r="H12" s="1527"/>
      <c r="I12" s="1527"/>
      <c r="J12" s="1527"/>
      <c r="K12" s="1527"/>
      <c r="L12" s="1527"/>
      <c r="M12" s="1527"/>
      <c r="N12" s="1527"/>
      <c r="O12" s="1527"/>
      <c r="P12" s="1527"/>
      <c r="Q12" s="1527"/>
      <c r="R12" s="1527"/>
      <c r="S12" s="1512"/>
      <c r="T12" s="1512"/>
      <c r="U12" s="1512"/>
      <c r="V12" s="1512"/>
      <c r="W12" s="1512"/>
      <c r="X12" s="1512"/>
      <c r="Y12" s="295"/>
      <c r="Z12" s="295"/>
      <c r="AA12" s="295"/>
      <c r="AB12" s="295"/>
      <c r="AC12" s="295"/>
      <c r="AD12" s="296"/>
      <c r="AE12" s="297"/>
      <c r="AF12" s="297"/>
      <c r="AG12" s="297"/>
      <c r="AH12" s="297"/>
      <c r="AI12" s="297"/>
      <c r="AJ12" s="297"/>
      <c r="AK12" s="222"/>
      <c r="AL12" s="224"/>
      <c r="AM12" s="224"/>
      <c r="AN12" s="224"/>
    </row>
    <row r="13" spans="1:40" s="223" customFormat="1">
      <c r="A13" s="258" t="s">
        <v>676</v>
      </c>
      <c r="B13" s="1527" t="s">
        <v>886</v>
      </c>
      <c r="C13" s="1527"/>
      <c r="D13" s="1527"/>
      <c r="E13" s="1527"/>
      <c r="F13" s="1527"/>
      <c r="G13" s="1527"/>
      <c r="H13" s="1527"/>
      <c r="I13" s="1527"/>
      <c r="J13" s="1527"/>
      <c r="K13" s="1527"/>
      <c r="L13" s="1527"/>
      <c r="M13" s="1527"/>
      <c r="N13" s="1527"/>
      <c r="O13" s="1527"/>
      <c r="P13" s="1527"/>
      <c r="Q13" s="1527"/>
      <c r="R13" s="1527"/>
      <c r="S13" s="1512"/>
      <c r="T13" s="1512"/>
      <c r="U13" s="1512"/>
      <c r="V13" s="1512"/>
      <c r="W13" s="1512"/>
      <c r="X13" s="1512"/>
      <c r="Y13" s="295"/>
      <c r="Z13" s="295"/>
      <c r="AA13" s="295"/>
      <c r="AB13" s="295"/>
      <c r="AC13" s="295"/>
      <c r="AD13" s="296"/>
      <c r="AE13" s="297"/>
      <c r="AF13" s="297"/>
      <c r="AG13" s="297"/>
      <c r="AH13" s="297"/>
      <c r="AI13" s="297"/>
      <c r="AJ13" s="297"/>
      <c r="AK13" s="222"/>
      <c r="AL13" s="224"/>
      <c r="AM13" s="224"/>
      <c r="AN13" s="224"/>
    </row>
    <row r="14" spans="1:40" s="223" customFormat="1">
      <c r="A14" s="258" t="s">
        <v>677</v>
      </c>
      <c r="B14" s="1527" t="s">
        <v>887</v>
      </c>
      <c r="C14" s="1527"/>
      <c r="D14" s="1527"/>
      <c r="E14" s="1527"/>
      <c r="F14" s="1527"/>
      <c r="G14" s="1527"/>
      <c r="H14" s="1527"/>
      <c r="I14" s="1527"/>
      <c r="J14" s="1527"/>
      <c r="K14" s="1527"/>
      <c r="L14" s="1527"/>
      <c r="M14" s="1527"/>
      <c r="N14" s="1527"/>
      <c r="O14" s="1527"/>
      <c r="P14" s="1527"/>
      <c r="Q14" s="1527"/>
      <c r="R14" s="1527"/>
      <c r="S14" s="1512"/>
      <c r="T14" s="1512"/>
      <c r="U14" s="1512"/>
      <c r="V14" s="1512"/>
      <c r="W14" s="1512"/>
      <c r="X14" s="1512"/>
      <c r="Y14" s="295"/>
      <c r="Z14" s="295"/>
      <c r="AA14" s="295"/>
      <c r="AB14" s="295"/>
      <c r="AC14" s="295"/>
      <c r="AD14" s="296"/>
      <c r="AE14" s="1528"/>
      <c r="AF14" s="1528"/>
      <c r="AG14" s="1528"/>
      <c r="AH14" s="1528"/>
      <c r="AI14" s="1528"/>
      <c r="AJ14" s="1528"/>
      <c r="AK14" s="222"/>
      <c r="AL14" s="224"/>
      <c r="AM14" s="224"/>
      <c r="AN14" s="224"/>
    </row>
    <row r="15" spans="1:40" s="223" customFormat="1">
      <c r="A15" s="258" t="s">
        <v>678</v>
      </c>
      <c r="B15" s="1527" t="s">
        <v>2309</v>
      </c>
      <c r="C15" s="1527"/>
      <c r="D15" s="1527"/>
      <c r="E15" s="1527"/>
      <c r="F15" s="1527"/>
      <c r="G15" s="1527"/>
      <c r="H15" s="1527"/>
      <c r="I15" s="1527"/>
      <c r="J15" s="1527"/>
      <c r="K15" s="1527"/>
      <c r="L15" s="1527"/>
      <c r="M15" s="1527"/>
      <c r="N15" s="1527"/>
      <c r="O15" s="1527"/>
      <c r="P15" s="1527"/>
      <c r="Q15" s="1527"/>
      <c r="R15" s="1527"/>
      <c r="S15" s="1512"/>
      <c r="T15" s="1512"/>
      <c r="U15" s="1512"/>
      <c r="V15" s="1512"/>
      <c r="W15" s="1512"/>
      <c r="X15" s="1512"/>
      <c r="Y15" s="295"/>
      <c r="Z15" s="295"/>
      <c r="AA15" s="295"/>
      <c r="AB15" s="295"/>
      <c r="AC15" s="295"/>
      <c r="AD15" s="296"/>
      <c r="AE15" s="1528"/>
      <c r="AF15" s="1528"/>
      <c r="AG15" s="1528"/>
      <c r="AH15" s="1528"/>
      <c r="AI15" s="1528"/>
      <c r="AJ15" s="1528"/>
      <c r="AK15" s="222"/>
      <c r="AL15" s="224"/>
      <c r="AM15" s="224"/>
      <c r="AN15" s="224"/>
    </row>
    <row r="16" spans="1:40" s="223" customFormat="1">
      <c r="A16" s="258" t="s">
        <v>679</v>
      </c>
      <c r="B16" s="228" t="s">
        <v>888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30"/>
      <c r="S16" s="1512"/>
      <c r="T16" s="1512"/>
      <c r="U16" s="1512"/>
      <c r="V16" s="1512"/>
      <c r="W16" s="1512"/>
      <c r="X16" s="1512"/>
      <c r="Y16" s="295"/>
      <c r="Z16" s="295"/>
      <c r="AA16" s="295"/>
      <c r="AB16" s="295"/>
      <c r="AC16" s="295"/>
      <c r="AD16" s="296"/>
      <c r="AE16" s="299"/>
      <c r="AF16" s="299"/>
      <c r="AG16" s="299"/>
      <c r="AH16" s="299"/>
      <c r="AI16" s="299"/>
      <c r="AJ16" s="299"/>
      <c r="AK16" s="222"/>
      <c r="AL16" s="224"/>
      <c r="AM16" s="224"/>
      <c r="AN16" s="224"/>
    </row>
    <row r="17" spans="1:40" s="223" customFormat="1">
      <c r="A17" s="258" t="s">
        <v>680</v>
      </c>
      <c r="B17" s="228" t="s">
        <v>2307</v>
      </c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30"/>
      <c r="S17" s="1512"/>
      <c r="T17" s="1512"/>
      <c r="U17" s="1512"/>
      <c r="V17" s="1512"/>
      <c r="W17" s="1512"/>
      <c r="X17" s="1512"/>
      <c r="Y17" s="295"/>
      <c r="Z17" s="295"/>
      <c r="AA17" s="295"/>
      <c r="AB17" s="295"/>
      <c r="AC17" s="295"/>
      <c r="AD17" s="296"/>
      <c r="AE17" s="299"/>
      <c r="AF17" s="299"/>
      <c r="AG17" s="299"/>
      <c r="AH17" s="299"/>
      <c r="AI17" s="299"/>
      <c r="AJ17" s="299"/>
      <c r="AK17" s="222"/>
      <c r="AL17" s="224"/>
      <c r="AM17" s="224"/>
      <c r="AN17" s="224"/>
    </row>
    <row r="18" spans="1:40" s="223" customFormat="1">
      <c r="A18" s="258" t="s">
        <v>681</v>
      </c>
      <c r="B18" s="228" t="s">
        <v>1192</v>
      </c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30"/>
      <c r="S18" s="1512"/>
      <c r="T18" s="1512"/>
      <c r="U18" s="1512"/>
      <c r="V18" s="1512"/>
      <c r="W18" s="1512"/>
      <c r="X18" s="1512"/>
      <c r="Y18" s="295"/>
      <c r="Z18" s="295"/>
      <c r="AA18" s="295"/>
      <c r="AB18" s="295"/>
      <c r="AC18" s="295"/>
      <c r="AD18" s="296"/>
      <c r="AE18" s="299"/>
      <c r="AF18" s="299"/>
      <c r="AG18" s="299"/>
      <c r="AH18" s="299"/>
      <c r="AI18" s="299"/>
      <c r="AJ18" s="299"/>
      <c r="AK18" s="222"/>
      <c r="AL18" s="224"/>
      <c r="AM18" s="224"/>
      <c r="AN18" s="224"/>
    </row>
    <row r="19" spans="1:40" s="223" customFormat="1">
      <c r="A19" s="258" t="s">
        <v>2312</v>
      </c>
      <c r="B19" s="229" t="s">
        <v>2308</v>
      </c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30"/>
      <c r="S19" s="1512"/>
      <c r="T19" s="1512"/>
      <c r="U19" s="1512"/>
      <c r="V19" s="1512"/>
      <c r="W19" s="1512"/>
      <c r="X19" s="1512"/>
      <c r="Y19" s="295"/>
      <c r="Z19" s="295"/>
      <c r="AA19" s="295"/>
      <c r="AB19" s="295"/>
      <c r="AC19" s="295"/>
      <c r="AD19" s="295"/>
      <c r="AE19" s="299"/>
      <c r="AF19" s="299"/>
      <c r="AG19" s="299"/>
      <c r="AH19" s="299"/>
      <c r="AI19" s="299"/>
      <c r="AJ19" s="299"/>
      <c r="AK19" s="222"/>
      <c r="AL19" s="224"/>
      <c r="AM19" s="224"/>
      <c r="AN19" s="224"/>
    </row>
    <row r="20" spans="1:40" s="232" customFormat="1" ht="18.75">
      <c r="A20" s="248" t="s">
        <v>2313</v>
      </c>
      <c r="B20" s="252" t="s">
        <v>2580</v>
      </c>
      <c r="C20" s="253"/>
      <c r="D20" s="253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1541">
        <f>SUM(S10:X18)</f>
        <v>0</v>
      </c>
      <c r="T20" s="1541"/>
      <c r="U20" s="1541"/>
      <c r="V20" s="1541"/>
      <c r="W20" s="1541"/>
      <c r="X20" s="1541"/>
      <c r="Y20" s="300"/>
      <c r="Z20" s="300"/>
      <c r="AA20" s="300"/>
      <c r="AB20" s="300"/>
      <c r="AC20" s="300"/>
      <c r="AD20" s="300"/>
      <c r="AE20" s="301"/>
      <c r="AF20" s="301"/>
      <c r="AG20" s="301"/>
      <c r="AH20" s="301"/>
      <c r="AI20" s="301"/>
      <c r="AJ20" s="301"/>
      <c r="AK20" s="231"/>
      <c r="AL20" s="246"/>
      <c r="AM20" s="246"/>
      <c r="AN20" s="246"/>
    </row>
    <row r="21" spans="1:40" s="223" customFormat="1" ht="19.5" customHeight="1">
      <c r="A21" s="219"/>
      <c r="B21" s="220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97"/>
      <c r="T21" s="297"/>
      <c r="U21" s="297"/>
      <c r="V21" s="297"/>
      <c r="W21" s="297"/>
      <c r="X21" s="297"/>
      <c r="Y21" s="295"/>
      <c r="Z21" s="295"/>
      <c r="AA21" s="295"/>
      <c r="AB21" s="295"/>
      <c r="AC21" s="295"/>
      <c r="AD21" s="295"/>
      <c r="AE21" s="299"/>
      <c r="AF21" s="299"/>
      <c r="AG21" s="299"/>
      <c r="AH21" s="299"/>
      <c r="AI21" s="299"/>
      <c r="AJ21" s="299"/>
      <c r="AK21" s="222"/>
      <c r="AL21" s="224"/>
      <c r="AM21" s="224"/>
      <c r="AN21" s="224"/>
    </row>
    <row r="22" spans="1:40" s="223" customFormat="1" ht="15.75">
      <c r="A22" s="257" t="s">
        <v>673</v>
      </c>
      <c r="B22" s="228" t="s">
        <v>2165</v>
      </c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1512">
        <v>0</v>
      </c>
      <c r="T22" s="1512"/>
      <c r="U22" s="1512"/>
      <c r="V22" s="1512"/>
      <c r="W22" s="1512"/>
      <c r="X22" s="1512"/>
      <c r="Y22" s="295"/>
      <c r="Z22" s="298"/>
      <c r="AA22" s="295"/>
      <c r="AB22" s="295"/>
      <c r="AC22" s="295"/>
      <c r="AD22" s="295"/>
      <c r="AE22" s="299"/>
      <c r="AF22" s="299"/>
      <c r="AG22" s="299"/>
      <c r="AH22" s="299"/>
      <c r="AI22" s="299"/>
      <c r="AJ22" s="299"/>
      <c r="AK22" s="222"/>
      <c r="AL22" s="224"/>
      <c r="AM22" s="224"/>
      <c r="AN22" s="224"/>
    </row>
    <row r="23" spans="1:40" s="223" customFormat="1" ht="15.75">
      <c r="A23" s="257" t="s">
        <v>674</v>
      </c>
      <c r="B23" s="228" t="s">
        <v>2166</v>
      </c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1512"/>
      <c r="T23" s="1512"/>
      <c r="U23" s="1512"/>
      <c r="V23" s="1512"/>
      <c r="W23" s="1512"/>
      <c r="X23" s="1512"/>
      <c r="Y23" s="295"/>
      <c r="Z23" s="295"/>
      <c r="AA23" s="295"/>
      <c r="AB23" s="295"/>
      <c r="AC23" s="295"/>
      <c r="AD23" s="295"/>
      <c r="AE23" s="299"/>
      <c r="AF23" s="299"/>
      <c r="AG23" s="299"/>
      <c r="AH23" s="299"/>
      <c r="AI23" s="299"/>
      <c r="AJ23" s="299"/>
      <c r="AK23" s="222"/>
      <c r="AL23" s="224"/>
      <c r="AM23" s="224"/>
      <c r="AN23" s="224"/>
    </row>
    <row r="24" spans="1:40" s="223" customFormat="1" ht="15.75">
      <c r="A24" s="257" t="s">
        <v>675</v>
      </c>
      <c r="B24" s="228" t="s">
        <v>2167</v>
      </c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1512"/>
      <c r="T24" s="1512"/>
      <c r="U24" s="1512"/>
      <c r="V24" s="1512"/>
      <c r="W24" s="1512"/>
      <c r="X24" s="1512"/>
      <c r="Y24" s="295"/>
      <c r="Z24" s="295"/>
      <c r="AA24" s="295"/>
      <c r="AB24" s="295"/>
      <c r="AC24" s="295"/>
      <c r="AD24" s="295"/>
      <c r="AE24" s="299"/>
      <c r="AF24" s="299"/>
      <c r="AG24" s="299"/>
      <c r="AH24" s="299"/>
      <c r="AI24" s="299"/>
      <c r="AJ24" s="299"/>
      <c r="AK24" s="222"/>
      <c r="AL24" s="224"/>
      <c r="AM24" s="224"/>
      <c r="AN24" s="224"/>
    </row>
    <row r="25" spans="1:40" s="232" customFormat="1" ht="18.75">
      <c r="A25" s="248" t="s">
        <v>672</v>
      </c>
      <c r="B25" s="254" t="s">
        <v>2310</v>
      </c>
      <c r="C25" s="253"/>
      <c r="D25" s="253"/>
      <c r="E25" s="253"/>
      <c r="F25" s="253"/>
      <c r="G25" s="253"/>
      <c r="H25" s="253"/>
      <c r="I25" s="253" t="s">
        <v>2311</v>
      </c>
      <c r="J25" s="253"/>
      <c r="K25" s="253"/>
      <c r="L25" s="253"/>
      <c r="M25" s="253"/>
      <c r="N25" s="253"/>
      <c r="O25" s="253"/>
      <c r="P25" s="253"/>
      <c r="Q25" s="253"/>
      <c r="R25" s="253"/>
      <c r="S25" s="1541">
        <f>SUM(S22:S24)</f>
        <v>0</v>
      </c>
      <c r="T25" s="1541"/>
      <c r="U25" s="1541"/>
      <c r="V25" s="1541"/>
      <c r="W25" s="1541"/>
      <c r="X25" s="1541"/>
      <c r="Y25" s="300"/>
      <c r="Z25" s="300"/>
      <c r="AA25" s="300"/>
      <c r="AB25" s="300"/>
      <c r="AC25" s="300"/>
      <c r="AD25" s="300"/>
      <c r="AE25" s="301"/>
      <c r="AF25" s="301"/>
      <c r="AG25" s="301"/>
      <c r="AH25" s="301"/>
      <c r="AI25" s="301"/>
      <c r="AJ25" s="301"/>
      <c r="AK25" s="231"/>
      <c r="AL25" s="246"/>
      <c r="AM25" s="246"/>
      <c r="AN25" s="246"/>
    </row>
    <row r="26" spans="1:40" s="251" customFormat="1" ht="18.75">
      <c r="A26" s="248" t="s">
        <v>2314</v>
      </c>
      <c r="B26" s="270" t="s">
        <v>2206</v>
      </c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2"/>
      <c r="S26" s="1543">
        <f>IF('INV01-A'!Z27-'INV01-A'!Z52&lt;&gt;0,"GRESKA",'INV01-A'!Z27-'INV01-A'!Z52)</f>
        <v>0</v>
      </c>
      <c r="T26" s="1543"/>
      <c r="U26" s="1543"/>
      <c r="V26" s="1543"/>
      <c r="W26" s="1543"/>
      <c r="X26" s="1543"/>
      <c r="Y26" s="302"/>
      <c r="Z26" s="303"/>
      <c r="AA26" s="303"/>
      <c r="AB26" s="303"/>
      <c r="AC26" s="303"/>
      <c r="AD26" s="303"/>
      <c r="AE26" s="304"/>
      <c r="AF26" s="304"/>
      <c r="AG26" s="304"/>
      <c r="AH26" s="304"/>
      <c r="AI26" s="304"/>
      <c r="AJ26" s="304"/>
      <c r="AK26" s="249"/>
      <c r="AL26" s="250"/>
      <c r="AM26" s="250"/>
      <c r="AN26" s="250"/>
    </row>
    <row r="27" spans="1:40" s="251" customFormat="1" ht="20.25">
      <c r="A27" s="248"/>
      <c r="B27" s="1133" t="s">
        <v>2945</v>
      </c>
      <c r="C27" s="1134"/>
      <c r="D27" s="1134"/>
      <c r="E27" s="1134"/>
      <c r="F27" s="1134"/>
      <c r="G27" s="1134"/>
      <c r="H27" s="1134"/>
      <c r="I27" s="1134"/>
      <c r="J27" s="1134"/>
      <c r="K27" s="1134"/>
      <c r="L27" s="1134"/>
      <c r="M27" s="1134"/>
      <c r="N27" s="1134"/>
      <c r="O27" s="1134"/>
      <c r="P27" s="1134"/>
      <c r="Q27" s="1134"/>
      <c r="R27" s="1134"/>
      <c r="S27" s="1135"/>
      <c r="T27" s="1135"/>
      <c r="U27" s="1135"/>
      <c r="V27" s="1135"/>
      <c r="W27" s="1135"/>
      <c r="X27" s="1135"/>
      <c r="Y27" s="1519">
        <v>0</v>
      </c>
      <c r="Z27" s="1520"/>
      <c r="AA27" s="1520"/>
      <c r="AB27" s="1520"/>
      <c r="AC27" s="1520"/>
      <c r="AD27" s="1521"/>
      <c r="AE27" s="304"/>
      <c r="AF27" s="304"/>
      <c r="AG27" s="304"/>
      <c r="AH27" s="304"/>
      <c r="AI27" s="304"/>
      <c r="AJ27" s="304"/>
      <c r="AK27" s="249"/>
      <c r="AL27" s="250"/>
      <c r="AM27" s="250"/>
      <c r="AN27" s="250"/>
    </row>
    <row r="28" spans="1:40" s="223" customFormat="1" ht="20.25">
      <c r="A28" s="219"/>
      <c r="B28" s="1133" t="s">
        <v>2168</v>
      </c>
      <c r="C28" s="1134"/>
      <c r="D28" s="1134"/>
      <c r="E28" s="1134"/>
      <c r="F28" s="1134"/>
      <c r="G28" s="1134"/>
      <c r="H28" s="1134"/>
      <c r="I28" s="1134"/>
      <c r="J28" s="1134"/>
      <c r="K28" s="1134"/>
      <c r="L28" s="1134"/>
      <c r="M28" s="1134"/>
      <c r="N28" s="1134"/>
      <c r="O28" s="1134"/>
      <c r="P28" s="1134"/>
      <c r="Q28" s="1134"/>
      <c r="R28" s="1134"/>
      <c r="S28" s="1135"/>
      <c r="T28" s="1135"/>
      <c r="U28" s="1135"/>
      <c r="V28" s="1135"/>
      <c r="W28" s="1135"/>
      <c r="X28" s="1135"/>
      <c r="Y28" s="1519">
        <v>0</v>
      </c>
      <c r="Z28" s="1520"/>
      <c r="AA28" s="1520"/>
      <c r="AB28" s="1520"/>
      <c r="AC28" s="1520"/>
      <c r="AD28" s="1521"/>
      <c r="AE28" s="299"/>
      <c r="AF28" s="299"/>
      <c r="AG28" s="299"/>
      <c r="AH28" s="299"/>
      <c r="AI28" s="299"/>
      <c r="AJ28" s="299"/>
      <c r="AK28" s="222"/>
      <c r="AL28" s="224"/>
      <c r="AM28" s="224"/>
      <c r="AN28" s="224"/>
    </row>
    <row r="29" spans="1:40" s="223" customFormat="1">
      <c r="A29" s="219"/>
      <c r="B29" s="237"/>
      <c r="C29" s="238"/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  <c r="S29" s="1493" t="s">
        <v>2315</v>
      </c>
      <c r="T29" s="1493"/>
      <c r="U29" s="1493"/>
      <c r="V29" s="1493"/>
      <c r="W29" s="1493"/>
      <c r="X29" s="1493"/>
      <c r="Y29" s="1493" t="s">
        <v>2317</v>
      </c>
      <c r="Z29" s="1493"/>
      <c r="AA29" s="1493"/>
      <c r="AB29" s="1493"/>
      <c r="AC29" s="1493"/>
      <c r="AD29" s="1493"/>
      <c r="AE29" s="1493" t="s">
        <v>1478</v>
      </c>
      <c r="AF29" s="1493"/>
      <c r="AG29" s="1493"/>
      <c r="AH29" s="1493"/>
      <c r="AI29" s="1493"/>
      <c r="AJ29" s="1493"/>
      <c r="AK29" s="224"/>
      <c r="AL29" s="224"/>
      <c r="AM29" s="224"/>
      <c r="AN29" s="224"/>
    </row>
    <row r="30" spans="1:40" s="223" customFormat="1" ht="18.75">
      <c r="A30" s="255" t="s">
        <v>1047</v>
      </c>
      <c r="B30" s="240" t="s">
        <v>347</v>
      </c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2"/>
      <c r="S30" s="1493" t="s">
        <v>2316</v>
      </c>
      <c r="T30" s="1493"/>
      <c r="U30" s="1493"/>
      <c r="V30" s="1493"/>
      <c r="W30" s="1493"/>
      <c r="X30" s="1493"/>
      <c r="Y30" s="1493" t="s">
        <v>2316</v>
      </c>
      <c r="Z30" s="1493"/>
      <c r="AA30" s="1493"/>
      <c r="AB30" s="1493"/>
      <c r="AC30" s="1493"/>
      <c r="AD30" s="1493"/>
      <c r="AE30" s="1493" t="s">
        <v>1479</v>
      </c>
      <c r="AF30" s="1493"/>
      <c r="AG30" s="1493"/>
      <c r="AH30" s="1493"/>
      <c r="AI30" s="1493"/>
      <c r="AJ30" s="1493"/>
      <c r="AK30" s="224"/>
      <c r="AL30" s="224"/>
      <c r="AM30" s="224"/>
      <c r="AN30" s="224"/>
    </row>
    <row r="31" spans="1:40" s="223" customFormat="1">
      <c r="A31" s="219"/>
      <c r="B31" s="1527" t="s">
        <v>1480</v>
      </c>
      <c r="C31" s="1527"/>
      <c r="D31" s="1527"/>
      <c r="E31" s="1527"/>
      <c r="F31" s="1527"/>
      <c r="G31" s="1527"/>
      <c r="H31" s="1527"/>
      <c r="I31" s="1527"/>
      <c r="J31" s="1527"/>
      <c r="K31" s="1527"/>
      <c r="L31" s="1527"/>
      <c r="M31" s="1527"/>
      <c r="N31" s="1527"/>
      <c r="O31" s="1527"/>
      <c r="P31" s="1527"/>
      <c r="Q31" s="1527"/>
      <c r="R31" s="1527"/>
      <c r="S31" s="1512">
        <v>0</v>
      </c>
      <c r="T31" s="1512"/>
      <c r="U31" s="1512"/>
      <c r="V31" s="1512"/>
      <c r="W31" s="1512"/>
      <c r="X31" s="1512"/>
      <c r="Y31" s="1512"/>
      <c r="Z31" s="1512"/>
      <c r="AA31" s="1512"/>
      <c r="AB31" s="1512"/>
      <c r="AC31" s="1512"/>
      <c r="AD31" s="1512"/>
      <c r="AE31" s="1512"/>
      <c r="AF31" s="1512"/>
      <c r="AG31" s="1512"/>
      <c r="AH31" s="1512"/>
      <c r="AI31" s="1512"/>
      <c r="AJ31" s="1512"/>
      <c r="AK31" s="224"/>
      <c r="AL31" s="224"/>
      <c r="AM31" s="224"/>
      <c r="AN31" s="224"/>
    </row>
    <row r="32" spans="1:40" s="223" customFormat="1">
      <c r="A32" s="219"/>
      <c r="B32" s="1540" t="s">
        <v>1481</v>
      </c>
      <c r="C32" s="1540"/>
      <c r="D32" s="1540"/>
      <c r="E32" s="1540"/>
      <c r="F32" s="1540"/>
      <c r="G32" s="1540"/>
      <c r="H32" s="1540"/>
      <c r="I32" s="1540"/>
      <c r="J32" s="1540"/>
      <c r="K32" s="1540"/>
      <c r="L32" s="1540"/>
      <c r="M32" s="1540"/>
      <c r="N32" s="1540"/>
      <c r="O32" s="1540"/>
      <c r="P32" s="1540"/>
      <c r="Q32" s="1540"/>
      <c r="R32" s="1540"/>
      <c r="S32" s="1512"/>
      <c r="T32" s="1512"/>
      <c r="U32" s="1512"/>
      <c r="V32" s="1512"/>
      <c r="W32" s="1512"/>
      <c r="X32" s="1512"/>
      <c r="Y32" s="1512"/>
      <c r="Z32" s="1512"/>
      <c r="AA32" s="1512"/>
      <c r="AB32" s="1512"/>
      <c r="AC32" s="1512"/>
      <c r="AD32" s="1512"/>
      <c r="AE32" s="1512"/>
      <c r="AF32" s="1512"/>
      <c r="AG32" s="1512"/>
      <c r="AH32" s="1512"/>
      <c r="AI32" s="1512"/>
      <c r="AJ32" s="1512"/>
      <c r="AK32" s="224"/>
      <c r="AL32" s="224"/>
      <c r="AM32" s="224"/>
      <c r="AN32" s="224"/>
    </row>
    <row r="33" spans="1:40" s="223" customFormat="1">
      <c r="A33" s="219"/>
      <c r="B33" s="1527" t="s">
        <v>1482</v>
      </c>
      <c r="C33" s="1527"/>
      <c r="D33" s="1527"/>
      <c r="E33" s="1527"/>
      <c r="F33" s="1527"/>
      <c r="G33" s="1527"/>
      <c r="H33" s="1527"/>
      <c r="I33" s="1527"/>
      <c r="J33" s="1527"/>
      <c r="K33" s="1527"/>
      <c r="L33" s="1527"/>
      <c r="M33" s="1527"/>
      <c r="N33" s="1527"/>
      <c r="O33" s="1527"/>
      <c r="P33" s="1527"/>
      <c r="Q33" s="1527"/>
      <c r="R33" s="1527"/>
      <c r="S33" s="1512"/>
      <c r="T33" s="1512"/>
      <c r="U33" s="1512"/>
      <c r="V33" s="1512"/>
      <c r="W33" s="1512"/>
      <c r="X33" s="1512"/>
      <c r="Y33" s="1512"/>
      <c r="Z33" s="1512"/>
      <c r="AA33" s="1512"/>
      <c r="AB33" s="1512"/>
      <c r="AC33" s="1512"/>
      <c r="AD33" s="1512"/>
      <c r="AE33" s="1512"/>
      <c r="AF33" s="1512"/>
      <c r="AG33" s="1512"/>
      <c r="AH33" s="1512"/>
      <c r="AI33" s="1512"/>
      <c r="AJ33" s="1512"/>
      <c r="AK33" s="224"/>
      <c r="AL33" s="224"/>
      <c r="AM33" s="224"/>
      <c r="AN33" s="224"/>
    </row>
    <row r="34" spans="1:40" s="223" customFormat="1">
      <c r="A34" s="219"/>
      <c r="B34" s="1527" t="s">
        <v>1483</v>
      </c>
      <c r="C34" s="1527"/>
      <c r="D34" s="1527"/>
      <c r="E34" s="1527"/>
      <c r="F34" s="1527"/>
      <c r="G34" s="1527"/>
      <c r="H34" s="1527"/>
      <c r="I34" s="1527"/>
      <c r="J34" s="1527"/>
      <c r="K34" s="1527"/>
      <c r="L34" s="1527"/>
      <c r="M34" s="1527"/>
      <c r="N34" s="1527"/>
      <c r="O34" s="1527"/>
      <c r="P34" s="1527"/>
      <c r="Q34" s="1527"/>
      <c r="R34" s="1527"/>
      <c r="S34" s="1512"/>
      <c r="T34" s="1512"/>
      <c r="U34" s="1512"/>
      <c r="V34" s="1512"/>
      <c r="W34" s="1512"/>
      <c r="X34" s="1512"/>
      <c r="Y34" s="1510" t="s">
        <v>2079</v>
      </c>
      <c r="Z34" s="1510"/>
      <c r="AA34" s="1510"/>
      <c r="AB34" s="1510"/>
      <c r="AC34" s="1510"/>
      <c r="AD34" s="1510"/>
      <c r="AE34" s="1510" t="s">
        <v>2079</v>
      </c>
      <c r="AF34" s="1510"/>
      <c r="AG34" s="1510"/>
      <c r="AH34" s="1510"/>
      <c r="AI34" s="1510"/>
      <c r="AJ34" s="1510"/>
      <c r="AK34" s="224"/>
      <c r="AL34" s="224"/>
      <c r="AM34" s="224"/>
      <c r="AN34" s="224"/>
    </row>
    <row r="35" spans="1:40" s="223" customFormat="1" ht="18.75">
      <c r="A35" s="255" t="s">
        <v>1556</v>
      </c>
      <c r="B35" s="243" t="s">
        <v>1484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1542" t="str">
        <f>S29</f>
        <v>NOVO NABAVLJ.</v>
      </c>
      <c r="T35" s="1542"/>
      <c r="U35" s="1542"/>
      <c r="V35" s="1542"/>
      <c r="W35" s="1542"/>
      <c r="X35" s="1542"/>
      <c r="Y35" s="1539" t="str">
        <f>Y29</f>
        <v>POLOVNA NABAVLJ.</v>
      </c>
      <c r="Z35" s="1539"/>
      <c r="AA35" s="1539"/>
      <c r="AB35" s="1539"/>
      <c r="AC35" s="1539"/>
      <c r="AD35" s="1539"/>
      <c r="AE35" s="1539" t="str">
        <f>AE29</f>
        <v>DEZINVESTIRANJE</v>
      </c>
      <c r="AF35" s="1539"/>
      <c r="AG35" s="1539"/>
      <c r="AH35" s="1539"/>
      <c r="AI35" s="1539"/>
      <c r="AJ35" s="1539"/>
      <c r="AK35" s="224"/>
      <c r="AL35" s="224"/>
      <c r="AM35" s="224"/>
      <c r="AN35" s="224"/>
    </row>
    <row r="36" spans="1:40" s="223" customFormat="1" ht="45.75" customHeight="1">
      <c r="A36" s="219"/>
      <c r="B36" s="1513" t="str">
        <f>'INV01-B'!C15</f>
        <v>Metalni proizvodi i naprave (metalne kponstrukcije, tornjevi, cisterne, kontejneri, kotlovi i oprema za centralno grijanje, rezervoari, željezni i čelični kotlovi itd.)</v>
      </c>
      <c r="C36" s="1514"/>
      <c r="D36" s="1514"/>
      <c r="E36" s="1514"/>
      <c r="F36" s="1514"/>
      <c r="G36" s="1514"/>
      <c r="H36" s="1514"/>
      <c r="I36" s="1514"/>
      <c r="J36" s="1514"/>
      <c r="K36" s="1514"/>
      <c r="L36" s="1514"/>
      <c r="M36" s="1514"/>
      <c r="N36" s="1514"/>
      <c r="O36" s="1514"/>
      <c r="P36" s="1514"/>
      <c r="Q36" s="1514"/>
      <c r="R36" s="1515"/>
      <c r="S36" s="1512"/>
      <c r="T36" s="1512"/>
      <c r="U36" s="1512"/>
      <c r="V36" s="1512"/>
      <c r="W36" s="1512"/>
      <c r="X36" s="1512"/>
      <c r="Y36" s="1512"/>
      <c r="Z36" s="1512"/>
      <c r="AA36" s="1512"/>
      <c r="AB36" s="1512"/>
      <c r="AC36" s="1512"/>
      <c r="AD36" s="1512"/>
      <c r="AE36" s="1512"/>
      <c r="AF36" s="1512"/>
      <c r="AG36" s="1512"/>
      <c r="AH36" s="1512"/>
      <c r="AI36" s="1512"/>
      <c r="AJ36" s="1512"/>
      <c r="AK36" s="224"/>
      <c r="AL36" s="224"/>
      <c r="AM36" s="224"/>
      <c r="AN36" s="224"/>
    </row>
    <row r="37" spans="1:40" s="223" customFormat="1" ht="45.75" customHeight="1">
      <c r="A37" s="219"/>
      <c r="B37" s="1513" t="str">
        <f>'INV01-B'!C16</f>
        <v>Strojevi za proizvodnju i iskorištavanje mehaničke energije (motori,turbine,pumpe kompresori), strojne naprave (podi- zajuće, transportne, rashladne, za provjetravanje),vage i sl.</v>
      </c>
      <c r="C37" s="1514"/>
      <c r="D37" s="1514"/>
      <c r="E37" s="1514"/>
      <c r="F37" s="1514"/>
      <c r="G37" s="1514"/>
      <c r="H37" s="1514"/>
      <c r="I37" s="1514"/>
      <c r="J37" s="1514"/>
      <c r="K37" s="1514"/>
      <c r="L37" s="1514"/>
      <c r="M37" s="1514"/>
      <c r="N37" s="1514"/>
      <c r="O37" s="1514"/>
      <c r="P37" s="1514"/>
      <c r="Q37" s="1514"/>
      <c r="R37" s="1515"/>
      <c r="S37" s="1512"/>
      <c r="T37" s="1512"/>
      <c r="U37" s="1512"/>
      <c r="V37" s="1512"/>
      <c r="W37" s="1512"/>
      <c r="X37" s="1512"/>
      <c r="Y37" s="1512"/>
      <c r="Z37" s="1512"/>
      <c r="AA37" s="1512"/>
      <c r="AB37" s="1512"/>
      <c r="AC37" s="1512"/>
      <c r="AD37" s="1512"/>
      <c r="AE37" s="1512"/>
      <c r="AF37" s="1512"/>
      <c r="AG37" s="1512"/>
      <c r="AH37" s="1512"/>
      <c r="AI37" s="1512"/>
      <c r="AJ37" s="1512"/>
      <c r="AK37" s="224"/>
      <c r="AL37" s="224"/>
      <c r="AM37" s="224"/>
      <c r="AN37" s="224"/>
    </row>
    <row r="38" spans="1:40" s="223" customFormat="1" ht="53.25" customHeight="1">
      <c r="A38" s="219"/>
      <c r="B38" s="1513" t="str">
        <f>'INV01-B'!C17</f>
        <v>Drugi strojevi i naprave za posebne namjene (metaluruški, rudarski i građevinski strojevi, prehrambeni, tekstilni i sl.); strojevi za obradu (strugovi, bušilice, glodalice; strojevi za obradu metala, kamena i drveta i sl.)</v>
      </c>
      <c r="C38" s="1514"/>
      <c r="D38" s="1514"/>
      <c r="E38" s="1514"/>
      <c r="F38" s="1514"/>
      <c r="G38" s="1514"/>
      <c r="H38" s="1514"/>
      <c r="I38" s="1514"/>
      <c r="J38" s="1514"/>
      <c r="K38" s="1514"/>
      <c r="L38" s="1514"/>
      <c r="M38" s="1514"/>
      <c r="N38" s="1514"/>
      <c r="O38" s="1514"/>
      <c r="P38" s="1514"/>
      <c r="Q38" s="1514"/>
      <c r="R38" s="1515"/>
      <c r="S38" s="1512"/>
      <c r="T38" s="1512"/>
      <c r="U38" s="1512"/>
      <c r="V38" s="1512"/>
      <c r="W38" s="1512"/>
      <c r="X38" s="1512"/>
      <c r="Y38" s="1512"/>
      <c r="Z38" s="1512"/>
      <c r="AA38" s="1512"/>
      <c r="AB38" s="1512"/>
      <c r="AC38" s="1512"/>
      <c r="AD38" s="1512"/>
      <c r="AE38" s="1512"/>
      <c r="AF38" s="1512"/>
      <c r="AG38" s="1512"/>
      <c r="AH38" s="1512"/>
      <c r="AI38" s="1512"/>
      <c r="AJ38" s="1512"/>
      <c r="AK38" s="224"/>
      <c r="AL38" s="224"/>
      <c r="AM38" s="224"/>
      <c r="AN38" s="224"/>
    </row>
    <row r="39" spans="1:40" s="223" customFormat="1" ht="33.75" customHeight="1">
      <c r="A39" s="219"/>
      <c r="B39" s="1513" t="str">
        <f>'INV01-B'!C18</f>
        <v>Poljoprivredni i šumarski strojevi (traktori i drugi poljoprivredni i šumarski strojevi)</v>
      </c>
      <c r="C39" s="1514"/>
      <c r="D39" s="1514"/>
      <c r="E39" s="1514"/>
      <c r="F39" s="1514"/>
      <c r="G39" s="1514"/>
      <c r="H39" s="1514"/>
      <c r="I39" s="1514"/>
      <c r="J39" s="1514"/>
      <c r="K39" s="1514"/>
      <c r="L39" s="1514"/>
      <c r="M39" s="1514"/>
      <c r="N39" s="1514"/>
      <c r="O39" s="1514"/>
      <c r="P39" s="1514"/>
      <c r="Q39" s="1514"/>
      <c r="R39" s="1515"/>
      <c r="S39" s="1512"/>
      <c r="T39" s="1512"/>
      <c r="U39" s="1512"/>
      <c r="V39" s="1512"/>
      <c r="W39" s="1512"/>
      <c r="X39" s="1512"/>
      <c r="Y39" s="1512"/>
      <c r="Z39" s="1512"/>
      <c r="AA39" s="1512"/>
      <c r="AB39" s="1512"/>
      <c r="AC39" s="1512"/>
      <c r="AD39" s="1512"/>
      <c r="AE39" s="1512"/>
      <c r="AF39" s="1512"/>
      <c r="AG39" s="1512"/>
      <c r="AH39" s="1512"/>
      <c r="AI39" s="1512"/>
      <c r="AJ39" s="1512"/>
      <c r="AK39" s="224"/>
      <c r="AL39" s="224"/>
      <c r="AM39" s="224"/>
      <c r="AN39" s="224"/>
    </row>
    <row r="40" spans="1:40" s="223" customFormat="1" ht="52.5" customHeight="1">
      <c r="A40" s="219"/>
      <c r="B40" s="1513" t="str">
        <f>'INV01-B'!C19</f>
        <v>Računari i druga oprema za obradu podataka (personalni i drugi računari, štampači); druge kancelarijske mašine (računarske, pisaće, fotokopirni i slični uređaji); elektronske blagajne, skeneri, bankomati, automati za mjerenje novca</v>
      </c>
      <c r="C40" s="1514"/>
      <c r="D40" s="1514"/>
      <c r="E40" s="1514"/>
      <c r="F40" s="1514"/>
      <c r="G40" s="1514"/>
      <c r="H40" s="1514"/>
      <c r="I40" s="1514"/>
      <c r="J40" s="1514"/>
      <c r="K40" s="1514"/>
      <c r="L40" s="1514"/>
      <c r="M40" s="1514"/>
      <c r="N40" s="1514"/>
      <c r="O40" s="1514"/>
      <c r="P40" s="1514"/>
      <c r="Q40" s="1514"/>
      <c r="R40" s="1515"/>
      <c r="S40" s="1512"/>
      <c r="T40" s="1512"/>
      <c r="U40" s="1512"/>
      <c r="V40" s="1512"/>
      <c r="W40" s="1512"/>
      <c r="X40" s="1512"/>
      <c r="Y40" s="1512"/>
      <c r="Z40" s="1512"/>
      <c r="AA40" s="1512"/>
      <c r="AB40" s="1512"/>
      <c r="AC40" s="1512"/>
      <c r="AD40" s="1512"/>
      <c r="AE40" s="1512"/>
      <c r="AF40" s="1512"/>
      <c r="AG40" s="1512"/>
      <c r="AH40" s="1512"/>
      <c r="AI40" s="1512"/>
      <c r="AJ40" s="1512"/>
      <c r="AK40" s="224"/>
      <c r="AL40" s="224"/>
      <c r="AM40" s="224"/>
      <c r="AN40" s="224"/>
    </row>
    <row r="41" spans="1:40" s="223" customFormat="1" ht="46.5" customHeight="1">
      <c r="A41" s="219"/>
      <c r="B41" s="1513" t="str">
        <f>'INV01-B'!C20</f>
        <v>Električni motori, generatori i transformatori, naprave za distribuciju el. energije, cestovna i druga vanjska rasvjeta, kotlovi za dobivanje pare, atomski reaktori i sl.</v>
      </c>
      <c r="C41" s="1514"/>
      <c r="D41" s="1514"/>
      <c r="E41" s="1514"/>
      <c r="F41" s="1514"/>
      <c r="G41" s="1514"/>
      <c r="H41" s="1514"/>
      <c r="I41" s="1514"/>
      <c r="J41" s="1514"/>
      <c r="K41" s="1514"/>
      <c r="L41" s="1514"/>
      <c r="M41" s="1514"/>
      <c r="N41" s="1514"/>
      <c r="O41" s="1514"/>
      <c r="P41" s="1514"/>
      <c r="Q41" s="1514"/>
      <c r="R41" s="1515"/>
      <c r="S41" s="1517"/>
      <c r="T41" s="1517"/>
      <c r="U41" s="1517"/>
      <c r="V41" s="1517"/>
      <c r="W41" s="1517"/>
      <c r="X41" s="1517"/>
      <c r="Y41" s="1544"/>
      <c r="Z41" s="1544"/>
      <c r="AA41" s="1544"/>
      <c r="AB41" s="1544"/>
      <c r="AC41" s="1544"/>
      <c r="AD41" s="1544"/>
      <c r="AE41" s="1544"/>
      <c r="AF41" s="1544"/>
      <c r="AG41" s="1544"/>
      <c r="AH41" s="1544"/>
      <c r="AI41" s="1544"/>
      <c r="AJ41" s="1544"/>
      <c r="AK41" s="224"/>
      <c r="AL41" s="224"/>
      <c r="AM41" s="224"/>
      <c r="AN41" s="224"/>
    </row>
    <row r="42" spans="1:40" s="223" customFormat="1" ht="41.25" customHeight="1">
      <c r="A42" s="219"/>
      <c r="B42" s="1513" t="str">
        <f>'INV01-B'!C21</f>
        <v>Radijski, televiziski i komunikacijski uređaji i oprema (TV i radio prijemnici i odašiljači, telefonski aparati i centrale, faks mašine itd.)</v>
      </c>
      <c r="C42" s="1514"/>
      <c r="D42" s="1514"/>
      <c r="E42" s="1514"/>
      <c r="F42" s="1514"/>
      <c r="G42" s="1514"/>
      <c r="H42" s="1514"/>
      <c r="I42" s="1514"/>
      <c r="J42" s="1514"/>
      <c r="K42" s="1514"/>
      <c r="L42" s="1514"/>
      <c r="M42" s="1514"/>
      <c r="N42" s="1514"/>
      <c r="O42" s="1514"/>
      <c r="P42" s="1514"/>
      <c r="Q42" s="1514"/>
      <c r="R42" s="1515"/>
      <c r="S42" s="1512"/>
      <c r="T42" s="1512"/>
      <c r="U42" s="1512"/>
      <c r="V42" s="1512"/>
      <c r="W42" s="1512"/>
      <c r="X42" s="1512"/>
      <c r="Y42" s="1512"/>
      <c r="Z42" s="1512"/>
      <c r="AA42" s="1512"/>
      <c r="AB42" s="1512"/>
      <c r="AC42" s="1512"/>
      <c r="AD42" s="1512"/>
      <c r="AE42" s="1512"/>
      <c r="AF42" s="1512"/>
      <c r="AG42" s="1512"/>
      <c r="AH42" s="1512"/>
      <c r="AI42" s="1512"/>
      <c r="AJ42" s="1512"/>
      <c r="AK42" s="224"/>
      <c r="AL42" s="224"/>
      <c r="AM42" s="224"/>
      <c r="AN42" s="224"/>
    </row>
    <row r="43" spans="1:40" s="223" customFormat="1" ht="53.25" customHeight="1">
      <c r="A43" s="219"/>
      <c r="B43" s="1513" t="str">
        <f>'INV01-B'!C22</f>
        <v>Medicinska opema, fini mehanički i optički instrumenti (osciloskopi, voltmetri, laboratorijske centrifuge, elektrografi, mikroskopi), precizne vage, fotografski aparati itd.</v>
      </c>
      <c r="C43" s="1514"/>
      <c r="D43" s="1514"/>
      <c r="E43" s="1514"/>
      <c r="F43" s="1514"/>
      <c r="G43" s="1514"/>
      <c r="H43" s="1514"/>
      <c r="I43" s="1514"/>
      <c r="J43" s="1514"/>
      <c r="K43" s="1514"/>
      <c r="L43" s="1514"/>
      <c r="M43" s="1514"/>
      <c r="N43" s="1514"/>
      <c r="O43" s="1514"/>
      <c r="P43" s="1514"/>
      <c r="Q43" s="1514"/>
      <c r="R43" s="1515"/>
      <c r="S43" s="1512"/>
      <c r="T43" s="1512"/>
      <c r="U43" s="1512"/>
      <c r="V43" s="1512"/>
      <c r="W43" s="1512"/>
      <c r="X43" s="1512"/>
      <c r="Y43" s="1512"/>
      <c r="Z43" s="1512"/>
      <c r="AA43" s="1512"/>
      <c r="AB43" s="1512"/>
      <c r="AC43" s="1512"/>
      <c r="AD43" s="1512"/>
      <c r="AE43" s="1512"/>
      <c r="AF43" s="1512"/>
      <c r="AG43" s="1512"/>
      <c r="AH43" s="1512"/>
      <c r="AI43" s="1512"/>
      <c r="AJ43" s="1512"/>
      <c r="AK43" s="224"/>
      <c r="AL43" s="224"/>
      <c r="AM43" s="224"/>
      <c r="AN43" s="224"/>
    </row>
    <row r="44" spans="1:40" s="223" customFormat="1" ht="32.25" customHeight="1">
      <c r="A44" s="219"/>
      <c r="B44" s="1511" t="str">
        <f>'INV01-B'!C23</f>
        <v>Namještaj i unutrašnja oprema (metalni i drugi namještaj i sl.); nabavka knjiga za biblioteke</v>
      </c>
      <c r="C44" s="1511"/>
      <c r="D44" s="1511"/>
      <c r="E44" s="1511"/>
      <c r="F44" s="1511"/>
      <c r="G44" s="1511"/>
      <c r="H44" s="1511"/>
      <c r="I44" s="1511"/>
      <c r="J44" s="1511"/>
      <c r="K44" s="1511"/>
      <c r="L44" s="1511"/>
      <c r="M44" s="1511"/>
      <c r="N44" s="1511"/>
      <c r="O44" s="1511"/>
      <c r="P44" s="1511"/>
      <c r="Q44" s="1511"/>
      <c r="R44" s="1511"/>
      <c r="S44" s="1512">
        <v>0</v>
      </c>
      <c r="T44" s="1512"/>
      <c r="U44" s="1512"/>
      <c r="V44" s="1512"/>
      <c r="W44" s="1512"/>
      <c r="X44" s="1512"/>
      <c r="Y44" s="1512"/>
      <c r="Z44" s="1512"/>
      <c r="AA44" s="1512"/>
      <c r="AB44" s="1512"/>
      <c r="AC44" s="1512"/>
      <c r="AD44" s="1512"/>
      <c r="AE44" s="1512"/>
      <c r="AF44" s="1512"/>
      <c r="AG44" s="1512"/>
      <c r="AH44" s="1512"/>
      <c r="AI44" s="1512"/>
      <c r="AJ44" s="1512"/>
      <c r="AK44" s="224"/>
      <c r="AL44" s="224"/>
      <c r="AM44" s="224"/>
      <c r="AN44" s="224"/>
    </row>
    <row r="45" spans="1:40" s="224" customFormat="1">
      <c r="A45" s="220"/>
      <c r="B45" s="1533"/>
      <c r="C45" s="1533"/>
      <c r="D45" s="1533"/>
      <c r="E45" s="1533"/>
      <c r="F45" s="1533"/>
      <c r="G45" s="1533"/>
      <c r="H45" s="1533"/>
      <c r="I45" s="1533"/>
      <c r="J45" s="1533"/>
      <c r="K45" s="1533"/>
      <c r="L45" s="1533"/>
      <c r="M45" s="1533"/>
      <c r="N45" s="1533"/>
      <c r="O45" s="1533"/>
      <c r="P45" s="1533"/>
      <c r="Q45" s="1533"/>
      <c r="R45" s="1533"/>
      <c r="S45" s="1532"/>
      <c r="T45" s="1532"/>
      <c r="U45" s="1532"/>
      <c r="V45" s="1532"/>
      <c r="W45" s="1532"/>
      <c r="X45" s="1532"/>
      <c r="Y45" s="1532"/>
      <c r="Z45" s="1532"/>
      <c r="AA45" s="1532"/>
      <c r="AB45" s="1532"/>
      <c r="AC45" s="1532"/>
      <c r="AD45" s="1532"/>
      <c r="AE45" s="1532"/>
      <c r="AF45" s="1532"/>
      <c r="AG45" s="1532"/>
      <c r="AH45" s="1532"/>
      <c r="AI45" s="1532"/>
      <c r="AJ45" s="1532"/>
    </row>
    <row r="46" spans="1:40" s="223" customFormat="1" ht="18.75">
      <c r="A46" s="255" t="s">
        <v>1190</v>
      </c>
      <c r="B46" s="1534" t="s">
        <v>1485</v>
      </c>
      <c r="C46" s="1534"/>
      <c r="D46" s="1534"/>
      <c r="E46" s="1534"/>
      <c r="F46" s="1534"/>
      <c r="G46" s="1534"/>
      <c r="H46" s="1534"/>
      <c r="I46" s="1534"/>
      <c r="J46" s="1534"/>
      <c r="K46" s="1534"/>
      <c r="L46" s="1534"/>
      <c r="M46" s="1534"/>
      <c r="N46" s="1534"/>
      <c r="O46" s="1534"/>
      <c r="P46" s="1534"/>
      <c r="Q46" s="1534"/>
      <c r="R46" s="1534"/>
      <c r="S46" s="1535" t="str">
        <f>S29</f>
        <v>NOVO NABAVLJ.</v>
      </c>
      <c r="T46" s="1535"/>
      <c r="U46" s="1535"/>
      <c r="V46" s="1535"/>
      <c r="W46" s="1535"/>
      <c r="X46" s="1535"/>
      <c r="Y46" s="1535" t="str">
        <f>Y29</f>
        <v>POLOVNA NABAVLJ.</v>
      </c>
      <c r="Z46" s="1535"/>
      <c r="AA46" s="1535"/>
      <c r="AB46" s="1535"/>
      <c r="AC46" s="1535"/>
      <c r="AD46" s="1535"/>
      <c r="AE46" s="1535" t="str">
        <f>AE29</f>
        <v>DEZINVESTIRANJE</v>
      </c>
      <c r="AF46" s="1535"/>
      <c r="AG46" s="1535"/>
      <c r="AH46" s="1535"/>
      <c r="AI46" s="1535"/>
      <c r="AJ46" s="1535"/>
      <c r="AK46" s="224"/>
      <c r="AL46" s="224"/>
      <c r="AM46" s="224"/>
      <c r="AN46" s="224"/>
    </row>
    <row r="47" spans="1:40" s="223" customFormat="1" ht="32.25" customHeight="1">
      <c r="A47" s="219"/>
      <c r="B47" s="1511" t="str">
        <f>'INV01-B'!C25</f>
        <v>Putnički automobili do 10 osoba (kao i kombinirani nami - jenjeni prevozu putnika i tereta)</v>
      </c>
      <c r="C47" s="1511"/>
      <c r="D47" s="1511"/>
      <c r="E47" s="1511"/>
      <c r="F47" s="1511"/>
      <c r="G47" s="1511"/>
      <c r="H47" s="1511"/>
      <c r="I47" s="1511"/>
      <c r="J47" s="1511"/>
      <c r="K47" s="1511"/>
      <c r="L47" s="1511"/>
      <c r="M47" s="1511"/>
      <c r="N47" s="1511"/>
      <c r="O47" s="1511"/>
      <c r="P47" s="1511"/>
      <c r="Q47" s="1511"/>
      <c r="R47" s="1511"/>
      <c r="S47" s="1512"/>
      <c r="T47" s="1512"/>
      <c r="U47" s="1512"/>
      <c r="V47" s="1512"/>
      <c r="W47" s="1512"/>
      <c r="X47" s="1512"/>
      <c r="Y47" s="1512"/>
      <c r="Z47" s="1512"/>
      <c r="AA47" s="1512"/>
      <c r="AB47" s="1512"/>
      <c r="AC47" s="1512"/>
      <c r="AD47" s="1512"/>
      <c r="AE47" s="1516"/>
      <c r="AF47" s="1517"/>
      <c r="AG47" s="1517"/>
      <c r="AH47" s="1517"/>
      <c r="AI47" s="1517"/>
      <c r="AJ47" s="1518"/>
      <c r="AK47" s="224"/>
      <c r="AL47" s="224"/>
      <c r="AM47" s="224"/>
      <c r="AN47" s="224"/>
    </row>
    <row r="48" spans="1:40" s="223" customFormat="1" ht="15.75" customHeight="1">
      <c r="A48" s="219"/>
      <c r="B48" s="1511" t="str">
        <f>'INV01-B'!C26</f>
        <v>Teretna vozila (takođe cestovni traktori i prikolice)</v>
      </c>
      <c r="C48" s="1511"/>
      <c r="D48" s="1511"/>
      <c r="E48" s="1511"/>
      <c r="F48" s="1511"/>
      <c r="G48" s="1511"/>
      <c r="H48" s="1511"/>
      <c r="I48" s="1511"/>
      <c r="J48" s="1511"/>
      <c r="K48" s="1511"/>
      <c r="L48" s="1511"/>
      <c r="M48" s="1511"/>
      <c r="N48" s="1511"/>
      <c r="O48" s="1511"/>
      <c r="P48" s="1511"/>
      <c r="Q48" s="1511"/>
      <c r="R48" s="1511"/>
      <c r="S48" s="1512"/>
      <c r="T48" s="1512"/>
      <c r="U48" s="1512"/>
      <c r="V48" s="1512"/>
      <c r="W48" s="1512"/>
      <c r="X48" s="1512"/>
      <c r="Y48" s="1512"/>
      <c r="Z48" s="1512"/>
      <c r="AA48" s="1512"/>
      <c r="AB48" s="1512"/>
      <c r="AC48" s="1512"/>
      <c r="AD48" s="1512"/>
      <c r="AE48" s="1516"/>
      <c r="AF48" s="1517"/>
      <c r="AG48" s="1517"/>
      <c r="AH48" s="1517"/>
      <c r="AI48" s="1517"/>
      <c r="AJ48" s="1518"/>
      <c r="AK48" s="224"/>
      <c r="AL48" s="224"/>
      <c r="AM48" s="224"/>
      <c r="AN48" s="224"/>
    </row>
    <row r="49" spans="1:40" s="223" customFormat="1" ht="14.25" customHeight="1">
      <c r="A49" s="219"/>
      <c r="B49" s="1511" t="str">
        <f>'INV01-B'!C27</f>
        <v>Druga vozila i plovila (autobusi,čamci,tračna i zračna vozila)</v>
      </c>
      <c r="C49" s="1511"/>
      <c r="D49" s="1511"/>
      <c r="E49" s="1511"/>
      <c r="F49" s="1511"/>
      <c r="G49" s="1511"/>
      <c r="H49" s="1511"/>
      <c r="I49" s="1511"/>
      <c r="J49" s="1511"/>
      <c r="K49" s="1511"/>
      <c r="L49" s="1511"/>
      <c r="M49" s="1511"/>
      <c r="N49" s="1511"/>
      <c r="O49" s="1511"/>
      <c r="P49" s="1511"/>
      <c r="Q49" s="1511"/>
      <c r="R49" s="1511"/>
      <c r="S49" s="1512"/>
      <c r="T49" s="1512"/>
      <c r="U49" s="1512"/>
      <c r="V49" s="1512"/>
      <c r="W49" s="1512"/>
      <c r="X49" s="1512"/>
      <c r="Y49" s="1512"/>
      <c r="Z49" s="1512"/>
      <c r="AA49" s="1512"/>
      <c r="AB49" s="1512"/>
      <c r="AC49" s="1512"/>
      <c r="AD49" s="1512"/>
      <c r="AE49" s="1516"/>
      <c r="AF49" s="1517"/>
      <c r="AG49" s="1517"/>
      <c r="AH49" s="1517"/>
      <c r="AI49" s="1517"/>
      <c r="AJ49" s="1518"/>
      <c r="AK49" s="224"/>
      <c r="AL49" s="224"/>
      <c r="AM49" s="224"/>
      <c r="AN49" s="224"/>
    </row>
    <row r="50" spans="1:40" s="223" customFormat="1">
      <c r="A50" s="219"/>
      <c r="B50" s="1527"/>
      <c r="C50" s="1527"/>
      <c r="D50" s="1527"/>
      <c r="E50" s="1527"/>
      <c r="F50" s="1527"/>
      <c r="G50" s="1527"/>
      <c r="H50" s="1527"/>
      <c r="I50" s="1527"/>
      <c r="J50" s="1527"/>
      <c r="K50" s="1527"/>
      <c r="L50" s="1527"/>
      <c r="M50" s="1527"/>
      <c r="N50" s="1527"/>
      <c r="O50" s="1527"/>
      <c r="P50" s="1527"/>
      <c r="Q50" s="1527"/>
      <c r="R50" s="1527"/>
      <c r="S50" s="1510"/>
      <c r="T50" s="1510"/>
      <c r="U50" s="1510"/>
      <c r="V50" s="1510"/>
      <c r="W50" s="1510"/>
      <c r="X50" s="1510"/>
      <c r="Y50" s="1510"/>
      <c r="Z50" s="1510"/>
      <c r="AA50" s="1510"/>
      <c r="AB50" s="1510"/>
      <c r="AC50" s="1510"/>
      <c r="AD50" s="1510"/>
      <c r="AE50" s="1536"/>
      <c r="AF50" s="1537"/>
      <c r="AG50" s="1537"/>
      <c r="AH50" s="1537"/>
      <c r="AI50" s="1537"/>
      <c r="AJ50" s="1538"/>
      <c r="AK50" s="224"/>
      <c r="AL50" s="224"/>
      <c r="AM50" s="224"/>
      <c r="AN50" s="224"/>
    </row>
    <row r="51" spans="1:40" s="223" customFormat="1">
      <c r="A51" s="219"/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1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24"/>
      <c r="AL51" s="224"/>
      <c r="AM51" s="224"/>
      <c r="AN51" s="224"/>
    </row>
    <row r="52" spans="1:40" s="223" customFormat="1" ht="18.75">
      <c r="A52" s="255" t="s">
        <v>1486</v>
      </c>
      <c r="B52" s="233" t="s">
        <v>1487</v>
      </c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30"/>
      <c r="S52" s="1504"/>
      <c r="T52" s="1505"/>
      <c r="U52" s="1505"/>
      <c r="V52" s="1505"/>
      <c r="W52" s="1505"/>
      <c r="X52" s="1506"/>
      <c r="Y52" s="1507" t="s">
        <v>2077</v>
      </c>
      <c r="Z52" s="1508"/>
      <c r="AA52" s="1508"/>
      <c r="AB52" s="1508"/>
      <c r="AC52" s="1508"/>
      <c r="AD52" s="1509"/>
      <c r="AE52" s="1507" t="s">
        <v>2078</v>
      </c>
      <c r="AF52" s="1508"/>
      <c r="AG52" s="1508"/>
      <c r="AH52" s="1508"/>
      <c r="AI52" s="1508"/>
      <c r="AJ52" s="1509"/>
      <c r="AK52" s="224"/>
      <c r="AL52" s="224"/>
      <c r="AM52" s="224"/>
      <c r="AN52" s="224"/>
    </row>
    <row r="53" spans="1:40" s="223" customFormat="1">
      <c r="A53" s="219"/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24"/>
      <c r="AL53" s="224"/>
      <c r="AM53" s="224"/>
      <c r="AN53" s="224"/>
    </row>
    <row r="54" spans="1:40" s="223" customFormat="1" ht="19.5" thickBot="1">
      <c r="A54" s="256" t="s">
        <v>2127</v>
      </c>
      <c r="B54" s="245" t="s">
        <v>1488</v>
      </c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1493" t="s">
        <v>2315</v>
      </c>
      <c r="T54" s="1493"/>
      <c r="U54" s="1493"/>
      <c r="V54" s="1493"/>
      <c r="W54" s="1493"/>
      <c r="X54" s="1493"/>
      <c r="Y54" s="1493" t="s">
        <v>2317</v>
      </c>
      <c r="Z54" s="1493"/>
      <c r="AA54" s="1493"/>
      <c r="AB54" s="1493"/>
      <c r="AC54" s="1493"/>
      <c r="AD54" s="1493"/>
      <c r="AE54" s="1493" t="s">
        <v>1478</v>
      </c>
      <c r="AF54" s="1493"/>
      <c r="AG54" s="1493"/>
      <c r="AH54" s="1493"/>
      <c r="AI54" s="1493"/>
      <c r="AJ54" s="1493"/>
      <c r="AK54" s="234"/>
      <c r="AL54" s="234"/>
      <c r="AM54" s="224"/>
      <c r="AN54" s="224"/>
    </row>
    <row r="55" spans="1:40" ht="13.5" thickTop="1">
      <c r="B55" s="1545" t="str">
        <f>'INV01-B'!C30</f>
        <v>Osnovno stado (razna rasplodna i radna stoka)</v>
      </c>
      <c r="C55" s="1545"/>
      <c r="D55" s="1545"/>
      <c r="E55" s="1545"/>
      <c r="F55" s="1545"/>
      <c r="G55" s="1545"/>
      <c r="H55" s="1545"/>
      <c r="I55" s="1545"/>
      <c r="J55" s="1545"/>
      <c r="K55" s="1545"/>
      <c r="L55" s="1545"/>
      <c r="M55" s="1545"/>
      <c r="N55" s="1545"/>
      <c r="O55" s="1545"/>
      <c r="P55" s="1545"/>
      <c r="Q55" s="1545"/>
      <c r="R55" s="1545"/>
      <c r="S55" s="1504"/>
      <c r="T55" s="1505"/>
      <c r="U55" s="1505"/>
      <c r="V55" s="1505"/>
      <c r="W55" s="1505"/>
      <c r="X55" s="1506"/>
      <c r="Y55" s="1504"/>
      <c r="Z55" s="1505"/>
      <c r="AA55" s="1505"/>
      <c r="AB55" s="1505"/>
      <c r="AC55" s="1505"/>
      <c r="AD55" s="1506"/>
      <c r="AE55" s="1504"/>
      <c r="AF55" s="1505"/>
      <c r="AG55" s="1505"/>
      <c r="AH55" s="1505"/>
      <c r="AI55" s="1505"/>
      <c r="AJ55" s="1506"/>
    </row>
    <row r="56" spans="1:40">
      <c r="B56" s="1545" t="str">
        <f>'INV01-B'!C31</f>
        <v>Pošumljavanje i dugogodišnji zasadi</v>
      </c>
      <c r="C56" s="1545"/>
      <c r="D56" s="1545"/>
      <c r="E56" s="1545"/>
      <c r="F56" s="1545"/>
      <c r="G56" s="1545"/>
      <c r="H56" s="1545"/>
      <c r="I56" s="1545"/>
      <c r="J56" s="1545"/>
      <c r="K56" s="1545"/>
      <c r="L56" s="1545"/>
      <c r="M56" s="1545"/>
      <c r="N56" s="1545"/>
      <c r="O56" s="1545"/>
      <c r="P56" s="1545"/>
      <c r="Q56" s="1545"/>
      <c r="R56" s="1545"/>
      <c r="S56" s="1504"/>
      <c r="T56" s="1505"/>
      <c r="U56" s="1505"/>
      <c r="V56" s="1505"/>
      <c r="W56" s="1505"/>
      <c r="X56" s="1506"/>
      <c r="Y56" s="1504"/>
      <c r="Z56" s="1505"/>
      <c r="AA56" s="1505"/>
      <c r="AB56" s="1505"/>
      <c r="AC56" s="1505"/>
      <c r="AD56" s="1506"/>
      <c r="AE56" s="1504"/>
      <c r="AF56" s="1505"/>
      <c r="AG56" s="1505"/>
      <c r="AH56" s="1505"/>
      <c r="AI56" s="1505"/>
      <c r="AJ56" s="1506"/>
    </row>
    <row r="57" spans="1:40">
      <c r="B57" s="1545" t="str">
        <f>'INV01-B'!C33</f>
        <v>Rudarska i mineralna istraživanja</v>
      </c>
      <c r="C57" s="1545"/>
      <c r="D57" s="1545"/>
      <c r="E57" s="1545"/>
      <c r="F57" s="1545"/>
      <c r="G57" s="1545"/>
      <c r="H57" s="1545"/>
      <c r="I57" s="1545"/>
      <c r="J57" s="1545"/>
      <c r="K57" s="1545"/>
      <c r="L57" s="1545"/>
      <c r="M57" s="1545"/>
      <c r="N57" s="1545"/>
      <c r="O57" s="1545"/>
      <c r="P57" s="1545"/>
      <c r="Q57" s="1545"/>
      <c r="R57" s="1545"/>
      <c r="S57" s="1504"/>
      <c r="T57" s="1505"/>
      <c r="U57" s="1505"/>
      <c r="V57" s="1505"/>
      <c r="W57" s="1505"/>
      <c r="X57" s="1506"/>
      <c r="Y57" s="1504"/>
      <c r="Z57" s="1505"/>
      <c r="AA57" s="1505"/>
      <c r="AB57" s="1505"/>
      <c r="AC57" s="1505"/>
      <c r="AD57" s="1506"/>
      <c r="AE57" s="1504"/>
      <c r="AF57" s="1505"/>
      <c r="AG57" s="1505"/>
      <c r="AH57" s="1505"/>
      <c r="AI57" s="1505"/>
      <c r="AJ57" s="1506"/>
    </row>
    <row r="58" spans="1:40">
      <c r="B58" s="1545" t="str">
        <f>'INV01-B'!C34</f>
        <v>Softveri (kupljeni i vlastito razvijeni)</v>
      </c>
      <c r="C58" s="1545"/>
      <c r="D58" s="1545"/>
      <c r="E58" s="1545"/>
      <c r="F58" s="1545"/>
      <c r="G58" s="1545"/>
      <c r="H58" s="1545"/>
      <c r="I58" s="1545"/>
      <c r="J58" s="1545"/>
      <c r="K58" s="1545"/>
      <c r="L58" s="1545"/>
      <c r="M58" s="1545"/>
      <c r="N58" s="1545"/>
      <c r="O58" s="1545"/>
      <c r="P58" s="1545"/>
      <c r="Q58" s="1545"/>
      <c r="R58" s="1545"/>
      <c r="S58" s="1504"/>
      <c r="T58" s="1505"/>
      <c r="U58" s="1505"/>
      <c r="V58" s="1505"/>
      <c r="W58" s="1505"/>
      <c r="X58" s="1506"/>
      <c r="Y58" s="1504"/>
      <c r="Z58" s="1505"/>
      <c r="AA58" s="1505"/>
      <c r="AB58" s="1505"/>
      <c r="AC58" s="1505"/>
      <c r="AD58" s="1506"/>
      <c r="AE58" s="1504"/>
      <c r="AF58" s="1505"/>
      <c r="AG58" s="1505"/>
      <c r="AH58" s="1505"/>
      <c r="AI58" s="1505"/>
      <c r="AJ58" s="1506"/>
    </row>
    <row r="59" spans="1:40" ht="34.5" customHeight="1">
      <c r="B59" s="1549" t="str">
        <f>'INV01-B'!C35</f>
        <v>Književni i umjetnički originali (sa područja filma, muzike, TV programi, sportske i druge priredbe i sl.)</v>
      </c>
      <c r="C59" s="1549"/>
      <c r="D59" s="1549"/>
      <c r="E59" s="1549"/>
      <c r="F59" s="1549"/>
      <c r="G59" s="1549"/>
      <c r="H59" s="1549"/>
      <c r="I59" s="1549"/>
      <c r="J59" s="1549"/>
      <c r="K59" s="1549"/>
      <c r="L59" s="1549"/>
      <c r="M59" s="1549"/>
      <c r="N59" s="1549"/>
      <c r="O59" s="1549"/>
      <c r="P59" s="1549"/>
      <c r="Q59" s="1549"/>
      <c r="R59" s="1549"/>
      <c r="S59" s="1504"/>
      <c r="T59" s="1505"/>
      <c r="U59" s="1505"/>
      <c r="V59" s="1505"/>
      <c r="W59" s="1505"/>
      <c r="X59" s="1506"/>
      <c r="Y59" s="1504"/>
      <c r="Z59" s="1505"/>
      <c r="AA59" s="1505"/>
      <c r="AB59" s="1505"/>
      <c r="AC59" s="1505"/>
      <c r="AD59" s="1506"/>
      <c r="AE59" s="1504"/>
      <c r="AF59" s="1505"/>
      <c r="AG59" s="1505"/>
      <c r="AH59" s="1505"/>
      <c r="AI59" s="1505"/>
      <c r="AJ59" s="1506"/>
    </row>
    <row r="60" spans="1:40" ht="37.5" customHeight="1">
      <c r="B60" s="1549" t="str">
        <f>'INV01-B'!C36</f>
        <v>Ostala nematerijalna (neopipljiva) stalna sredstva (studije, projekti, elaborati, komisije za tehnički pregled i sl.</v>
      </c>
      <c r="C60" s="1549"/>
      <c r="D60" s="1549"/>
      <c r="E60" s="1549"/>
      <c r="F60" s="1549"/>
      <c r="G60" s="1549"/>
      <c r="H60" s="1549"/>
      <c r="I60" s="1549"/>
      <c r="J60" s="1549"/>
      <c r="K60" s="1549"/>
      <c r="L60" s="1549"/>
      <c r="M60" s="1549"/>
      <c r="N60" s="1549"/>
      <c r="O60" s="1549"/>
      <c r="P60" s="1549"/>
      <c r="Q60" s="1549"/>
      <c r="R60" s="1549"/>
      <c r="S60" s="1504"/>
      <c r="T60" s="1505"/>
      <c r="U60" s="1505"/>
      <c r="V60" s="1505"/>
      <c r="W60" s="1505"/>
      <c r="X60" s="1506"/>
      <c r="Y60" s="1504"/>
      <c r="Z60" s="1505"/>
      <c r="AA60" s="1505"/>
      <c r="AB60" s="1505"/>
      <c r="AC60" s="1505"/>
      <c r="AD60" s="1506"/>
      <c r="AE60" s="1504"/>
      <c r="AF60" s="1505"/>
      <c r="AG60" s="1505"/>
      <c r="AH60" s="1505"/>
      <c r="AI60" s="1505"/>
      <c r="AJ60" s="1506"/>
    </row>
    <row r="61" spans="1:40" ht="37.5" customHeight="1">
      <c r="B61" s="1546" t="str">
        <f>'INV01-B'!B37</f>
        <v>Troškovi prijenosa vlasništva zemljišta (tr.procjena zemljišta, advokata, porez na promet nekretnina)</v>
      </c>
      <c r="C61" s="1547"/>
      <c r="D61" s="1547"/>
      <c r="E61" s="1547"/>
      <c r="F61" s="1547"/>
      <c r="G61" s="1547"/>
      <c r="H61" s="1547"/>
      <c r="I61" s="1547"/>
      <c r="J61" s="1547"/>
      <c r="K61" s="1547"/>
      <c r="L61" s="1547"/>
      <c r="M61" s="1547"/>
      <c r="N61" s="1547"/>
      <c r="O61" s="1547"/>
      <c r="P61" s="1547"/>
      <c r="Q61" s="1547"/>
      <c r="R61" s="1548"/>
      <c r="S61" s="1504"/>
      <c r="T61" s="1505"/>
      <c r="U61" s="1505"/>
      <c r="V61" s="1505"/>
      <c r="W61" s="1505"/>
      <c r="X61" s="1506"/>
      <c r="Y61" s="1507" t="s">
        <v>2080</v>
      </c>
      <c r="Z61" s="1508"/>
      <c r="AA61" s="1508"/>
      <c r="AB61" s="1508"/>
      <c r="AC61" s="1508"/>
      <c r="AD61" s="1509"/>
      <c r="AE61" s="1507" t="s">
        <v>2081</v>
      </c>
      <c r="AF61" s="1508"/>
      <c r="AG61" s="1508"/>
      <c r="AH61" s="1508"/>
      <c r="AI61" s="1508"/>
      <c r="AJ61" s="1509"/>
    </row>
    <row r="62" spans="1:40" ht="49.5" customHeight="1">
      <c r="B62" s="1549" t="str">
        <f>'INV01-B'!B39</f>
        <v>Dragocjenosti (vrijednosni predmeti kupljeni radi očuvanja vrijednosti kao što su dijamanti, drago kamenje, nemon.zlato,slike,skul. i sl.) 7)</v>
      </c>
      <c r="C62" s="1549"/>
      <c r="D62" s="1549"/>
      <c r="E62" s="1549"/>
      <c r="F62" s="1549"/>
      <c r="G62" s="1549"/>
      <c r="H62" s="1549"/>
      <c r="I62" s="1549"/>
      <c r="J62" s="1549"/>
      <c r="K62" s="1549"/>
      <c r="L62" s="1549"/>
      <c r="M62" s="1549"/>
      <c r="N62" s="1549"/>
      <c r="O62" s="1549"/>
      <c r="P62" s="1549"/>
      <c r="Q62" s="1549"/>
      <c r="R62" s="1549"/>
      <c r="S62" s="1504"/>
      <c r="T62" s="1505"/>
      <c r="U62" s="1505"/>
      <c r="V62" s="1505"/>
      <c r="W62" s="1505"/>
      <c r="X62" s="1506"/>
      <c r="Y62" s="1504"/>
      <c r="Z62" s="1505"/>
      <c r="AA62" s="1505"/>
      <c r="AB62" s="1505"/>
      <c r="AC62" s="1505"/>
      <c r="AD62" s="1506"/>
      <c r="AE62" s="1504"/>
      <c r="AF62" s="1505"/>
      <c r="AG62" s="1505"/>
      <c r="AH62" s="1505"/>
      <c r="AI62" s="1505"/>
      <c r="AJ62" s="1506"/>
    </row>
    <row r="63" spans="1:40">
      <c r="B63" s="1550" t="str">
        <f>'INV01-B'!B40</f>
        <v>Licence, patenti i trgovačke marke 7)</v>
      </c>
      <c r="C63" s="1551"/>
      <c r="D63" s="1551"/>
      <c r="E63" s="1551"/>
      <c r="F63" s="1551"/>
      <c r="G63" s="1551"/>
      <c r="H63" s="1551"/>
      <c r="I63" s="1551"/>
      <c r="J63" s="1551"/>
      <c r="K63" s="1551"/>
      <c r="L63" s="1551"/>
      <c r="M63" s="1551"/>
      <c r="N63" s="1551"/>
      <c r="O63" s="1551"/>
      <c r="P63" s="1551"/>
      <c r="Q63" s="1551"/>
      <c r="R63" s="1552"/>
      <c r="S63" s="1504"/>
      <c r="T63" s="1505"/>
      <c r="U63" s="1505"/>
      <c r="V63" s="1505"/>
      <c r="W63" s="1505"/>
      <c r="X63" s="1506"/>
      <c r="Y63" s="1504"/>
      <c r="Z63" s="1505"/>
      <c r="AA63" s="1505"/>
      <c r="AB63" s="1505"/>
      <c r="AC63" s="1505"/>
      <c r="AD63" s="1506"/>
      <c r="AE63" s="1504"/>
      <c r="AF63" s="1505"/>
      <c r="AG63" s="1505"/>
      <c r="AH63" s="1505"/>
      <c r="AI63" s="1505"/>
      <c r="AJ63" s="1506"/>
    </row>
    <row r="64" spans="1:40">
      <c r="B64" s="1550" t="str">
        <f>'INV01-B'!B41</f>
        <v>Zemljište (bez troškova prijenosa vlasništva)</v>
      </c>
      <c r="C64" s="1551"/>
      <c r="D64" s="1551"/>
      <c r="E64" s="1551"/>
      <c r="F64" s="1551"/>
      <c r="G64" s="1551"/>
      <c r="H64" s="1551"/>
      <c r="I64" s="1551"/>
      <c r="J64" s="1551"/>
      <c r="K64" s="1551"/>
      <c r="L64" s="1551"/>
      <c r="M64" s="1551"/>
      <c r="N64" s="1551"/>
      <c r="O64" s="1551"/>
      <c r="P64" s="1551"/>
      <c r="Q64" s="1551"/>
      <c r="R64" s="1552"/>
      <c r="S64" s="1507" t="s">
        <v>2077</v>
      </c>
      <c r="T64" s="1508"/>
      <c r="U64" s="1508"/>
      <c r="V64" s="1508"/>
      <c r="W64" s="1508"/>
      <c r="X64" s="1509"/>
      <c r="Y64" s="1504"/>
      <c r="Z64" s="1505"/>
      <c r="AA64" s="1505"/>
      <c r="AB64" s="1505"/>
      <c r="AC64" s="1505"/>
      <c r="AD64" s="1506"/>
      <c r="AE64" s="1504"/>
      <c r="AF64" s="1505"/>
      <c r="AG64" s="1505"/>
      <c r="AH64" s="1505"/>
      <c r="AI64" s="1505"/>
      <c r="AJ64" s="1506"/>
    </row>
    <row r="65" spans="2:38" ht="18.75">
      <c r="B65" s="236" t="s">
        <v>2126</v>
      </c>
      <c r="S65" s="1553">
        <f>IF('INV01-A'!Z65-'INV01-B'!Q5&lt;&gt;0,"GRESKA",'INV01-A'!Z65-'INV01-B'!Q5)</f>
        <v>0</v>
      </c>
      <c r="T65" s="1554"/>
      <c r="U65" s="1554"/>
      <c r="V65" s="1554"/>
      <c r="W65" s="1554"/>
      <c r="X65" s="1555"/>
      <c r="Y65" s="1507"/>
      <c r="Z65" s="1508"/>
      <c r="AA65" s="1508"/>
      <c r="AB65" s="1508"/>
      <c r="AC65" s="1508"/>
      <c r="AD65" s="1509"/>
      <c r="AE65" s="1507"/>
      <c r="AF65" s="1508"/>
      <c r="AG65" s="1508"/>
      <c r="AH65" s="1508"/>
      <c r="AI65" s="1508"/>
      <c r="AJ65" s="1509"/>
    </row>
    <row r="67" spans="2:38">
      <c r="B67" s="275" t="s">
        <v>2622</v>
      </c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7"/>
      <c r="Y67" s="1501" t="s">
        <v>2623</v>
      </c>
      <c r="Z67" s="1502"/>
      <c r="AA67" s="1502"/>
      <c r="AB67" s="1502"/>
      <c r="AC67" s="1502"/>
      <c r="AD67" s="1503"/>
    </row>
    <row r="68" spans="2:38">
      <c r="B68" s="278" t="str">
        <f>'INV01-C'!H15</f>
        <v>izgadnja novih kapaciteta</v>
      </c>
      <c r="C68" s="279"/>
      <c r="D68" s="273"/>
      <c r="E68" s="273"/>
      <c r="F68" s="273"/>
      <c r="G68" s="273"/>
      <c r="H68" s="273"/>
      <c r="I68" s="273"/>
      <c r="J68" s="273"/>
      <c r="K68" s="273"/>
      <c r="L68" s="273"/>
      <c r="M68" s="273"/>
      <c r="N68" s="273"/>
      <c r="O68" s="273"/>
      <c r="P68" s="273"/>
      <c r="Q68" s="273"/>
      <c r="R68" s="273"/>
      <c r="S68" s="273"/>
      <c r="T68" s="273"/>
      <c r="U68" s="273"/>
      <c r="V68" s="273"/>
      <c r="W68" s="273"/>
      <c r="X68" s="274"/>
      <c r="Y68" s="1504">
        <v>0</v>
      </c>
      <c r="Z68" s="1505"/>
      <c r="AA68" s="1505"/>
      <c r="AB68" s="1505"/>
      <c r="AC68" s="1505"/>
      <c r="AD68" s="1506"/>
    </row>
    <row r="69" spans="2:38">
      <c r="B69" s="278" t="str">
        <f>'INV01-C'!H16</f>
        <v>rekonstrukcija, modrenizacija, dogradnja i proširenje</v>
      </c>
      <c r="C69" s="279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  <c r="P69" s="273"/>
      <c r="Q69" s="273"/>
      <c r="R69" s="273"/>
      <c r="S69" s="273"/>
      <c r="T69" s="273"/>
      <c r="U69" s="273"/>
      <c r="V69" s="273"/>
      <c r="W69" s="273"/>
      <c r="X69" s="274"/>
      <c r="Y69" s="1504"/>
      <c r="Z69" s="1505"/>
      <c r="AA69" s="1505"/>
      <c r="AB69" s="1505"/>
      <c r="AC69" s="1505"/>
      <c r="AD69" s="1506"/>
    </row>
    <row r="70" spans="2:38">
      <c r="B70" s="278" t="str">
        <f>'INV01-C'!H17</f>
        <v>održavanje nivoa postojećih kapaciteta</v>
      </c>
      <c r="C70" s="279"/>
      <c r="D70" s="273"/>
      <c r="E70" s="273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4"/>
      <c r="Y70" s="1504"/>
      <c r="Z70" s="1505"/>
      <c r="AA70" s="1505"/>
      <c r="AB70" s="1505"/>
      <c r="AC70" s="1505"/>
      <c r="AD70" s="1506"/>
    </row>
    <row r="71" spans="2:38" ht="18.75">
      <c r="B71" s="236" t="s">
        <v>954</v>
      </c>
      <c r="S71" s="1494">
        <f>IF(Y71-'INV01-B'!Q5&lt;&gt;0,"GRESKA",Y71-'INV01-B'!Q5)</f>
        <v>0</v>
      </c>
      <c r="T71" s="1495"/>
      <c r="U71" s="1495"/>
      <c r="V71" s="1495"/>
      <c r="W71" s="1495"/>
      <c r="X71" s="1496"/>
      <c r="Y71" s="1497">
        <f>SUM(Y68:AD70)</f>
        <v>0</v>
      </c>
      <c r="Z71" s="1498"/>
      <c r="AA71" s="1498"/>
      <c r="AB71" s="1498"/>
      <c r="AC71" s="1498"/>
      <c r="AD71" s="1499"/>
    </row>
    <row r="72" spans="2:38" ht="18.75">
      <c r="B72" s="236" t="s">
        <v>954</v>
      </c>
      <c r="S72" s="1494">
        <f>IF(Y71-'INV01-C'!W19&lt;&gt;0,"GRESKA",Y71-'INV01-C'!W19)</f>
        <v>0</v>
      </c>
      <c r="T72" s="1495"/>
      <c r="U72" s="1495"/>
      <c r="V72" s="1495"/>
      <c r="W72" s="1495"/>
      <c r="X72" s="1496"/>
    </row>
    <row r="73" spans="2:38" ht="20.25">
      <c r="B73" s="287" t="s">
        <v>689</v>
      </c>
    </row>
    <row r="74" spans="2:38" ht="18">
      <c r="B74" s="236" t="s">
        <v>688</v>
      </c>
    </row>
    <row r="75" spans="2:38" ht="18">
      <c r="B75" s="236" t="s">
        <v>2208</v>
      </c>
    </row>
    <row r="76" spans="2:38">
      <c r="B76" s="289" t="s">
        <v>690</v>
      </c>
    </row>
    <row r="78" spans="2:38" ht="23.25">
      <c r="B78" s="288" t="s">
        <v>2209</v>
      </c>
      <c r="X78" s="286"/>
      <c r="AF78" s="1557"/>
      <c r="AG78" s="1557"/>
      <c r="AH78" s="1557"/>
      <c r="AI78" s="1557"/>
      <c r="AJ78" s="1557"/>
      <c r="AK78" s="1557"/>
      <c r="AL78" s="1557"/>
    </row>
    <row r="79" spans="2:38" ht="23.25">
      <c r="B79" s="288" t="s">
        <v>687</v>
      </c>
      <c r="X79" s="273"/>
      <c r="AF79" s="1556"/>
      <c r="AG79" s="1556"/>
      <c r="AH79" s="1556"/>
      <c r="AI79" s="1556"/>
      <c r="AJ79" s="1556"/>
      <c r="AK79" s="1556"/>
      <c r="AL79" s="1556"/>
    </row>
  </sheetData>
  <mergeCells count="177">
    <mergeCell ref="AF79:AL79"/>
    <mergeCell ref="AE64:AJ64"/>
    <mergeCell ref="Y70:AD70"/>
    <mergeCell ref="B62:R62"/>
    <mergeCell ref="B63:R63"/>
    <mergeCell ref="S72:X72"/>
    <mergeCell ref="AF78:AL78"/>
    <mergeCell ref="Y63:AD63"/>
    <mergeCell ref="AE63:AJ63"/>
    <mergeCell ref="AE62:AJ62"/>
    <mergeCell ref="S63:X63"/>
    <mergeCell ref="Y62:AD62"/>
    <mergeCell ref="S62:X62"/>
    <mergeCell ref="B59:R59"/>
    <mergeCell ref="B64:R64"/>
    <mergeCell ref="S65:X65"/>
    <mergeCell ref="Y65:AD65"/>
    <mergeCell ref="AE65:AJ65"/>
    <mergeCell ref="S64:X64"/>
    <mergeCell ref="Y64:AD64"/>
    <mergeCell ref="AE61:AJ61"/>
    <mergeCell ref="S61:X61"/>
    <mergeCell ref="B55:R55"/>
    <mergeCell ref="B56:R56"/>
    <mergeCell ref="B57:R57"/>
    <mergeCell ref="B61:R61"/>
    <mergeCell ref="B58:R58"/>
    <mergeCell ref="AE59:AJ59"/>
    <mergeCell ref="AE58:AJ58"/>
    <mergeCell ref="AE56:AJ56"/>
    <mergeCell ref="Y58:AD58"/>
    <mergeCell ref="AE57:AJ57"/>
    <mergeCell ref="S55:X55"/>
    <mergeCell ref="Y55:AD55"/>
    <mergeCell ref="AE55:AJ55"/>
    <mergeCell ref="S56:X56"/>
    <mergeCell ref="Y56:AD56"/>
    <mergeCell ref="S57:X57"/>
    <mergeCell ref="Y57:AD57"/>
    <mergeCell ref="S58:X58"/>
    <mergeCell ref="AE60:AJ60"/>
    <mergeCell ref="S59:X59"/>
    <mergeCell ref="S60:X60"/>
    <mergeCell ref="Y60:AD60"/>
    <mergeCell ref="Y59:AD59"/>
    <mergeCell ref="B60:R60"/>
    <mergeCell ref="AE42:AJ42"/>
    <mergeCell ref="AE36:AJ36"/>
    <mergeCell ref="B40:R40"/>
    <mergeCell ref="B13:R13"/>
    <mergeCell ref="S13:X13"/>
    <mergeCell ref="S16:X16"/>
    <mergeCell ref="S17:X17"/>
    <mergeCell ref="B14:R14"/>
    <mergeCell ref="S14:X14"/>
    <mergeCell ref="S20:X20"/>
    <mergeCell ref="S35:X35"/>
    <mergeCell ref="S26:X26"/>
    <mergeCell ref="S19:X19"/>
    <mergeCell ref="S23:X23"/>
    <mergeCell ref="S24:X24"/>
    <mergeCell ref="S33:X33"/>
    <mergeCell ref="S22:X22"/>
    <mergeCell ref="S29:X29"/>
    <mergeCell ref="S25:X25"/>
    <mergeCell ref="AE30:AJ30"/>
    <mergeCell ref="AE35:AJ35"/>
    <mergeCell ref="Y41:AD41"/>
    <mergeCell ref="AE41:AJ41"/>
    <mergeCell ref="S41:X41"/>
    <mergeCell ref="S40:X40"/>
    <mergeCell ref="AE34:AJ34"/>
    <mergeCell ref="Y35:AD35"/>
    <mergeCell ref="B34:R34"/>
    <mergeCell ref="B38:R38"/>
    <mergeCell ref="S38:X38"/>
    <mergeCell ref="Y38:AD38"/>
    <mergeCell ref="AE38:AJ38"/>
    <mergeCell ref="S12:X12"/>
    <mergeCell ref="AE40:AJ40"/>
    <mergeCell ref="AE39:AJ39"/>
    <mergeCell ref="Y40:AD40"/>
    <mergeCell ref="Y39:AD39"/>
    <mergeCell ref="B31:R31"/>
    <mergeCell ref="S31:X31"/>
    <mergeCell ref="Y31:AD31"/>
    <mergeCell ref="B36:R36"/>
    <mergeCell ref="S36:X36"/>
    <mergeCell ref="AE31:AJ31"/>
    <mergeCell ref="B32:R32"/>
    <mergeCell ref="S32:X32"/>
    <mergeCell ref="Y32:AD32"/>
    <mergeCell ref="AE32:AJ32"/>
    <mergeCell ref="AE48:AJ48"/>
    <mergeCell ref="B45:R45"/>
    <mergeCell ref="S45:X45"/>
    <mergeCell ref="Y45:AD45"/>
    <mergeCell ref="Y52:AD52"/>
    <mergeCell ref="B46:R46"/>
    <mergeCell ref="S46:X46"/>
    <mergeCell ref="Y46:AD46"/>
    <mergeCell ref="B49:R49"/>
    <mergeCell ref="S49:X49"/>
    <mergeCell ref="B47:R47"/>
    <mergeCell ref="B48:R48"/>
    <mergeCell ref="S48:X48"/>
    <mergeCell ref="S52:X52"/>
    <mergeCell ref="Y48:AD48"/>
    <mergeCell ref="AE50:AJ50"/>
    <mergeCell ref="S47:X47"/>
    <mergeCell ref="Y47:AD47"/>
    <mergeCell ref="AE46:AJ46"/>
    <mergeCell ref="AE52:AJ52"/>
    <mergeCell ref="Y49:AD49"/>
    <mergeCell ref="B50:R50"/>
    <mergeCell ref="S50:X50"/>
    <mergeCell ref="Y50:AD50"/>
    <mergeCell ref="A1:AL1"/>
    <mergeCell ref="B10:R10"/>
    <mergeCell ref="S10:X10"/>
    <mergeCell ref="AE10:AJ10"/>
    <mergeCell ref="B7:K7"/>
    <mergeCell ref="AE45:AJ45"/>
    <mergeCell ref="AE37:AJ37"/>
    <mergeCell ref="B43:R43"/>
    <mergeCell ref="S43:X43"/>
    <mergeCell ref="Y43:AD43"/>
    <mergeCell ref="Y33:AD33"/>
    <mergeCell ref="AE33:AJ33"/>
    <mergeCell ref="Y36:AD36"/>
    <mergeCell ref="S34:X34"/>
    <mergeCell ref="AE43:AJ43"/>
    <mergeCell ref="AE44:AJ44"/>
    <mergeCell ref="Y28:AD28"/>
    <mergeCell ref="B41:R41"/>
    <mergeCell ref="B33:R33"/>
    <mergeCell ref="B37:R37"/>
    <mergeCell ref="S37:X37"/>
    <mergeCell ref="Y37:AD37"/>
    <mergeCell ref="B39:R39"/>
    <mergeCell ref="S39:X39"/>
    <mergeCell ref="B6:K6"/>
    <mergeCell ref="A2:AL2"/>
    <mergeCell ref="S11:X11"/>
    <mergeCell ref="B12:R12"/>
    <mergeCell ref="S18:X18"/>
    <mergeCell ref="B11:R11"/>
    <mergeCell ref="AE14:AJ14"/>
    <mergeCell ref="B15:R15"/>
    <mergeCell ref="S15:X15"/>
    <mergeCell ref="AE15:AJ15"/>
    <mergeCell ref="B8:K8"/>
    <mergeCell ref="L8:W8"/>
    <mergeCell ref="AE54:AJ54"/>
    <mergeCell ref="S71:X71"/>
    <mergeCell ref="Y71:AD71"/>
    <mergeCell ref="L7:W7"/>
    <mergeCell ref="S54:X54"/>
    <mergeCell ref="Y54:AD54"/>
    <mergeCell ref="Y67:AD67"/>
    <mergeCell ref="Y68:AD68"/>
    <mergeCell ref="Y69:AD69"/>
    <mergeCell ref="Y61:AD61"/>
    <mergeCell ref="S30:X30"/>
    <mergeCell ref="Y30:AD30"/>
    <mergeCell ref="Y34:AD34"/>
    <mergeCell ref="B44:R44"/>
    <mergeCell ref="S44:X44"/>
    <mergeCell ref="Y44:AD44"/>
    <mergeCell ref="B42:R42"/>
    <mergeCell ref="S42:X42"/>
    <mergeCell ref="Y42:AD42"/>
    <mergeCell ref="Y29:AD29"/>
    <mergeCell ref="AE29:AJ29"/>
    <mergeCell ref="AE49:AJ49"/>
    <mergeCell ref="AE47:AJ47"/>
    <mergeCell ref="Y27:AD27"/>
  </mergeCells>
  <phoneticPr fontId="0" type="noConversion"/>
  <pageMargins left="0.36" right="0.24" top="0.72" bottom="0.56999999999999995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AO1071"/>
  <sheetViews>
    <sheetView showGridLines="0" workbookViewId="0">
      <selection activeCell="W24" sqref="W24:AE24"/>
    </sheetView>
  </sheetViews>
  <sheetFormatPr defaultColWidth="2.28515625" defaultRowHeight="12.75"/>
  <cols>
    <col min="1" max="1" width="3" style="828" customWidth="1"/>
    <col min="2" max="11" width="2.28515625" style="828"/>
    <col min="12" max="12" width="2.85546875" style="828" customWidth="1"/>
    <col min="13" max="24" width="2.28515625" style="828"/>
    <col min="25" max="25" width="2.5703125" style="828" bestFit="1" customWidth="1"/>
    <col min="26" max="39" width="2.28515625" style="828"/>
    <col min="40" max="40" width="2.5703125" style="828" customWidth="1"/>
    <col min="41" max="41" width="9.140625" style="828" customWidth="1"/>
    <col min="42" max="16384" width="2.28515625" style="828"/>
  </cols>
  <sheetData>
    <row r="2" spans="1:39" ht="14.25" customHeight="1">
      <c r="A2" s="1606">
        <f>FirmaNaziv</f>
        <v>0</v>
      </c>
      <c r="B2" s="1606"/>
      <c r="C2" s="1606"/>
      <c r="D2" s="1606"/>
      <c r="E2" s="1606"/>
      <c r="F2" s="1606"/>
      <c r="G2" s="1606"/>
      <c r="H2" s="1606"/>
      <c r="I2" s="1606"/>
      <c r="J2" s="1606"/>
      <c r="K2" s="1606"/>
      <c r="L2" s="1606"/>
      <c r="M2" s="1606"/>
      <c r="N2" s="1606"/>
      <c r="O2" s="1606"/>
      <c r="P2" s="1606"/>
      <c r="Q2" s="1606"/>
      <c r="R2" s="1606"/>
      <c r="S2" s="1606"/>
      <c r="T2" s="1606"/>
      <c r="U2" s="1606"/>
    </row>
    <row r="3" spans="1:39" ht="14.25" customHeight="1">
      <c r="A3" s="1607" t="str">
        <f>FirmaSjediste &amp; ", " &amp; FirmaAdresa</f>
        <v xml:space="preserve">, </v>
      </c>
      <c r="B3" s="1607"/>
      <c r="C3" s="1607"/>
      <c r="D3" s="1607"/>
      <c r="E3" s="1607"/>
      <c r="F3" s="1607"/>
      <c r="G3" s="1607"/>
      <c r="H3" s="1607"/>
      <c r="I3" s="1607"/>
      <c r="J3" s="1607"/>
      <c r="K3" s="1607"/>
      <c r="L3" s="1607"/>
      <c r="M3" s="1607"/>
      <c r="N3" s="1607"/>
      <c r="O3" s="1607"/>
      <c r="P3" s="1607"/>
      <c r="Q3" s="1607"/>
      <c r="R3" s="1607"/>
      <c r="S3" s="1607"/>
      <c r="T3" s="1607"/>
      <c r="U3" s="1607"/>
    </row>
    <row r="4" spans="1:39" ht="14.25" customHeight="1">
      <c r="A4" s="1608">
        <f>FirmaID</f>
        <v>0</v>
      </c>
      <c r="B4" s="1606"/>
      <c r="C4" s="1606"/>
      <c r="D4" s="1606"/>
      <c r="E4" s="1606"/>
      <c r="F4" s="1606"/>
      <c r="G4" s="1606"/>
      <c r="H4" s="1606"/>
      <c r="I4" s="1606"/>
      <c r="J4" s="1606"/>
      <c r="K4" s="1606"/>
    </row>
    <row r="5" spans="1:39" ht="14.25" customHeight="1"/>
    <row r="6" spans="1:39" ht="14.25" customHeight="1">
      <c r="A6" s="828" t="s">
        <v>655</v>
      </c>
      <c r="D6" s="828" t="str">
        <f>ObracunDoDatuma&amp;ObracunGodina</f>
        <v>31.12.2011</v>
      </c>
    </row>
    <row r="7" spans="1:39" s="1160" customFormat="1">
      <c r="A7" s="1609" t="s">
        <v>298</v>
      </c>
      <c r="B7" s="1609"/>
      <c r="C7" s="1609"/>
      <c r="D7" s="1609"/>
      <c r="E7" s="1609"/>
      <c r="F7" s="1609"/>
      <c r="G7" s="1609"/>
      <c r="H7" s="1609"/>
      <c r="I7" s="1609"/>
      <c r="J7" s="1609"/>
      <c r="K7" s="1609"/>
      <c r="L7" s="1609"/>
      <c r="M7" s="1609"/>
      <c r="N7" s="1609"/>
      <c r="O7" s="1609"/>
      <c r="P7" s="1609"/>
      <c r="Q7" s="1609"/>
      <c r="R7" s="1609"/>
      <c r="S7" s="1609"/>
      <c r="T7" s="1609"/>
      <c r="U7" s="1609"/>
      <c r="V7" s="1609"/>
      <c r="W7" s="1609"/>
      <c r="X7" s="1609"/>
      <c r="Y7" s="1609"/>
      <c r="Z7" s="1609"/>
      <c r="AA7" s="1609"/>
      <c r="AB7" s="1609"/>
      <c r="AC7" s="1609"/>
      <c r="AD7" s="1609"/>
      <c r="AE7" s="1609"/>
      <c r="AF7" s="1609"/>
      <c r="AG7" s="1609"/>
      <c r="AH7" s="1609"/>
      <c r="AI7" s="1609"/>
      <c r="AJ7" s="1609"/>
      <c r="AK7" s="1609"/>
      <c r="AL7" s="1609"/>
      <c r="AM7" s="1609"/>
    </row>
    <row r="8" spans="1:39">
      <c r="A8" s="1609"/>
      <c r="B8" s="1609"/>
      <c r="C8" s="1609"/>
      <c r="D8" s="1609"/>
      <c r="E8" s="1609"/>
      <c r="F8" s="1609"/>
      <c r="G8" s="1609"/>
      <c r="H8" s="1609"/>
      <c r="I8" s="1609"/>
      <c r="J8" s="1609"/>
      <c r="K8" s="1609"/>
      <c r="L8" s="1609"/>
      <c r="M8" s="1609"/>
      <c r="N8" s="1609"/>
      <c r="O8" s="1609"/>
      <c r="P8" s="1609"/>
      <c r="Q8" s="1609"/>
      <c r="R8" s="1609"/>
      <c r="S8" s="1609"/>
      <c r="T8" s="1609"/>
      <c r="U8" s="1609"/>
      <c r="V8" s="1609"/>
      <c r="W8" s="1609"/>
      <c r="X8" s="1609"/>
      <c r="Y8" s="1609"/>
      <c r="Z8" s="1609"/>
      <c r="AA8" s="1609"/>
      <c r="AB8" s="1609"/>
      <c r="AC8" s="1609"/>
      <c r="AD8" s="1609"/>
      <c r="AE8" s="1609"/>
      <c r="AF8" s="1609"/>
      <c r="AG8" s="1609"/>
      <c r="AH8" s="1609"/>
      <c r="AI8" s="1609"/>
      <c r="AJ8" s="1609"/>
      <c r="AK8" s="1609"/>
      <c r="AL8" s="1609"/>
      <c r="AM8" s="1609"/>
    </row>
    <row r="9" spans="1:39">
      <c r="A9" s="1159"/>
      <c r="B9" s="1159"/>
      <c r="C9" s="1159"/>
      <c r="D9" s="1159"/>
      <c r="E9" s="1159"/>
      <c r="F9" s="1159"/>
      <c r="G9" s="1159"/>
      <c r="H9" s="1159"/>
      <c r="I9" s="1159"/>
      <c r="J9" s="1159"/>
      <c r="K9" s="1159"/>
      <c r="L9" s="1159"/>
      <c r="M9" s="1159"/>
      <c r="N9" s="1161" t="s">
        <v>545</v>
      </c>
      <c r="O9" s="1159"/>
      <c r="P9" s="1159" t="str">
        <f>ObracunOdDatuma</f>
        <v>1.1.</v>
      </c>
      <c r="Q9" s="1159"/>
      <c r="R9" s="1609" t="s">
        <v>546</v>
      </c>
      <c r="S9" s="1609"/>
      <c r="T9" s="1162" t="str">
        <f>ObracunDoDatuma</f>
        <v>31.12.</v>
      </c>
      <c r="U9" s="1159"/>
      <c r="V9" s="1159"/>
      <c r="W9" s="1158" t="str">
        <f>ObracunGodina</f>
        <v>2011</v>
      </c>
      <c r="X9" s="1159"/>
      <c r="Y9" s="1159"/>
      <c r="Z9" s="1162" t="s">
        <v>2268</v>
      </c>
      <c r="AA9" s="1159"/>
      <c r="AB9" s="1159"/>
      <c r="AC9" s="1159"/>
      <c r="AD9" s="1159"/>
      <c r="AE9" s="1159"/>
      <c r="AF9" s="1159"/>
      <c r="AG9" s="1159"/>
      <c r="AH9" s="1159"/>
      <c r="AI9" s="1159"/>
      <c r="AJ9" s="1159"/>
      <c r="AK9" s="1159"/>
      <c r="AL9" s="1159"/>
      <c r="AM9" s="1159"/>
    </row>
    <row r="11" spans="1:39">
      <c r="A11" s="1160" t="s">
        <v>299</v>
      </c>
    </row>
    <row r="13" spans="1:39">
      <c r="C13" s="828" t="s">
        <v>300</v>
      </c>
      <c r="P13" s="828" t="str">
        <f>ObracunOdDatuma</f>
        <v>1.1.</v>
      </c>
      <c r="S13" s="828" t="s">
        <v>546</v>
      </c>
      <c r="U13" s="828" t="str">
        <f>ObracunDoDatuma</f>
        <v>31.12.</v>
      </c>
      <c r="X13" s="1163" t="str">
        <f>ObracunGodina</f>
        <v>2011</v>
      </c>
      <c r="AA13" s="828" t="s">
        <v>301</v>
      </c>
    </row>
    <row r="14" spans="1:39">
      <c r="A14" s="828" t="s">
        <v>302</v>
      </c>
    </row>
    <row r="16" spans="1:39">
      <c r="L16" s="1160" t="s">
        <v>8</v>
      </c>
    </row>
    <row r="17" spans="1:41">
      <c r="A17" s="1160" t="s">
        <v>673</v>
      </c>
      <c r="B17" s="1160" t="s">
        <v>1991</v>
      </c>
    </row>
    <row r="19" spans="1:41">
      <c r="B19" s="828" t="s">
        <v>1992</v>
      </c>
    </row>
    <row r="20" spans="1:41">
      <c r="A20" s="828" t="s">
        <v>1993</v>
      </c>
    </row>
    <row r="21" spans="1:41">
      <c r="A21" s="828" t="s">
        <v>1994</v>
      </c>
    </row>
    <row r="22" spans="1:41" ht="14.25" customHeight="1">
      <c r="W22" s="1610" t="s">
        <v>1995</v>
      </c>
      <c r="X22" s="1611"/>
      <c r="Y22" s="1611"/>
      <c r="Z22" s="1611"/>
      <c r="AA22" s="1611"/>
      <c r="AB22" s="1611"/>
      <c r="AC22" s="1611"/>
      <c r="AD22" s="1611"/>
      <c r="AE22" s="1611"/>
      <c r="AF22" s="1611"/>
      <c r="AG22" s="1611"/>
      <c r="AH22" s="1611"/>
      <c r="AI22" s="1611"/>
      <c r="AJ22" s="1611"/>
      <c r="AK22" s="1611"/>
      <c r="AL22" s="1611"/>
      <c r="AM22" s="1611"/>
      <c r="AN22" s="1612"/>
    </row>
    <row r="23" spans="1:41">
      <c r="A23" s="1582" t="s">
        <v>1996</v>
      </c>
      <c r="B23" s="1583"/>
      <c r="C23" s="1583"/>
      <c r="D23" s="1584"/>
      <c r="E23" s="1567" t="s">
        <v>796</v>
      </c>
      <c r="F23" s="1567"/>
      <c r="G23" s="1567"/>
      <c r="H23" s="1567"/>
      <c r="I23" s="1567"/>
      <c r="J23" s="1567"/>
      <c r="K23" s="1567"/>
      <c r="L23" s="1567"/>
      <c r="M23" s="1567"/>
      <c r="N23" s="1567"/>
      <c r="O23" s="1567"/>
      <c r="P23" s="1567"/>
      <c r="Q23" s="1567"/>
      <c r="R23" s="1567"/>
      <c r="S23" s="1567"/>
      <c r="T23" s="1567"/>
      <c r="U23" s="1567"/>
      <c r="V23" s="1567"/>
      <c r="W23" s="1568" t="s">
        <v>1039</v>
      </c>
      <c r="X23" s="1569"/>
      <c r="Y23" s="1569"/>
      <c r="Z23" s="1569"/>
      <c r="AA23" s="1569"/>
      <c r="AB23" s="1569"/>
      <c r="AC23" s="1569"/>
      <c r="AD23" s="1569"/>
      <c r="AE23" s="1570"/>
      <c r="AF23" s="1571" t="s">
        <v>278</v>
      </c>
      <c r="AG23" s="1572"/>
      <c r="AH23" s="1572"/>
      <c r="AI23" s="1572"/>
      <c r="AJ23" s="1572"/>
      <c r="AK23" s="1572"/>
      <c r="AL23" s="1572"/>
      <c r="AM23" s="1572"/>
      <c r="AN23" s="1573"/>
      <c r="AO23" s="1187" t="s">
        <v>2766</v>
      </c>
    </row>
    <row r="24" spans="1:41">
      <c r="A24" s="1574" t="str">
        <f>unos!A4</f>
        <v>600</v>
      </c>
      <c r="B24" s="1575"/>
      <c r="C24" s="1575"/>
      <c r="D24" s="1576"/>
      <c r="E24" s="1558" t="str">
        <f>unos!B4</f>
        <v>Prihodi od prodaje robe povezanim pravnim licima</v>
      </c>
      <c r="F24" s="1559"/>
      <c r="G24" s="1559"/>
      <c r="H24" s="1559"/>
      <c r="I24" s="1559"/>
      <c r="J24" s="1559"/>
      <c r="K24" s="1559"/>
      <c r="L24" s="1559"/>
      <c r="M24" s="1559"/>
      <c r="N24" s="1559"/>
      <c r="O24" s="1559"/>
      <c r="P24" s="1559"/>
      <c r="Q24" s="1559"/>
      <c r="R24" s="1559"/>
      <c r="S24" s="1559"/>
      <c r="T24" s="1559"/>
      <c r="U24" s="1559"/>
      <c r="V24" s="1559"/>
      <c r="W24" s="1563">
        <f>unos!F4</f>
        <v>0</v>
      </c>
      <c r="X24" s="1594"/>
      <c r="Y24" s="1594"/>
      <c r="Z24" s="1594"/>
      <c r="AA24" s="1594"/>
      <c r="AB24" s="1594"/>
      <c r="AC24" s="1594"/>
      <c r="AD24" s="1594"/>
      <c r="AE24" s="1595"/>
      <c r="AF24" s="1563">
        <f>unos!G4</f>
        <v>0</v>
      </c>
      <c r="AG24" s="1594"/>
      <c r="AH24" s="1594"/>
      <c r="AI24" s="1594"/>
      <c r="AJ24" s="1594"/>
      <c r="AK24" s="1594"/>
      <c r="AL24" s="1594"/>
      <c r="AM24" s="1594"/>
      <c r="AN24" s="1595"/>
      <c r="AO24" s="1184">
        <f>IF(OR(W24=0,AF24=0),0,ROUND(AF24/W24,4))</f>
        <v>0</v>
      </c>
    </row>
    <row r="25" spans="1:41">
      <c r="A25" s="1574" t="str">
        <f>unos!A5</f>
        <v>601</v>
      </c>
      <c r="B25" s="1575"/>
      <c r="C25" s="1575"/>
      <c r="D25" s="1576"/>
      <c r="E25" s="1558" t="str">
        <f>unos!B5</f>
        <v>Prihodi od prodaje robe na domaćem tržištu</v>
      </c>
      <c r="F25" s="1559"/>
      <c r="G25" s="1559"/>
      <c r="H25" s="1559"/>
      <c r="I25" s="1559"/>
      <c r="J25" s="1559"/>
      <c r="K25" s="1559"/>
      <c r="L25" s="1559"/>
      <c r="M25" s="1559"/>
      <c r="N25" s="1559"/>
      <c r="O25" s="1559"/>
      <c r="P25" s="1559"/>
      <c r="Q25" s="1559"/>
      <c r="R25" s="1559"/>
      <c r="S25" s="1559"/>
      <c r="T25" s="1559"/>
      <c r="U25" s="1559"/>
      <c r="V25" s="1559"/>
      <c r="W25" s="1563">
        <f>unos!F5</f>
        <v>0</v>
      </c>
      <c r="X25" s="1594"/>
      <c r="Y25" s="1594"/>
      <c r="Z25" s="1594"/>
      <c r="AA25" s="1594"/>
      <c r="AB25" s="1594"/>
      <c r="AC25" s="1594"/>
      <c r="AD25" s="1594"/>
      <c r="AE25" s="1595"/>
      <c r="AF25" s="1563">
        <f>unos!G5</f>
        <v>0</v>
      </c>
      <c r="AG25" s="1594"/>
      <c r="AH25" s="1594"/>
      <c r="AI25" s="1594"/>
      <c r="AJ25" s="1594"/>
      <c r="AK25" s="1594"/>
      <c r="AL25" s="1594"/>
      <c r="AM25" s="1594"/>
      <c r="AN25" s="1595"/>
      <c r="AO25" s="1184">
        <f t="shared" ref="AO25:AO39" si="0">IF(OR(W25=0,AF25=0),0,ROUND(AF25/W25,4))</f>
        <v>0</v>
      </c>
    </row>
    <row r="26" spans="1:41">
      <c r="A26" s="1574" t="str">
        <f>unos!A6</f>
        <v>602</v>
      </c>
      <c r="B26" s="1575"/>
      <c r="C26" s="1575"/>
      <c r="D26" s="1576"/>
      <c r="E26" s="1558" t="str">
        <f>unos!B6</f>
        <v>Prihodi od prodaje robe na stranom tržištu</v>
      </c>
      <c r="F26" s="1559"/>
      <c r="G26" s="1559"/>
      <c r="H26" s="1559"/>
      <c r="I26" s="1559"/>
      <c r="J26" s="1559"/>
      <c r="K26" s="1559"/>
      <c r="L26" s="1559"/>
      <c r="M26" s="1559"/>
      <c r="N26" s="1559"/>
      <c r="O26" s="1559"/>
      <c r="P26" s="1559"/>
      <c r="Q26" s="1559"/>
      <c r="R26" s="1559"/>
      <c r="S26" s="1559"/>
      <c r="T26" s="1559"/>
      <c r="U26" s="1559"/>
      <c r="V26" s="1559"/>
      <c r="W26" s="1563">
        <f>unos!F6</f>
        <v>0</v>
      </c>
      <c r="X26" s="1594"/>
      <c r="Y26" s="1594"/>
      <c r="Z26" s="1594"/>
      <c r="AA26" s="1594"/>
      <c r="AB26" s="1594"/>
      <c r="AC26" s="1594"/>
      <c r="AD26" s="1594"/>
      <c r="AE26" s="1595"/>
      <c r="AF26" s="1563">
        <f>unos!G6</f>
        <v>0</v>
      </c>
      <c r="AG26" s="1594"/>
      <c r="AH26" s="1594"/>
      <c r="AI26" s="1594"/>
      <c r="AJ26" s="1594"/>
      <c r="AK26" s="1594"/>
      <c r="AL26" s="1594"/>
      <c r="AM26" s="1594"/>
      <c r="AN26" s="1595"/>
      <c r="AO26" s="1184">
        <f t="shared" si="0"/>
        <v>0</v>
      </c>
    </row>
    <row r="27" spans="1:41">
      <c r="A27" s="1574" t="str">
        <f>unos!A7</f>
        <v>610</v>
      </c>
      <c r="B27" s="1575"/>
      <c r="C27" s="1575"/>
      <c r="D27" s="1576"/>
      <c r="E27" s="1558" t="str">
        <f>unos!B7</f>
        <v>Prihodi od prodaje učinaka povezanim pravnim  licima</v>
      </c>
      <c r="F27" s="1559"/>
      <c r="G27" s="1559"/>
      <c r="H27" s="1559"/>
      <c r="I27" s="1559"/>
      <c r="J27" s="1559"/>
      <c r="K27" s="1559"/>
      <c r="L27" s="1559"/>
      <c r="M27" s="1559"/>
      <c r="N27" s="1559"/>
      <c r="O27" s="1559"/>
      <c r="P27" s="1559"/>
      <c r="Q27" s="1559"/>
      <c r="R27" s="1559"/>
      <c r="S27" s="1559"/>
      <c r="T27" s="1559"/>
      <c r="U27" s="1559"/>
      <c r="V27" s="1559"/>
      <c r="W27" s="1563">
        <f>unos!F7</f>
        <v>0</v>
      </c>
      <c r="X27" s="1594"/>
      <c r="Y27" s="1594"/>
      <c r="Z27" s="1594"/>
      <c r="AA27" s="1594"/>
      <c r="AB27" s="1594"/>
      <c r="AC27" s="1594"/>
      <c r="AD27" s="1594"/>
      <c r="AE27" s="1595"/>
      <c r="AF27" s="1563">
        <f>unos!G7</f>
        <v>0</v>
      </c>
      <c r="AG27" s="1594"/>
      <c r="AH27" s="1594"/>
      <c r="AI27" s="1594"/>
      <c r="AJ27" s="1594"/>
      <c r="AK27" s="1594"/>
      <c r="AL27" s="1594"/>
      <c r="AM27" s="1594"/>
      <c r="AN27" s="1595"/>
      <c r="AO27" s="1184">
        <f t="shared" si="0"/>
        <v>0</v>
      </c>
    </row>
    <row r="28" spans="1:41">
      <c r="A28" s="1574" t="str">
        <f>unos!A8</f>
        <v>611</v>
      </c>
      <c r="B28" s="1575"/>
      <c r="C28" s="1575"/>
      <c r="D28" s="1576"/>
      <c r="E28" s="1558" t="str">
        <f>unos!B8</f>
        <v>Prihodi od prodaje učinaka na domaćem tržištu</v>
      </c>
      <c r="F28" s="1559"/>
      <c r="G28" s="1559"/>
      <c r="H28" s="1559"/>
      <c r="I28" s="1559"/>
      <c r="J28" s="1559"/>
      <c r="K28" s="1559"/>
      <c r="L28" s="1559"/>
      <c r="M28" s="1559"/>
      <c r="N28" s="1559"/>
      <c r="O28" s="1559"/>
      <c r="P28" s="1559"/>
      <c r="Q28" s="1559"/>
      <c r="R28" s="1559"/>
      <c r="S28" s="1559"/>
      <c r="T28" s="1559"/>
      <c r="U28" s="1559"/>
      <c r="V28" s="1559"/>
      <c r="W28" s="1613">
        <f>unos!F8</f>
        <v>0</v>
      </c>
      <c r="X28" s="1614"/>
      <c r="Y28" s="1614"/>
      <c r="Z28" s="1614"/>
      <c r="AA28" s="1614"/>
      <c r="AB28" s="1614"/>
      <c r="AC28" s="1614"/>
      <c r="AD28" s="1614"/>
      <c r="AE28" s="1615"/>
      <c r="AF28" s="1563">
        <f>unos!G8</f>
        <v>0</v>
      </c>
      <c r="AG28" s="1594"/>
      <c r="AH28" s="1594"/>
      <c r="AI28" s="1594"/>
      <c r="AJ28" s="1594"/>
      <c r="AK28" s="1594"/>
      <c r="AL28" s="1594"/>
      <c r="AM28" s="1594"/>
      <c r="AN28" s="1595"/>
      <c r="AO28" s="1184">
        <f t="shared" si="0"/>
        <v>0</v>
      </c>
    </row>
    <row r="29" spans="1:41">
      <c r="A29" s="1574" t="str">
        <f>unos!A9</f>
        <v>612</v>
      </c>
      <c r="B29" s="1575"/>
      <c r="C29" s="1575"/>
      <c r="D29" s="1576"/>
      <c r="E29" s="1558" t="str">
        <f>unos!B9</f>
        <v>Prihodi od prodaje učinaka na stranom tržištu</v>
      </c>
      <c r="F29" s="1559"/>
      <c r="G29" s="1559"/>
      <c r="H29" s="1559"/>
      <c r="I29" s="1559"/>
      <c r="J29" s="1559"/>
      <c r="K29" s="1559"/>
      <c r="L29" s="1559"/>
      <c r="M29" s="1559"/>
      <c r="N29" s="1559"/>
      <c r="O29" s="1559"/>
      <c r="P29" s="1559"/>
      <c r="Q29" s="1559"/>
      <c r="R29" s="1559"/>
      <c r="S29" s="1559"/>
      <c r="T29" s="1559"/>
      <c r="U29" s="1559"/>
      <c r="V29" s="1559"/>
      <c r="W29" s="1563">
        <f>unos!F9</f>
        <v>0</v>
      </c>
      <c r="X29" s="1594"/>
      <c r="Y29" s="1594"/>
      <c r="Z29" s="1594"/>
      <c r="AA29" s="1594"/>
      <c r="AB29" s="1594"/>
      <c r="AC29" s="1594"/>
      <c r="AD29" s="1594"/>
      <c r="AE29" s="1595"/>
      <c r="AF29" s="1563">
        <f>unos!G9</f>
        <v>0</v>
      </c>
      <c r="AG29" s="1594"/>
      <c r="AH29" s="1594"/>
      <c r="AI29" s="1594"/>
      <c r="AJ29" s="1594"/>
      <c r="AK29" s="1594"/>
      <c r="AL29" s="1594"/>
      <c r="AM29" s="1594"/>
      <c r="AN29" s="1595"/>
      <c r="AO29" s="1184">
        <f t="shared" si="0"/>
        <v>0</v>
      </c>
    </row>
    <row r="30" spans="1:41">
      <c r="A30" s="1574" t="str">
        <f>unos!A10</f>
        <v>620</v>
      </c>
      <c r="B30" s="1575"/>
      <c r="C30" s="1575"/>
      <c r="D30" s="1576"/>
      <c r="E30" s="1558" t="str">
        <f>unos!B10</f>
        <v>Prihodi od aktiviranja ili potrošnje robe</v>
      </c>
      <c r="F30" s="1559"/>
      <c r="G30" s="1559"/>
      <c r="H30" s="1559"/>
      <c r="I30" s="1559"/>
      <c r="J30" s="1559"/>
      <c r="K30" s="1559"/>
      <c r="L30" s="1559"/>
      <c r="M30" s="1559"/>
      <c r="N30" s="1559"/>
      <c r="O30" s="1559"/>
      <c r="P30" s="1559"/>
      <c r="Q30" s="1559"/>
      <c r="R30" s="1559"/>
      <c r="S30" s="1559"/>
      <c r="T30" s="1559"/>
      <c r="U30" s="1559"/>
      <c r="V30" s="1559"/>
      <c r="W30" s="1563">
        <f>unos!F10</f>
        <v>0</v>
      </c>
      <c r="X30" s="1594"/>
      <c r="Y30" s="1594"/>
      <c r="Z30" s="1594"/>
      <c r="AA30" s="1594"/>
      <c r="AB30" s="1594"/>
      <c r="AC30" s="1594"/>
      <c r="AD30" s="1594"/>
      <c r="AE30" s="1595"/>
      <c r="AF30" s="1563">
        <f>unos!G10</f>
        <v>0</v>
      </c>
      <c r="AG30" s="1594"/>
      <c r="AH30" s="1594"/>
      <c r="AI30" s="1594"/>
      <c r="AJ30" s="1594"/>
      <c r="AK30" s="1594"/>
      <c r="AL30" s="1594"/>
      <c r="AM30" s="1594"/>
      <c r="AN30" s="1595"/>
      <c r="AO30" s="1184">
        <f t="shared" si="0"/>
        <v>0</v>
      </c>
    </row>
    <row r="31" spans="1:41">
      <c r="A31" s="1574" t="str">
        <f>unos!A11</f>
        <v>621</v>
      </c>
      <c r="B31" s="1575"/>
      <c r="C31" s="1575"/>
      <c r="D31" s="1576"/>
      <c r="E31" s="1558" t="str">
        <f>unos!B11</f>
        <v>Prihodi od aktiviranja ili potrošnje učinaka</v>
      </c>
      <c r="F31" s="1559"/>
      <c r="G31" s="1559"/>
      <c r="H31" s="1559"/>
      <c r="I31" s="1559"/>
      <c r="J31" s="1559"/>
      <c r="K31" s="1559"/>
      <c r="L31" s="1559"/>
      <c r="M31" s="1559"/>
      <c r="N31" s="1559"/>
      <c r="O31" s="1559"/>
      <c r="P31" s="1559"/>
      <c r="Q31" s="1559"/>
      <c r="R31" s="1559"/>
      <c r="S31" s="1559"/>
      <c r="T31" s="1559"/>
      <c r="U31" s="1559"/>
      <c r="V31" s="1559"/>
      <c r="W31" s="1563">
        <f>unos!F11</f>
        <v>0</v>
      </c>
      <c r="X31" s="1594"/>
      <c r="Y31" s="1594"/>
      <c r="Z31" s="1594"/>
      <c r="AA31" s="1594"/>
      <c r="AB31" s="1594"/>
      <c r="AC31" s="1594"/>
      <c r="AD31" s="1594"/>
      <c r="AE31" s="1595"/>
      <c r="AF31" s="1563">
        <f>unos!G11</f>
        <v>0</v>
      </c>
      <c r="AG31" s="1594"/>
      <c r="AH31" s="1594"/>
      <c r="AI31" s="1594"/>
      <c r="AJ31" s="1594"/>
      <c r="AK31" s="1594"/>
      <c r="AL31" s="1594"/>
      <c r="AM31" s="1594"/>
      <c r="AN31" s="1595"/>
      <c r="AO31" s="1184">
        <f t="shared" si="0"/>
        <v>0</v>
      </c>
    </row>
    <row r="32" spans="1:41">
      <c r="A32" s="1574" t="str">
        <f>unos!A18</f>
        <v>650</v>
      </c>
      <c r="B32" s="1575"/>
      <c r="C32" s="1575"/>
      <c r="D32" s="1576"/>
      <c r="E32" s="1558" t="str">
        <f>unos!B18</f>
        <v>Prihodi od premija, subvencija, poticaja i sl.</v>
      </c>
      <c r="F32" s="1559"/>
      <c r="G32" s="1559"/>
      <c r="H32" s="1559"/>
      <c r="I32" s="1559"/>
      <c r="J32" s="1559"/>
      <c r="K32" s="1559"/>
      <c r="L32" s="1559"/>
      <c r="M32" s="1559"/>
      <c r="N32" s="1559"/>
      <c r="O32" s="1559"/>
      <c r="P32" s="1559"/>
      <c r="Q32" s="1559"/>
      <c r="R32" s="1559"/>
      <c r="S32" s="1559"/>
      <c r="T32" s="1559"/>
      <c r="U32" s="1559"/>
      <c r="V32" s="1559"/>
      <c r="W32" s="1563">
        <f>unos!F18</f>
        <v>0</v>
      </c>
      <c r="X32" s="1594"/>
      <c r="Y32" s="1594"/>
      <c r="Z32" s="1594"/>
      <c r="AA32" s="1594"/>
      <c r="AB32" s="1594"/>
      <c r="AC32" s="1594"/>
      <c r="AD32" s="1594"/>
      <c r="AE32" s="1595"/>
      <c r="AF32" s="1563">
        <f>unos!G18</f>
        <v>0</v>
      </c>
      <c r="AG32" s="1594"/>
      <c r="AH32" s="1594"/>
      <c r="AI32" s="1594"/>
      <c r="AJ32" s="1594"/>
      <c r="AK32" s="1594"/>
      <c r="AL32" s="1594"/>
      <c r="AM32" s="1594"/>
      <c r="AN32" s="1595"/>
      <c r="AO32" s="1184">
        <f t="shared" si="0"/>
        <v>0</v>
      </c>
    </row>
    <row r="33" spans="1:41">
      <c r="A33" s="1574" t="str">
        <f>unos!A19</f>
        <v>651</v>
      </c>
      <c r="B33" s="1575"/>
      <c r="C33" s="1575"/>
      <c r="D33" s="1576"/>
      <c r="E33" s="1558" t="str">
        <f>unos!B19</f>
        <v>Prihodi od zakupa  (operativni najam)</v>
      </c>
      <c r="F33" s="1559"/>
      <c r="G33" s="1559"/>
      <c r="H33" s="1559"/>
      <c r="I33" s="1559"/>
      <c r="J33" s="1559"/>
      <c r="K33" s="1559"/>
      <c r="L33" s="1559"/>
      <c r="M33" s="1559"/>
      <c r="N33" s="1559"/>
      <c r="O33" s="1559"/>
      <c r="P33" s="1559"/>
      <c r="Q33" s="1559"/>
      <c r="R33" s="1559"/>
      <c r="S33" s="1559"/>
      <c r="T33" s="1559"/>
      <c r="U33" s="1559"/>
      <c r="V33" s="1559"/>
      <c r="W33" s="1563">
        <f>unos!F19</f>
        <v>0</v>
      </c>
      <c r="X33" s="1594"/>
      <c r="Y33" s="1594"/>
      <c r="Z33" s="1594"/>
      <c r="AA33" s="1594"/>
      <c r="AB33" s="1594"/>
      <c r="AC33" s="1594"/>
      <c r="AD33" s="1594"/>
      <c r="AE33" s="1595"/>
      <c r="AF33" s="1563">
        <f>unos!G19</f>
        <v>0</v>
      </c>
      <c r="AG33" s="1594"/>
      <c r="AH33" s="1594"/>
      <c r="AI33" s="1594"/>
      <c r="AJ33" s="1594"/>
      <c r="AK33" s="1594"/>
      <c r="AL33" s="1594"/>
      <c r="AM33" s="1594"/>
      <c r="AN33" s="1595"/>
      <c r="AO33" s="1184">
        <f t="shared" si="0"/>
        <v>0</v>
      </c>
    </row>
    <row r="34" spans="1:41" ht="12.75" customHeight="1">
      <c r="A34" s="1574" t="str">
        <f>unos!A20</f>
        <v>652</v>
      </c>
      <c r="B34" s="1575"/>
      <c r="C34" s="1575"/>
      <c r="D34" s="1576"/>
      <c r="E34" s="1558" t="str">
        <f>unos!B20</f>
        <v>Prihodi od donacija</v>
      </c>
      <c r="F34" s="1559"/>
      <c r="G34" s="1559"/>
      <c r="H34" s="1559"/>
      <c r="I34" s="1559"/>
      <c r="J34" s="1559"/>
      <c r="K34" s="1559"/>
      <c r="L34" s="1559"/>
      <c r="M34" s="1559"/>
      <c r="N34" s="1559"/>
      <c r="O34" s="1559"/>
      <c r="P34" s="1559"/>
      <c r="Q34" s="1559"/>
      <c r="R34" s="1559"/>
      <c r="S34" s="1559"/>
      <c r="T34" s="1559"/>
      <c r="U34" s="1559"/>
      <c r="V34" s="1559"/>
      <c r="W34" s="1563">
        <f>unos!F20</f>
        <v>0</v>
      </c>
      <c r="X34" s="1594"/>
      <c r="Y34" s="1594"/>
      <c r="Z34" s="1594"/>
      <c r="AA34" s="1594"/>
      <c r="AB34" s="1594"/>
      <c r="AC34" s="1594"/>
      <c r="AD34" s="1594"/>
      <c r="AE34" s="1595"/>
      <c r="AF34" s="1563">
        <f>unos!G20</f>
        <v>0</v>
      </c>
      <c r="AG34" s="1594"/>
      <c r="AH34" s="1594"/>
      <c r="AI34" s="1594"/>
      <c r="AJ34" s="1594"/>
      <c r="AK34" s="1594"/>
      <c r="AL34" s="1594"/>
      <c r="AM34" s="1594"/>
      <c r="AN34" s="1595"/>
      <c r="AO34" s="1184">
        <f t="shared" si="0"/>
        <v>0</v>
      </c>
    </row>
    <row r="35" spans="1:41">
      <c r="A35" s="1574" t="str">
        <f>unos!A21</f>
        <v>653</v>
      </c>
      <c r="B35" s="1575"/>
      <c r="C35" s="1575"/>
      <c r="D35" s="1576"/>
      <c r="E35" s="1558" t="str">
        <f>unos!B21</f>
        <v>Prihodi od članarina</v>
      </c>
      <c r="F35" s="1559"/>
      <c r="G35" s="1559"/>
      <c r="H35" s="1559"/>
      <c r="I35" s="1559"/>
      <c r="J35" s="1559"/>
      <c r="K35" s="1559"/>
      <c r="L35" s="1559"/>
      <c r="M35" s="1559"/>
      <c r="N35" s="1559"/>
      <c r="O35" s="1559"/>
      <c r="P35" s="1559"/>
      <c r="Q35" s="1559"/>
      <c r="R35" s="1559"/>
      <c r="S35" s="1559"/>
      <c r="T35" s="1559"/>
      <c r="U35" s="1559"/>
      <c r="V35" s="1559"/>
      <c r="W35" s="1563">
        <f>unos!F21</f>
        <v>0</v>
      </c>
      <c r="X35" s="1594"/>
      <c r="Y35" s="1594"/>
      <c r="Z35" s="1594"/>
      <c r="AA35" s="1594"/>
      <c r="AB35" s="1594"/>
      <c r="AC35" s="1594"/>
      <c r="AD35" s="1594"/>
      <c r="AE35" s="1595"/>
      <c r="AF35" s="1563">
        <f>unos!G21</f>
        <v>0</v>
      </c>
      <c r="AG35" s="1594"/>
      <c r="AH35" s="1594"/>
      <c r="AI35" s="1594"/>
      <c r="AJ35" s="1594"/>
      <c r="AK35" s="1594"/>
      <c r="AL35" s="1594"/>
      <c r="AM35" s="1594"/>
      <c r="AN35" s="1595"/>
      <c r="AO35" s="1184">
        <f t="shared" si="0"/>
        <v>0</v>
      </c>
    </row>
    <row r="36" spans="1:41">
      <c r="A36" s="1574" t="str">
        <f>unos!A22</f>
        <v>654</v>
      </c>
      <c r="B36" s="1575"/>
      <c r="C36" s="1575"/>
      <c r="D36" s="1576"/>
      <c r="E36" s="1558" t="str">
        <f>unos!B22</f>
        <v>Prihodi od tantijema i licencnih prava</v>
      </c>
      <c r="F36" s="1559"/>
      <c r="G36" s="1559"/>
      <c r="H36" s="1559"/>
      <c r="I36" s="1559"/>
      <c r="J36" s="1559"/>
      <c r="K36" s="1559"/>
      <c r="L36" s="1559"/>
      <c r="M36" s="1559"/>
      <c r="N36" s="1559"/>
      <c r="O36" s="1559"/>
      <c r="P36" s="1559"/>
      <c r="Q36" s="1559"/>
      <c r="R36" s="1559"/>
      <c r="S36" s="1559"/>
      <c r="T36" s="1559"/>
      <c r="U36" s="1559"/>
      <c r="V36" s="1559"/>
      <c r="W36" s="1563">
        <f>unos!F22</f>
        <v>0</v>
      </c>
      <c r="X36" s="1594"/>
      <c r="Y36" s="1594"/>
      <c r="Z36" s="1594"/>
      <c r="AA36" s="1594"/>
      <c r="AB36" s="1594"/>
      <c r="AC36" s="1594"/>
      <c r="AD36" s="1594"/>
      <c r="AE36" s="1595"/>
      <c r="AF36" s="1563">
        <f>unos!G22</f>
        <v>0</v>
      </c>
      <c r="AG36" s="1594"/>
      <c r="AH36" s="1594"/>
      <c r="AI36" s="1594"/>
      <c r="AJ36" s="1594"/>
      <c r="AK36" s="1594"/>
      <c r="AL36" s="1594"/>
      <c r="AM36" s="1594"/>
      <c r="AN36" s="1595"/>
      <c r="AO36" s="1184">
        <f t="shared" si="0"/>
        <v>0</v>
      </c>
    </row>
    <row r="37" spans="1:41">
      <c r="A37" s="1574" t="str">
        <f>unos!A23</f>
        <v>655</v>
      </c>
      <c r="B37" s="1575"/>
      <c r="C37" s="1575"/>
      <c r="D37" s="1576"/>
      <c r="E37" s="1558" t="str">
        <f>unos!B23</f>
        <v>Prihodi iz namjenskih izvora finansiranja</v>
      </c>
      <c r="F37" s="1559"/>
      <c r="G37" s="1559"/>
      <c r="H37" s="1559"/>
      <c r="I37" s="1559"/>
      <c r="J37" s="1559"/>
      <c r="K37" s="1559"/>
      <c r="L37" s="1559"/>
      <c r="M37" s="1559"/>
      <c r="N37" s="1559"/>
      <c r="O37" s="1559"/>
      <c r="P37" s="1559"/>
      <c r="Q37" s="1559"/>
      <c r="R37" s="1559"/>
      <c r="S37" s="1559"/>
      <c r="T37" s="1559"/>
      <c r="U37" s="1559"/>
      <c r="V37" s="1559"/>
      <c r="W37" s="1563">
        <f>unos!F23</f>
        <v>0</v>
      </c>
      <c r="X37" s="1594"/>
      <c r="Y37" s="1594"/>
      <c r="Z37" s="1594"/>
      <c r="AA37" s="1594"/>
      <c r="AB37" s="1594"/>
      <c r="AC37" s="1594"/>
      <c r="AD37" s="1594"/>
      <c r="AE37" s="1595"/>
      <c r="AF37" s="1563">
        <f>unos!G23</f>
        <v>0</v>
      </c>
      <c r="AG37" s="1594"/>
      <c r="AH37" s="1594"/>
      <c r="AI37" s="1594"/>
      <c r="AJ37" s="1594"/>
      <c r="AK37" s="1594"/>
      <c r="AL37" s="1594"/>
      <c r="AM37" s="1594"/>
      <c r="AN37" s="1595"/>
      <c r="AO37" s="1184">
        <f t="shared" si="0"/>
        <v>0</v>
      </c>
    </row>
    <row r="38" spans="1:41">
      <c r="A38" s="1574" t="str">
        <f>unos!A24</f>
        <v>659</v>
      </c>
      <c r="B38" s="1575"/>
      <c r="C38" s="1575"/>
      <c r="D38" s="1576"/>
      <c r="E38" s="1558" t="str">
        <f>unos!B24</f>
        <v>Ostali prihodi po drugim osnovama</v>
      </c>
      <c r="F38" s="1559"/>
      <c r="G38" s="1559"/>
      <c r="H38" s="1559"/>
      <c r="I38" s="1559"/>
      <c r="J38" s="1559"/>
      <c r="K38" s="1559"/>
      <c r="L38" s="1559"/>
      <c r="M38" s="1559"/>
      <c r="N38" s="1559"/>
      <c r="O38" s="1559"/>
      <c r="P38" s="1559"/>
      <c r="Q38" s="1559"/>
      <c r="R38" s="1559"/>
      <c r="S38" s="1559"/>
      <c r="T38" s="1559"/>
      <c r="U38" s="1559"/>
      <c r="V38" s="1559"/>
      <c r="W38" s="1563">
        <f>unos!F24</f>
        <v>0</v>
      </c>
      <c r="X38" s="1594"/>
      <c r="Y38" s="1594"/>
      <c r="Z38" s="1594"/>
      <c r="AA38" s="1594"/>
      <c r="AB38" s="1594"/>
      <c r="AC38" s="1594"/>
      <c r="AD38" s="1594"/>
      <c r="AE38" s="1595"/>
      <c r="AF38" s="1563">
        <f>unos!G24</f>
        <v>0</v>
      </c>
      <c r="AG38" s="1594"/>
      <c r="AH38" s="1594"/>
      <c r="AI38" s="1594"/>
      <c r="AJ38" s="1594"/>
      <c r="AK38" s="1594"/>
      <c r="AL38" s="1594"/>
      <c r="AM38" s="1594"/>
      <c r="AN38" s="1595"/>
      <c r="AO38" s="1184">
        <f t="shared" si="0"/>
        <v>0</v>
      </c>
    </row>
    <row r="39" spans="1:41">
      <c r="A39" s="1616"/>
      <c r="B39" s="1577"/>
      <c r="C39" s="1577"/>
      <c r="D39" s="1577"/>
      <c r="F39" s="1164"/>
      <c r="G39" s="1164"/>
      <c r="H39" s="1164"/>
      <c r="I39" s="1164"/>
      <c r="J39" s="1164"/>
      <c r="K39" s="1164"/>
      <c r="L39" s="1164"/>
      <c r="M39" s="1164"/>
      <c r="N39" s="1164"/>
      <c r="O39" s="1164"/>
      <c r="P39" s="1164"/>
      <c r="Q39" s="1164"/>
      <c r="R39" s="1164"/>
      <c r="V39" s="1165" t="s">
        <v>1997</v>
      </c>
      <c r="W39" s="1617">
        <f>SUM(W24:W38)</f>
        <v>0</v>
      </c>
      <c r="X39" s="1618"/>
      <c r="Y39" s="1618"/>
      <c r="Z39" s="1618"/>
      <c r="AA39" s="1618"/>
      <c r="AB39" s="1618"/>
      <c r="AC39" s="1618"/>
      <c r="AD39" s="1618"/>
      <c r="AE39" s="1619"/>
      <c r="AF39" s="1617">
        <f>SUM(AF24:AF38)</f>
        <v>0</v>
      </c>
      <c r="AG39" s="1618"/>
      <c r="AH39" s="1618"/>
      <c r="AI39" s="1618"/>
      <c r="AJ39" s="1618"/>
      <c r="AK39" s="1618"/>
      <c r="AL39" s="1618"/>
      <c r="AM39" s="1618"/>
      <c r="AN39" s="1619"/>
      <c r="AO39" s="1185">
        <f t="shared" si="0"/>
        <v>0</v>
      </c>
    </row>
    <row r="41" spans="1:41">
      <c r="A41" s="1581"/>
      <c r="B41" s="1581"/>
      <c r="C41" s="1581"/>
      <c r="D41" s="1581"/>
      <c r="E41" s="1581"/>
      <c r="F41" s="1581"/>
      <c r="G41" s="1581"/>
      <c r="H41" s="1581"/>
      <c r="I41" s="1581"/>
      <c r="J41" s="1581"/>
      <c r="K41" s="1581"/>
      <c r="L41" s="1581"/>
      <c r="M41" s="1581"/>
      <c r="N41" s="1581"/>
      <c r="O41" s="1581"/>
      <c r="P41" s="1581"/>
      <c r="Q41" s="1581"/>
      <c r="R41" s="1581"/>
      <c r="S41" s="1581"/>
      <c r="T41" s="1581"/>
      <c r="U41" s="1581"/>
      <c r="V41" s="1581"/>
      <c r="W41" s="1581"/>
      <c r="X41" s="1581"/>
      <c r="Y41" s="1581"/>
      <c r="Z41" s="1581"/>
      <c r="AA41" s="1581"/>
      <c r="AB41" s="1581"/>
      <c r="AC41" s="1581"/>
      <c r="AD41" s="1581"/>
      <c r="AE41" s="1581"/>
      <c r="AF41" s="1581"/>
      <c r="AG41" s="1581"/>
      <c r="AH41" s="1581"/>
      <c r="AI41" s="1581"/>
      <c r="AJ41" s="1581"/>
      <c r="AK41" s="1581"/>
      <c r="AL41" s="1581"/>
      <c r="AM41" s="1581"/>
      <c r="AN41" s="1581"/>
    </row>
    <row r="42" spans="1:41">
      <c r="A42" s="1581"/>
      <c r="B42" s="1581"/>
      <c r="C42" s="1581"/>
      <c r="D42" s="1581"/>
      <c r="E42" s="1581"/>
      <c r="F42" s="1581"/>
      <c r="G42" s="1581"/>
      <c r="H42" s="1581"/>
      <c r="I42" s="1581"/>
      <c r="J42" s="1581"/>
      <c r="K42" s="1581"/>
      <c r="L42" s="1581"/>
      <c r="M42" s="1581"/>
      <c r="N42" s="1581"/>
      <c r="O42" s="1581"/>
      <c r="P42" s="1581"/>
      <c r="Q42" s="1581"/>
      <c r="R42" s="1581"/>
      <c r="S42" s="1581"/>
      <c r="T42" s="1581"/>
      <c r="U42" s="1581"/>
      <c r="V42" s="1581"/>
      <c r="W42" s="1581"/>
      <c r="X42" s="1581"/>
      <c r="Y42" s="1581"/>
      <c r="Z42" s="1581"/>
      <c r="AA42" s="1581"/>
      <c r="AB42" s="1581"/>
      <c r="AC42" s="1581"/>
      <c r="AD42" s="1581"/>
      <c r="AE42" s="1581"/>
      <c r="AF42" s="1581"/>
      <c r="AG42" s="1581"/>
      <c r="AH42" s="1581"/>
      <c r="AI42" s="1581"/>
      <c r="AJ42" s="1581"/>
      <c r="AK42" s="1581"/>
      <c r="AL42" s="1581"/>
      <c r="AM42" s="1581"/>
      <c r="AN42" s="1581"/>
    </row>
    <row r="43" spans="1:41">
      <c r="A43" s="1581"/>
      <c r="B43" s="1581"/>
      <c r="C43" s="1581"/>
      <c r="D43" s="1581"/>
      <c r="E43" s="1581"/>
      <c r="F43" s="1581"/>
      <c r="G43" s="1581"/>
      <c r="H43" s="1581"/>
      <c r="I43" s="1581"/>
      <c r="J43" s="1581"/>
      <c r="K43" s="1581"/>
      <c r="L43" s="1581"/>
      <c r="M43" s="1581"/>
      <c r="N43" s="1581"/>
      <c r="O43" s="1581"/>
      <c r="P43" s="1581"/>
      <c r="Q43" s="1581"/>
      <c r="R43" s="1581"/>
      <c r="S43" s="1581"/>
      <c r="T43" s="1581"/>
      <c r="U43" s="1581"/>
      <c r="V43" s="1581"/>
      <c r="W43" s="1581"/>
      <c r="X43" s="1581"/>
      <c r="Y43" s="1581"/>
      <c r="Z43" s="1581"/>
      <c r="AA43" s="1581"/>
      <c r="AB43" s="1581"/>
      <c r="AC43" s="1581"/>
      <c r="AD43" s="1581"/>
      <c r="AE43" s="1581"/>
      <c r="AF43" s="1581"/>
      <c r="AG43" s="1581"/>
      <c r="AH43" s="1581"/>
      <c r="AI43" s="1581"/>
      <c r="AJ43" s="1581"/>
      <c r="AK43" s="1581"/>
      <c r="AL43" s="1581"/>
      <c r="AM43" s="1581"/>
      <c r="AN43" s="1581"/>
    </row>
    <row r="44" spans="1:41">
      <c r="A44" s="1581"/>
      <c r="B44" s="1581"/>
      <c r="C44" s="1581"/>
      <c r="D44" s="1581"/>
      <c r="E44" s="1581"/>
      <c r="F44" s="1581"/>
      <c r="G44" s="1581"/>
      <c r="H44" s="1581"/>
      <c r="I44" s="1581"/>
      <c r="J44" s="1581"/>
      <c r="K44" s="1581"/>
      <c r="L44" s="1581"/>
      <c r="M44" s="1581"/>
      <c r="N44" s="1581"/>
      <c r="O44" s="1581"/>
      <c r="P44" s="1581"/>
      <c r="Q44" s="1581"/>
      <c r="R44" s="1581"/>
      <c r="S44" s="1581"/>
      <c r="T44" s="1581"/>
      <c r="U44" s="1581"/>
      <c r="V44" s="1581"/>
      <c r="W44" s="1581"/>
      <c r="X44" s="1581"/>
      <c r="Y44" s="1581"/>
      <c r="Z44" s="1581"/>
      <c r="AA44" s="1581"/>
      <c r="AB44" s="1581"/>
      <c r="AC44" s="1581"/>
      <c r="AD44" s="1581"/>
      <c r="AE44" s="1581"/>
      <c r="AF44" s="1581"/>
      <c r="AG44" s="1581"/>
      <c r="AH44" s="1581"/>
      <c r="AI44" s="1581"/>
      <c r="AJ44" s="1581"/>
      <c r="AK44" s="1581"/>
      <c r="AL44" s="1581"/>
      <c r="AM44" s="1581"/>
      <c r="AN44" s="1581"/>
    </row>
    <row r="45" spans="1:41">
      <c r="A45" s="1581"/>
      <c r="B45" s="1581"/>
      <c r="C45" s="1581"/>
      <c r="D45" s="1581"/>
      <c r="E45" s="1581"/>
      <c r="F45" s="1581"/>
      <c r="G45" s="1581"/>
      <c r="H45" s="1581"/>
      <c r="I45" s="1581"/>
      <c r="J45" s="1581"/>
      <c r="K45" s="1581"/>
      <c r="L45" s="1581"/>
      <c r="M45" s="1581"/>
      <c r="N45" s="1581"/>
      <c r="O45" s="1581"/>
      <c r="P45" s="1581"/>
      <c r="Q45" s="1581"/>
      <c r="R45" s="1581"/>
      <c r="S45" s="1581"/>
      <c r="T45" s="1581"/>
      <c r="U45" s="1581"/>
      <c r="V45" s="1581"/>
      <c r="W45" s="1581"/>
      <c r="X45" s="1581"/>
      <c r="Y45" s="1581"/>
      <c r="Z45" s="1581"/>
      <c r="AA45" s="1581"/>
      <c r="AB45" s="1581"/>
      <c r="AC45" s="1581"/>
      <c r="AD45" s="1581"/>
      <c r="AE45" s="1581"/>
      <c r="AF45" s="1581"/>
      <c r="AG45" s="1581"/>
      <c r="AH45" s="1581"/>
      <c r="AI45" s="1581"/>
      <c r="AJ45" s="1581"/>
      <c r="AK45" s="1581"/>
      <c r="AL45" s="1581"/>
      <c r="AM45" s="1581"/>
      <c r="AN45" s="1581"/>
    </row>
    <row r="46" spans="1:41">
      <c r="A46" s="1581"/>
      <c r="B46" s="1581"/>
      <c r="C46" s="1581"/>
      <c r="D46" s="1581"/>
      <c r="E46" s="1581"/>
      <c r="F46" s="1581"/>
      <c r="G46" s="1581"/>
      <c r="H46" s="1581"/>
      <c r="I46" s="1581"/>
      <c r="J46" s="1581"/>
      <c r="K46" s="1581"/>
      <c r="L46" s="1581"/>
      <c r="M46" s="1581"/>
      <c r="N46" s="1581"/>
      <c r="O46" s="1581"/>
      <c r="P46" s="1581"/>
      <c r="Q46" s="1581"/>
      <c r="R46" s="1581"/>
      <c r="S46" s="1581"/>
      <c r="T46" s="1581"/>
      <c r="U46" s="1581"/>
      <c r="V46" s="1581"/>
      <c r="W46" s="1581"/>
      <c r="X46" s="1581"/>
      <c r="Y46" s="1581"/>
      <c r="Z46" s="1581"/>
      <c r="AA46" s="1581"/>
      <c r="AB46" s="1581"/>
      <c r="AC46" s="1581"/>
      <c r="AD46" s="1581"/>
      <c r="AE46" s="1581"/>
      <c r="AF46" s="1581"/>
      <c r="AG46" s="1581"/>
      <c r="AH46" s="1581"/>
      <c r="AI46" s="1581"/>
      <c r="AJ46" s="1581"/>
      <c r="AK46" s="1581"/>
      <c r="AL46" s="1581"/>
      <c r="AM46" s="1581"/>
      <c r="AN46" s="1581"/>
    </row>
    <row r="48" spans="1:41">
      <c r="A48" s="1160" t="s">
        <v>674</v>
      </c>
      <c r="B48" s="1160" t="s">
        <v>1998</v>
      </c>
    </row>
    <row r="50" spans="1:41">
      <c r="A50" s="828" t="s">
        <v>1933</v>
      </c>
      <c r="B50" s="828" t="s">
        <v>1999</v>
      </c>
    </row>
    <row r="52" spans="1:41">
      <c r="A52" s="828" t="s">
        <v>1933</v>
      </c>
      <c r="B52" s="828" t="s">
        <v>2000</v>
      </c>
    </row>
    <row r="53" spans="1:41">
      <c r="W53" s="1610" t="s">
        <v>1995</v>
      </c>
      <c r="X53" s="1611"/>
      <c r="Y53" s="1611"/>
      <c r="Z53" s="1611"/>
      <c r="AA53" s="1611"/>
      <c r="AB53" s="1611"/>
      <c r="AC53" s="1611"/>
      <c r="AD53" s="1611"/>
      <c r="AE53" s="1611"/>
      <c r="AF53" s="1611"/>
      <c r="AG53" s="1611"/>
      <c r="AH53" s="1611"/>
      <c r="AI53" s="1611"/>
      <c r="AJ53" s="1611"/>
      <c r="AK53" s="1611"/>
      <c r="AL53" s="1611"/>
      <c r="AM53" s="1611"/>
      <c r="AN53" s="1612"/>
    </row>
    <row r="54" spans="1:41">
      <c r="A54" s="1582" t="s">
        <v>1996</v>
      </c>
      <c r="B54" s="1583"/>
      <c r="C54" s="1583"/>
      <c r="D54" s="1584"/>
      <c r="E54" s="1567" t="s">
        <v>796</v>
      </c>
      <c r="F54" s="1567"/>
      <c r="G54" s="1567"/>
      <c r="H54" s="1567"/>
      <c r="I54" s="1567"/>
      <c r="J54" s="1567"/>
      <c r="K54" s="1567"/>
      <c r="L54" s="1567"/>
      <c r="M54" s="1567"/>
      <c r="N54" s="1567"/>
      <c r="O54" s="1567"/>
      <c r="P54" s="1567"/>
      <c r="Q54" s="1567"/>
      <c r="R54" s="1567"/>
      <c r="S54" s="1567"/>
      <c r="T54" s="1567"/>
      <c r="U54" s="1567"/>
      <c r="V54" s="1567"/>
      <c r="W54" s="1568" t="s">
        <v>1039</v>
      </c>
      <c r="X54" s="1569"/>
      <c r="Y54" s="1569"/>
      <c r="Z54" s="1569"/>
      <c r="AA54" s="1569"/>
      <c r="AB54" s="1569"/>
      <c r="AC54" s="1569"/>
      <c r="AD54" s="1569"/>
      <c r="AE54" s="1570"/>
      <c r="AF54" s="1571" t="s">
        <v>278</v>
      </c>
      <c r="AG54" s="1572"/>
      <c r="AH54" s="1572"/>
      <c r="AI54" s="1572"/>
      <c r="AJ54" s="1572"/>
      <c r="AK54" s="1572"/>
      <c r="AL54" s="1572"/>
      <c r="AM54" s="1572"/>
      <c r="AN54" s="1573"/>
      <c r="AO54" s="1187" t="s">
        <v>2766</v>
      </c>
    </row>
    <row r="55" spans="1:41">
      <c r="A55" s="1574" t="str">
        <f>unos!A56</f>
        <v>500</v>
      </c>
      <c r="B55" s="1575"/>
      <c r="C55" s="1575"/>
      <c r="D55" s="1576"/>
      <c r="E55" s="1558" t="str">
        <f>unos!B56</f>
        <v>Nabavka robe</v>
      </c>
      <c r="F55" s="1559"/>
      <c r="G55" s="1559"/>
      <c r="H55" s="1559"/>
      <c r="I55" s="1559"/>
      <c r="J55" s="1559"/>
      <c r="K55" s="1559"/>
      <c r="L55" s="1559"/>
      <c r="M55" s="1559"/>
      <c r="N55" s="1559"/>
      <c r="O55" s="1559"/>
      <c r="P55" s="1559"/>
      <c r="Q55" s="1559"/>
      <c r="R55" s="1559"/>
      <c r="S55" s="1559"/>
      <c r="T55" s="1559"/>
      <c r="U55" s="1559"/>
      <c r="V55" s="1559"/>
      <c r="W55" s="1563">
        <f>unos!F56</f>
        <v>0</v>
      </c>
      <c r="X55" s="1594"/>
      <c r="Y55" s="1594"/>
      <c r="Z55" s="1594"/>
      <c r="AA55" s="1594"/>
      <c r="AB55" s="1594"/>
      <c r="AC55" s="1594"/>
      <c r="AD55" s="1594"/>
      <c r="AE55" s="1595"/>
      <c r="AF55" s="1563">
        <f>unos!G56</f>
        <v>0</v>
      </c>
      <c r="AG55" s="1594"/>
      <c r="AH55" s="1594"/>
      <c r="AI55" s="1594"/>
      <c r="AJ55" s="1594"/>
      <c r="AK55" s="1594"/>
      <c r="AL55" s="1594"/>
      <c r="AM55" s="1594"/>
      <c r="AN55" s="1595"/>
      <c r="AO55" s="1184">
        <f>IF(OR(W55=0,AF55=0),0,ROUND(AF55/W55,4))</f>
        <v>0</v>
      </c>
    </row>
    <row r="56" spans="1:41">
      <c r="A56" s="1574" t="str">
        <f>unos!A57</f>
        <v>501</v>
      </c>
      <c r="B56" s="1575"/>
      <c r="C56" s="1575"/>
      <c r="D56" s="1576"/>
      <c r="E56" s="1558" t="str">
        <f>unos!B57</f>
        <v>Nabavna vrijednost prodate robe</v>
      </c>
      <c r="F56" s="1559"/>
      <c r="G56" s="1559"/>
      <c r="H56" s="1559"/>
      <c r="I56" s="1559"/>
      <c r="J56" s="1559"/>
      <c r="K56" s="1559"/>
      <c r="L56" s="1559"/>
      <c r="M56" s="1559"/>
      <c r="N56" s="1559"/>
      <c r="O56" s="1559"/>
      <c r="P56" s="1559"/>
      <c r="Q56" s="1559"/>
      <c r="R56" s="1559"/>
      <c r="S56" s="1559"/>
      <c r="T56" s="1559"/>
      <c r="U56" s="1559"/>
      <c r="V56" s="1559"/>
      <c r="W56" s="1563">
        <f>unos!F57</f>
        <v>0</v>
      </c>
      <c r="X56" s="1594"/>
      <c r="Y56" s="1594"/>
      <c r="Z56" s="1594"/>
      <c r="AA56" s="1594"/>
      <c r="AB56" s="1594"/>
      <c r="AC56" s="1594"/>
      <c r="AD56" s="1594"/>
      <c r="AE56" s="1595"/>
      <c r="AF56" s="1563">
        <f>unos!G57</f>
        <v>0</v>
      </c>
      <c r="AG56" s="1594"/>
      <c r="AH56" s="1594"/>
      <c r="AI56" s="1594"/>
      <c r="AJ56" s="1594"/>
      <c r="AK56" s="1594"/>
      <c r="AL56" s="1594"/>
      <c r="AM56" s="1594"/>
      <c r="AN56" s="1595"/>
      <c r="AO56" s="1184">
        <f t="shared" ref="AO56:AO64" si="1">IF(OR(W56=0,AF56=0),0,ROUND(AF56/W56,4))</f>
        <v>0</v>
      </c>
    </row>
    <row r="57" spans="1:41">
      <c r="A57" s="1574" t="str">
        <f>unos!A58</f>
        <v>502</v>
      </c>
      <c r="B57" s="1575"/>
      <c r="C57" s="1575"/>
      <c r="D57" s="1576"/>
      <c r="E57" s="1558" t="str">
        <f>unos!B58</f>
        <v>Nabavna vrijednost prodatih nekretnina pribavlj.radi prodaje</v>
      </c>
      <c r="F57" s="1559"/>
      <c r="G57" s="1559"/>
      <c r="H57" s="1559"/>
      <c r="I57" s="1559"/>
      <c r="J57" s="1559"/>
      <c r="K57" s="1559"/>
      <c r="L57" s="1559"/>
      <c r="M57" s="1559"/>
      <c r="N57" s="1559"/>
      <c r="O57" s="1559"/>
      <c r="P57" s="1559"/>
      <c r="Q57" s="1559"/>
      <c r="R57" s="1559"/>
      <c r="S57" s="1559"/>
      <c r="T57" s="1559"/>
      <c r="U57" s="1559"/>
      <c r="V57" s="1559"/>
      <c r="W57" s="1563">
        <f>unos!F58</f>
        <v>0</v>
      </c>
      <c r="X57" s="1594"/>
      <c r="Y57" s="1594"/>
      <c r="Z57" s="1594"/>
      <c r="AA57" s="1594"/>
      <c r="AB57" s="1594"/>
      <c r="AC57" s="1594"/>
      <c r="AD57" s="1594"/>
      <c r="AE57" s="1595"/>
      <c r="AF57" s="1563">
        <f>unos!G58</f>
        <v>0</v>
      </c>
      <c r="AG57" s="1594"/>
      <c r="AH57" s="1594"/>
      <c r="AI57" s="1594"/>
      <c r="AJ57" s="1594"/>
      <c r="AK57" s="1594"/>
      <c r="AL57" s="1594"/>
      <c r="AM57" s="1594"/>
      <c r="AN57" s="1595"/>
      <c r="AO57" s="1184">
        <f t="shared" si="1"/>
        <v>0</v>
      </c>
    </row>
    <row r="58" spans="1:41">
      <c r="A58" s="1574" t="str">
        <f>unos!A59</f>
        <v>510</v>
      </c>
      <c r="B58" s="1575"/>
      <c r="C58" s="1575"/>
      <c r="D58" s="1576"/>
      <c r="E58" s="1558" t="str">
        <f>unos!B59</f>
        <v>Nabavka sirovina, materijala, rezervnih dijelova i inventara</v>
      </c>
      <c r="F58" s="1559"/>
      <c r="G58" s="1559"/>
      <c r="H58" s="1559"/>
      <c r="I58" s="1559"/>
      <c r="J58" s="1559"/>
      <c r="K58" s="1559"/>
      <c r="L58" s="1559"/>
      <c r="M58" s="1559"/>
      <c r="N58" s="1559"/>
      <c r="O58" s="1559"/>
      <c r="P58" s="1559"/>
      <c r="Q58" s="1559"/>
      <c r="R58" s="1559"/>
      <c r="S58" s="1559"/>
      <c r="T58" s="1559"/>
      <c r="U58" s="1559"/>
      <c r="V58" s="1559"/>
      <c r="W58" s="1563">
        <f>unos!F59</f>
        <v>0</v>
      </c>
      <c r="X58" s="1594"/>
      <c r="Y58" s="1594"/>
      <c r="Z58" s="1594"/>
      <c r="AA58" s="1594"/>
      <c r="AB58" s="1594"/>
      <c r="AC58" s="1594"/>
      <c r="AD58" s="1594"/>
      <c r="AE58" s="1595"/>
      <c r="AF58" s="1563">
        <f>unos!G59</f>
        <v>0</v>
      </c>
      <c r="AG58" s="1594"/>
      <c r="AH58" s="1594"/>
      <c r="AI58" s="1594"/>
      <c r="AJ58" s="1594"/>
      <c r="AK58" s="1594"/>
      <c r="AL58" s="1594"/>
      <c r="AM58" s="1594"/>
      <c r="AN58" s="1595"/>
      <c r="AO58" s="1184">
        <f t="shared" si="1"/>
        <v>0</v>
      </c>
    </row>
    <row r="59" spans="1:41">
      <c r="A59" s="1574" t="str">
        <f>unos!A60</f>
        <v>511</v>
      </c>
      <c r="B59" s="1575"/>
      <c r="C59" s="1575"/>
      <c r="D59" s="1576"/>
      <c r="E59" s="1558" t="str">
        <f>unos!B60</f>
        <v>Utrošene sirovine i materijal</v>
      </c>
      <c r="F59" s="1559"/>
      <c r="G59" s="1559"/>
      <c r="H59" s="1559"/>
      <c r="I59" s="1559"/>
      <c r="J59" s="1559"/>
      <c r="K59" s="1559"/>
      <c r="L59" s="1559"/>
      <c r="M59" s="1559"/>
      <c r="N59" s="1559"/>
      <c r="O59" s="1559"/>
      <c r="P59" s="1559"/>
      <c r="Q59" s="1559"/>
      <c r="R59" s="1559"/>
      <c r="S59" s="1559"/>
      <c r="T59" s="1559"/>
      <c r="U59" s="1559"/>
      <c r="V59" s="1559"/>
      <c r="W59" s="1563">
        <f>unos!F60</f>
        <v>0</v>
      </c>
      <c r="X59" s="1594"/>
      <c r="Y59" s="1594"/>
      <c r="Z59" s="1594"/>
      <c r="AA59" s="1594"/>
      <c r="AB59" s="1594"/>
      <c r="AC59" s="1594"/>
      <c r="AD59" s="1594"/>
      <c r="AE59" s="1595"/>
      <c r="AF59" s="1563">
        <f>unos!G60</f>
        <v>0</v>
      </c>
      <c r="AG59" s="1594"/>
      <c r="AH59" s="1594"/>
      <c r="AI59" s="1594"/>
      <c r="AJ59" s="1594"/>
      <c r="AK59" s="1594"/>
      <c r="AL59" s="1594"/>
      <c r="AM59" s="1594"/>
      <c r="AN59" s="1595"/>
      <c r="AO59" s="1184">
        <f t="shared" si="1"/>
        <v>0</v>
      </c>
    </row>
    <row r="60" spans="1:41">
      <c r="A60" s="1574" t="str">
        <f>unos!A61</f>
        <v>512</v>
      </c>
      <c r="B60" s="1575"/>
      <c r="C60" s="1575"/>
      <c r="D60" s="1576"/>
      <c r="E60" s="1558" t="str">
        <f>unos!B61</f>
        <v>Utrošena energija i gorivo</v>
      </c>
      <c r="F60" s="1559"/>
      <c r="G60" s="1559"/>
      <c r="H60" s="1559"/>
      <c r="I60" s="1559"/>
      <c r="J60" s="1559"/>
      <c r="K60" s="1559"/>
      <c r="L60" s="1559"/>
      <c r="M60" s="1559"/>
      <c r="N60" s="1559"/>
      <c r="O60" s="1559"/>
      <c r="P60" s="1559"/>
      <c r="Q60" s="1559"/>
      <c r="R60" s="1559"/>
      <c r="S60" s="1559"/>
      <c r="T60" s="1559"/>
      <c r="U60" s="1559"/>
      <c r="V60" s="1559"/>
      <c r="W60" s="1563">
        <f>unos!F61</f>
        <v>0</v>
      </c>
      <c r="X60" s="1594"/>
      <c r="Y60" s="1594"/>
      <c r="Z60" s="1594"/>
      <c r="AA60" s="1594"/>
      <c r="AB60" s="1594"/>
      <c r="AC60" s="1594"/>
      <c r="AD60" s="1594"/>
      <c r="AE60" s="1595"/>
      <c r="AF60" s="1563">
        <f>unos!G61</f>
        <v>0</v>
      </c>
      <c r="AG60" s="1594"/>
      <c r="AH60" s="1594"/>
      <c r="AI60" s="1594"/>
      <c r="AJ60" s="1594"/>
      <c r="AK60" s="1594"/>
      <c r="AL60" s="1594"/>
      <c r="AM60" s="1594"/>
      <c r="AN60" s="1595"/>
      <c r="AO60" s="1184">
        <f t="shared" si="1"/>
        <v>0</v>
      </c>
    </row>
    <row r="61" spans="1:41">
      <c r="A61" s="1574" t="str">
        <f>unos!A62</f>
        <v>513</v>
      </c>
      <c r="B61" s="1575"/>
      <c r="C61" s="1575"/>
      <c r="D61" s="1576"/>
      <c r="E61" s="1558" t="str">
        <f>unos!B62</f>
        <v>Utrošeni rezervni dijelovi</v>
      </c>
      <c r="F61" s="1559"/>
      <c r="G61" s="1559"/>
      <c r="H61" s="1559"/>
      <c r="I61" s="1559"/>
      <c r="J61" s="1559"/>
      <c r="K61" s="1559"/>
      <c r="L61" s="1559"/>
      <c r="M61" s="1559"/>
      <c r="N61" s="1559"/>
      <c r="O61" s="1559"/>
      <c r="P61" s="1559"/>
      <c r="Q61" s="1559"/>
      <c r="R61" s="1559"/>
      <c r="S61" s="1559"/>
      <c r="T61" s="1559"/>
      <c r="U61" s="1559"/>
      <c r="V61" s="1559"/>
      <c r="W61" s="1563">
        <f>unos!F62</f>
        <v>0</v>
      </c>
      <c r="X61" s="1594"/>
      <c r="Y61" s="1594"/>
      <c r="Z61" s="1594"/>
      <c r="AA61" s="1594"/>
      <c r="AB61" s="1594"/>
      <c r="AC61" s="1594"/>
      <c r="AD61" s="1594"/>
      <c r="AE61" s="1595"/>
      <c r="AF61" s="1563">
        <f>unos!G62</f>
        <v>0</v>
      </c>
      <c r="AG61" s="1594"/>
      <c r="AH61" s="1594"/>
      <c r="AI61" s="1594"/>
      <c r="AJ61" s="1594"/>
      <c r="AK61" s="1594"/>
      <c r="AL61" s="1594"/>
      <c r="AM61" s="1594"/>
      <c r="AN61" s="1595"/>
      <c r="AO61" s="1184">
        <f t="shared" si="1"/>
        <v>0</v>
      </c>
    </row>
    <row r="62" spans="1:41">
      <c r="A62" s="1574" t="str">
        <f>unos!A63</f>
        <v>514</v>
      </c>
      <c r="B62" s="1575"/>
      <c r="C62" s="1575"/>
      <c r="D62" s="1576"/>
      <c r="E62" s="1558" t="str">
        <f>unos!B63</f>
        <v>Otpis inventara, ambalaže i autoguma</v>
      </c>
      <c r="F62" s="1559"/>
      <c r="G62" s="1559"/>
      <c r="H62" s="1559"/>
      <c r="I62" s="1559"/>
      <c r="J62" s="1559"/>
      <c r="K62" s="1559"/>
      <c r="L62" s="1559"/>
      <c r="M62" s="1559"/>
      <c r="N62" s="1559"/>
      <c r="O62" s="1559"/>
      <c r="P62" s="1559"/>
      <c r="Q62" s="1559"/>
      <c r="R62" s="1559"/>
      <c r="S62" s="1559"/>
      <c r="T62" s="1559"/>
      <c r="U62" s="1559"/>
      <c r="V62" s="1559"/>
      <c r="W62" s="1563">
        <f>unos!F63</f>
        <v>0</v>
      </c>
      <c r="X62" s="1594"/>
      <c r="Y62" s="1594"/>
      <c r="Z62" s="1594"/>
      <c r="AA62" s="1594"/>
      <c r="AB62" s="1594"/>
      <c r="AC62" s="1594"/>
      <c r="AD62" s="1594"/>
      <c r="AE62" s="1595"/>
      <c r="AF62" s="1563">
        <f>unos!G63</f>
        <v>0</v>
      </c>
      <c r="AG62" s="1594"/>
      <c r="AH62" s="1594"/>
      <c r="AI62" s="1594"/>
      <c r="AJ62" s="1594"/>
      <c r="AK62" s="1594"/>
      <c r="AL62" s="1594"/>
      <c r="AM62" s="1594"/>
      <c r="AN62" s="1595"/>
      <c r="AO62" s="1184">
        <f t="shared" si="1"/>
        <v>0</v>
      </c>
    </row>
    <row r="63" spans="1:41">
      <c r="A63" s="1574" t="str">
        <f>unos!A64</f>
        <v>519</v>
      </c>
      <c r="B63" s="1575"/>
      <c r="C63" s="1575"/>
      <c r="D63" s="1576"/>
      <c r="E63" s="1558" t="str">
        <f>unos!B64</f>
        <v>Odstupanje od cijena</v>
      </c>
      <c r="F63" s="1559"/>
      <c r="G63" s="1559"/>
      <c r="H63" s="1559"/>
      <c r="I63" s="1559"/>
      <c r="J63" s="1559"/>
      <c r="K63" s="1559"/>
      <c r="L63" s="1559"/>
      <c r="M63" s="1559"/>
      <c r="N63" s="1559"/>
      <c r="O63" s="1559"/>
      <c r="P63" s="1559"/>
      <c r="Q63" s="1559"/>
      <c r="R63" s="1559"/>
      <c r="S63" s="1559"/>
      <c r="T63" s="1559"/>
      <c r="U63" s="1559"/>
      <c r="V63" s="1559"/>
      <c r="W63" s="1563">
        <f>unos!F64</f>
        <v>0</v>
      </c>
      <c r="X63" s="1594"/>
      <c r="Y63" s="1594"/>
      <c r="Z63" s="1594"/>
      <c r="AA63" s="1594"/>
      <c r="AB63" s="1594"/>
      <c r="AC63" s="1594"/>
      <c r="AD63" s="1594"/>
      <c r="AE63" s="1595"/>
      <c r="AF63" s="1563">
        <f>unos!G64</f>
        <v>0</v>
      </c>
      <c r="AG63" s="1594"/>
      <c r="AH63" s="1594"/>
      <c r="AI63" s="1594"/>
      <c r="AJ63" s="1594"/>
      <c r="AK63" s="1594"/>
      <c r="AL63" s="1594"/>
      <c r="AM63" s="1594"/>
      <c r="AN63" s="1595"/>
      <c r="AO63" s="1184">
        <f t="shared" si="1"/>
        <v>0</v>
      </c>
    </row>
    <row r="64" spans="1:41">
      <c r="V64" s="1166" t="s">
        <v>1997</v>
      </c>
      <c r="W64" s="1620">
        <f>SUM(W55:W63)</f>
        <v>0</v>
      </c>
      <c r="X64" s="1621"/>
      <c r="Y64" s="1621"/>
      <c r="Z64" s="1621"/>
      <c r="AA64" s="1621"/>
      <c r="AB64" s="1621"/>
      <c r="AC64" s="1621"/>
      <c r="AD64" s="1621"/>
      <c r="AE64" s="1622"/>
      <c r="AF64" s="1620">
        <f>SUM(AF55:AF63)</f>
        <v>0</v>
      </c>
      <c r="AG64" s="1621"/>
      <c r="AH64" s="1621"/>
      <c r="AI64" s="1621"/>
      <c r="AJ64" s="1621"/>
      <c r="AK64" s="1621"/>
      <c r="AL64" s="1621"/>
      <c r="AM64" s="1621"/>
      <c r="AN64" s="1622"/>
      <c r="AO64" s="1185">
        <f t="shared" si="1"/>
        <v>0</v>
      </c>
    </row>
    <row r="66" spans="1:41">
      <c r="A66" s="1581"/>
      <c r="B66" s="1581"/>
      <c r="C66" s="1581"/>
      <c r="D66" s="1581"/>
      <c r="E66" s="1581"/>
      <c r="F66" s="1581"/>
      <c r="G66" s="1581"/>
      <c r="H66" s="1581"/>
      <c r="I66" s="1581"/>
      <c r="J66" s="1581"/>
      <c r="K66" s="1581"/>
      <c r="L66" s="1581"/>
      <c r="M66" s="1581"/>
      <c r="N66" s="1581"/>
      <c r="O66" s="1581"/>
      <c r="P66" s="1581"/>
      <c r="Q66" s="1581"/>
      <c r="R66" s="1581"/>
      <c r="S66" s="1581"/>
      <c r="T66" s="1581"/>
      <c r="U66" s="1581"/>
      <c r="V66" s="1581"/>
      <c r="W66" s="1581"/>
      <c r="X66" s="1581"/>
      <c r="Y66" s="1581"/>
      <c r="Z66" s="1581"/>
      <c r="AA66" s="1581"/>
      <c r="AB66" s="1581"/>
      <c r="AC66" s="1581"/>
      <c r="AD66" s="1581"/>
      <c r="AE66" s="1581"/>
      <c r="AF66" s="1581"/>
      <c r="AG66" s="1581"/>
      <c r="AH66" s="1581"/>
      <c r="AI66" s="1581"/>
      <c r="AJ66" s="1581"/>
      <c r="AK66" s="1581"/>
      <c r="AL66" s="1581"/>
      <c r="AM66" s="1581"/>
      <c r="AN66" s="1581"/>
    </row>
    <row r="67" spans="1:41">
      <c r="A67" s="1581"/>
      <c r="B67" s="1581"/>
      <c r="C67" s="1581"/>
      <c r="D67" s="1581"/>
      <c r="E67" s="1581"/>
      <c r="F67" s="1581"/>
      <c r="G67" s="1581"/>
      <c r="H67" s="1581"/>
      <c r="I67" s="1581"/>
      <c r="J67" s="1581"/>
      <c r="K67" s="1581"/>
      <c r="L67" s="1581"/>
      <c r="M67" s="1581"/>
      <c r="N67" s="1581"/>
      <c r="O67" s="1581"/>
      <c r="P67" s="1581"/>
      <c r="Q67" s="1581"/>
      <c r="R67" s="1581"/>
      <c r="S67" s="1581"/>
      <c r="T67" s="1581"/>
      <c r="U67" s="1581"/>
      <c r="V67" s="1581"/>
      <c r="W67" s="1581"/>
      <c r="X67" s="1581"/>
      <c r="Y67" s="1581"/>
      <c r="Z67" s="1581"/>
      <c r="AA67" s="1581"/>
      <c r="AB67" s="1581"/>
      <c r="AC67" s="1581"/>
      <c r="AD67" s="1581"/>
      <c r="AE67" s="1581"/>
      <c r="AF67" s="1581"/>
      <c r="AG67" s="1581"/>
      <c r="AH67" s="1581"/>
      <c r="AI67" s="1581"/>
      <c r="AJ67" s="1581"/>
      <c r="AK67" s="1581"/>
      <c r="AL67" s="1581"/>
      <c r="AM67" s="1581"/>
      <c r="AN67" s="1581"/>
    </row>
    <row r="68" spans="1:41">
      <c r="A68" s="1581"/>
      <c r="B68" s="1581"/>
      <c r="C68" s="1581"/>
      <c r="D68" s="1581"/>
      <c r="E68" s="1581"/>
      <c r="F68" s="1581"/>
      <c r="G68" s="1581"/>
      <c r="H68" s="1581"/>
      <c r="I68" s="1581"/>
      <c r="J68" s="1581"/>
      <c r="K68" s="1581"/>
      <c r="L68" s="1581"/>
      <c r="M68" s="1581"/>
      <c r="N68" s="1581"/>
      <c r="O68" s="1581"/>
      <c r="P68" s="1581"/>
      <c r="Q68" s="1581"/>
      <c r="R68" s="1581"/>
      <c r="S68" s="1581"/>
      <c r="T68" s="1581"/>
      <c r="U68" s="1581"/>
      <c r="V68" s="1581"/>
      <c r="W68" s="1581"/>
      <c r="X68" s="1581"/>
      <c r="Y68" s="1581"/>
      <c r="Z68" s="1581"/>
      <c r="AA68" s="1581"/>
      <c r="AB68" s="1581"/>
      <c r="AC68" s="1581"/>
      <c r="AD68" s="1581"/>
      <c r="AE68" s="1581"/>
      <c r="AF68" s="1581"/>
      <c r="AG68" s="1581"/>
      <c r="AH68" s="1581"/>
      <c r="AI68" s="1581"/>
      <c r="AJ68" s="1581"/>
      <c r="AK68" s="1581"/>
      <c r="AL68" s="1581"/>
      <c r="AM68" s="1581"/>
      <c r="AN68" s="1581"/>
    </row>
    <row r="69" spans="1:41">
      <c r="A69" s="1581"/>
      <c r="B69" s="1581"/>
      <c r="C69" s="1581"/>
      <c r="D69" s="1581"/>
      <c r="E69" s="1581"/>
      <c r="F69" s="1581"/>
      <c r="G69" s="1581"/>
      <c r="H69" s="1581"/>
      <c r="I69" s="1581"/>
      <c r="J69" s="1581"/>
      <c r="K69" s="1581"/>
      <c r="L69" s="1581"/>
      <c r="M69" s="1581"/>
      <c r="N69" s="1581"/>
      <c r="O69" s="1581"/>
      <c r="P69" s="1581"/>
      <c r="Q69" s="1581"/>
      <c r="R69" s="1581"/>
      <c r="S69" s="1581"/>
      <c r="T69" s="1581"/>
      <c r="U69" s="1581"/>
      <c r="V69" s="1581"/>
      <c r="W69" s="1581"/>
      <c r="X69" s="1581"/>
      <c r="Y69" s="1581"/>
      <c r="Z69" s="1581"/>
      <c r="AA69" s="1581"/>
      <c r="AB69" s="1581"/>
      <c r="AC69" s="1581"/>
      <c r="AD69" s="1581"/>
      <c r="AE69" s="1581"/>
      <c r="AF69" s="1581"/>
      <c r="AG69" s="1581"/>
      <c r="AH69" s="1581"/>
      <c r="AI69" s="1581"/>
      <c r="AJ69" s="1581"/>
      <c r="AK69" s="1581"/>
      <c r="AL69" s="1581"/>
      <c r="AM69" s="1581"/>
      <c r="AN69" s="1581"/>
    </row>
    <row r="71" spans="1:41">
      <c r="A71" s="828" t="s">
        <v>1933</v>
      </c>
      <c r="B71" s="828" t="s">
        <v>2001</v>
      </c>
    </row>
    <row r="72" spans="1:41">
      <c r="W72" s="1610" t="s">
        <v>1995</v>
      </c>
      <c r="X72" s="1611"/>
      <c r="Y72" s="1611"/>
      <c r="Z72" s="1611"/>
      <c r="AA72" s="1611"/>
      <c r="AB72" s="1611"/>
      <c r="AC72" s="1611"/>
      <c r="AD72" s="1611"/>
      <c r="AE72" s="1611"/>
      <c r="AF72" s="1611"/>
      <c r="AG72" s="1611"/>
      <c r="AH72" s="1611"/>
      <c r="AI72" s="1611"/>
      <c r="AJ72" s="1611"/>
      <c r="AK72" s="1611"/>
      <c r="AL72" s="1611"/>
      <c r="AM72" s="1611"/>
      <c r="AN72" s="1612"/>
    </row>
    <row r="73" spans="1:41">
      <c r="A73" s="1582" t="s">
        <v>1996</v>
      </c>
      <c r="B73" s="1583"/>
      <c r="C73" s="1583"/>
      <c r="D73" s="1584"/>
      <c r="E73" s="1567" t="s">
        <v>796</v>
      </c>
      <c r="F73" s="1567"/>
      <c r="G73" s="1567"/>
      <c r="H73" s="1567"/>
      <c r="I73" s="1567"/>
      <c r="J73" s="1567"/>
      <c r="K73" s="1567"/>
      <c r="L73" s="1567"/>
      <c r="M73" s="1567"/>
      <c r="N73" s="1567"/>
      <c r="O73" s="1567"/>
      <c r="P73" s="1567"/>
      <c r="Q73" s="1567"/>
      <c r="R73" s="1567"/>
      <c r="S73" s="1567"/>
      <c r="T73" s="1567"/>
      <c r="U73" s="1567"/>
      <c r="V73" s="1567"/>
      <c r="W73" s="1568" t="s">
        <v>1039</v>
      </c>
      <c r="X73" s="1569"/>
      <c r="Y73" s="1569"/>
      <c r="Z73" s="1569"/>
      <c r="AA73" s="1569"/>
      <c r="AB73" s="1569"/>
      <c r="AC73" s="1569"/>
      <c r="AD73" s="1569"/>
      <c r="AE73" s="1570"/>
      <c r="AF73" s="1571" t="s">
        <v>278</v>
      </c>
      <c r="AG73" s="1572"/>
      <c r="AH73" s="1572"/>
      <c r="AI73" s="1572"/>
      <c r="AJ73" s="1572"/>
      <c r="AK73" s="1572"/>
      <c r="AL73" s="1572"/>
      <c r="AM73" s="1572"/>
      <c r="AN73" s="1573"/>
      <c r="AO73" s="1187" t="s">
        <v>2766</v>
      </c>
    </row>
    <row r="74" spans="1:41">
      <c r="A74" s="1574" t="str">
        <f>unos!A65</f>
        <v>520</v>
      </c>
      <c r="B74" s="1575"/>
      <c r="C74" s="1575"/>
      <c r="D74" s="1576"/>
      <c r="E74" s="1558" t="str">
        <f>unos!B65</f>
        <v>Troškovi plaća</v>
      </c>
      <c r="F74" s="1559"/>
      <c r="G74" s="1559"/>
      <c r="H74" s="1559"/>
      <c r="I74" s="1559"/>
      <c r="J74" s="1559"/>
      <c r="K74" s="1559"/>
      <c r="L74" s="1559"/>
      <c r="M74" s="1559"/>
      <c r="N74" s="1559"/>
      <c r="O74" s="1559"/>
      <c r="P74" s="1559"/>
      <c r="Q74" s="1559"/>
      <c r="R74" s="1559"/>
      <c r="S74" s="1559"/>
      <c r="T74" s="1559"/>
      <c r="U74" s="1559"/>
      <c r="V74" s="1559"/>
      <c r="W74" s="1563">
        <f>unos!F65</f>
        <v>0</v>
      </c>
      <c r="X74" s="1594"/>
      <c r="Y74" s="1594"/>
      <c r="Z74" s="1594"/>
      <c r="AA74" s="1594"/>
      <c r="AB74" s="1594"/>
      <c r="AC74" s="1594"/>
      <c r="AD74" s="1594"/>
      <c r="AE74" s="1595"/>
      <c r="AF74" s="1563">
        <f>unos!G65</f>
        <v>0</v>
      </c>
      <c r="AG74" s="1594"/>
      <c r="AH74" s="1594"/>
      <c r="AI74" s="1594"/>
      <c r="AJ74" s="1594"/>
      <c r="AK74" s="1594"/>
      <c r="AL74" s="1594"/>
      <c r="AM74" s="1594"/>
      <c r="AN74" s="1595"/>
      <c r="AO74" s="1184">
        <f>IF(OR(W74=0,AF74=0),0,ROUND(AF74/W74,4))</f>
        <v>0</v>
      </c>
    </row>
    <row r="75" spans="1:41">
      <c r="A75" s="1574" t="str">
        <f>unos!A66</f>
        <v>521</v>
      </c>
      <c r="B75" s="1575"/>
      <c r="C75" s="1575"/>
      <c r="D75" s="1576"/>
      <c r="E75" s="1558" t="str">
        <f>unos!B66</f>
        <v>Troškovi naknada plaća</v>
      </c>
      <c r="F75" s="1559"/>
      <c r="G75" s="1559"/>
      <c r="H75" s="1559"/>
      <c r="I75" s="1559"/>
      <c r="J75" s="1559"/>
      <c r="K75" s="1559"/>
      <c r="L75" s="1559"/>
      <c r="M75" s="1559"/>
      <c r="N75" s="1559"/>
      <c r="O75" s="1559"/>
      <c r="P75" s="1559"/>
      <c r="Q75" s="1559"/>
      <c r="R75" s="1559"/>
      <c r="S75" s="1559"/>
      <c r="T75" s="1559"/>
      <c r="U75" s="1559"/>
      <c r="V75" s="1559"/>
      <c r="W75" s="1563">
        <f>unos!F66</f>
        <v>0</v>
      </c>
      <c r="X75" s="1594"/>
      <c r="Y75" s="1594"/>
      <c r="Z75" s="1594"/>
      <c r="AA75" s="1594"/>
      <c r="AB75" s="1594"/>
      <c r="AC75" s="1594"/>
      <c r="AD75" s="1594"/>
      <c r="AE75" s="1595"/>
      <c r="AF75" s="1563">
        <f>unos!G66</f>
        <v>0</v>
      </c>
      <c r="AG75" s="1594"/>
      <c r="AH75" s="1594"/>
      <c r="AI75" s="1594"/>
      <c r="AJ75" s="1594"/>
      <c r="AK75" s="1594"/>
      <c r="AL75" s="1594"/>
      <c r="AM75" s="1594"/>
      <c r="AN75" s="1595"/>
      <c r="AO75" s="1184">
        <f t="shared" ref="AO75:AO80" si="2">IF(OR(W75=0,AF75=0),0,ROUND(AF75/W75,4))</f>
        <v>0</v>
      </c>
    </row>
    <row r="76" spans="1:41">
      <c r="A76" s="1574" t="str">
        <f>unos!A67</f>
        <v>523</v>
      </c>
      <c r="B76" s="1575"/>
      <c r="C76" s="1575"/>
      <c r="D76" s="1576"/>
      <c r="E76" s="1558" t="str">
        <f>unos!B67</f>
        <v>Troškovi službenih putovanja zaposlenih</v>
      </c>
      <c r="F76" s="1559"/>
      <c r="G76" s="1559"/>
      <c r="H76" s="1559"/>
      <c r="I76" s="1559"/>
      <c r="J76" s="1559"/>
      <c r="K76" s="1559"/>
      <c r="L76" s="1559"/>
      <c r="M76" s="1559"/>
      <c r="N76" s="1559"/>
      <c r="O76" s="1559"/>
      <c r="P76" s="1559"/>
      <c r="Q76" s="1559"/>
      <c r="R76" s="1559"/>
      <c r="S76" s="1559"/>
      <c r="T76" s="1559"/>
      <c r="U76" s="1559"/>
      <c r="V76" s="1559"/>
      <c r="W76" s="1563">
        <f>unos!F67</f>
        <v>0</v>
      </c>
      <c r="X76" s="1594"/>
      <c r="Y76" s="1594"/>
      <c r="Z76" s="1594"/>
      <c r="AA76" s="1594"/>
      <c r="AB76" s="1594"/>
      <c r="AC76" s="1594"/>
      <c r="AD76" s="1594"/>
      <c r="AE76" s="1595"/>
      <c r="AF76" s="1563">
        <f>unos!G67</f>
        <v>0</v>
      </c>
      <c r="AG76" s="1594"/>
      <c r="AH76" s="1594"/>
      <c r="AI76" s="1594"/>
      <c r="AJ76" s="1594"/>
      <c r="AK76" s="1594"/>
      <c r="AL76" s="1594"/>
      <c r="AM76" s="1594"/>
      <c r="AN76" s="1595"/>
      <c r="AO76" s="1184">
        <f t="shared" si="2"/>
        <v>0</v>
      </c>
    </row>
    <row r="77" spans="1:41">
      <c r="A77" s="1574" t="str">
        <f>unos!A68</f>
        <v>524</v>
      </c>
      <c r="B77" s="1575"/>
      <c r="C77" s="1575"/>
      <c r="D77" s="1576"/>
      <c r="E77" s="1558" t="str">
        <f>unos!B68</f>
        <v>Troškovi ostalih primanja, naknada i materijalnib prava zaposlenika</v>
      </c>
      <c r="F77" s="1559"/>
      <c r="G77" s="1559"/>
      <c r="H77" s="1559"/>
      <c r="I77" s="1559"/>
      <c r="J77" s="1559"/>
      <c r="K77" s="1559"/>
      <c r="L77" s="1559"/>
      <c r="M77" s="1559"/>
      <c r="N77" s="1559"/>
      <c r="O77" s="1559"/>
      <c r="P77" s="1559"/>
      <c r="Q77" s="1559"/>
      <c r="R77" s="1559"/>
      <c r="S77" s="1559"/>
      <c r="T77" s="1559"/>
      <c r="U77" s="1559"/>
      <c r="V77" s="1559"/>
      <c r="W77" s="1563">
        <f>unos!F68</f>
        <v>0</v>
      </c>
      <c r="X77" s="1594"/>
      <c r="Y77" s="1594"/>
      <c r="Z77" s="1594"/>
      <c r="AA77" s="1594"/>
      <c r="AB77" s="1594"/>
      <c r="AC77" s="1594"/>
      <c r="AD77" s="1594"/>
      <c r="AE77" s="1595"/>
      <c r="AF77" s="1563">
        <f>unos!G68</f>
        <v>0</v>
      </c>
      <c r="AG77" s="1594"/>
      <c r="AH77" s="1594"/>
      <c r="AI77" s="1594"/>
      <c r="AJ77" s="1594"/>
      <c r="AK77" s="1594"/>
      <c r="AL77" s="1594"/>
      <c r="AM77" s="1594"/>
      <c r="AN77" s="1595"/>
      <c r="AO77" s="1184">
        <f t="shared" si="2"/>
        <v>0</v>
      </c>
    </row>
    <row r="78" spans="1:41">
      <c r="A78" s="1574" t="str">
        <f>unos!A69</f>
        <v>527</v>
      </c>
      <c r="B78" s="1575"/>
      <c r="C78" s="1575"/>
      <c r="D78" s="1576"/>
      <c r="E78" s="1558" t="str">
        <f>unos!B69</f>
        <v>Troškovio naknada članovima odbora, komisija i sl.</v>
      </c>
      <c r="F78" s="1559"/>
      <c r="G78" s="1559"/>
      <c r="H78" s="1559"/>
      <c r="I78" s="1559"/>
      <c r="J78" s="1559"/>
      <c r="K78" s="1559"/>
      <c r="L78" s="1559"/>
      <c r="M78" s="1559"/>
      <c r="N78" s="1559"/>
      <c r="O78" s="1559"/>
      <c r="P78" s="1559"/>
      <c r="Q78" s="1559"/>
      <c r="R78" s="1559"/>
      <c r="S78" s="1559"/>
      <c r="T78" s="1559"/>
      <c r="U78" s="1559"/>
      <c r="V78" s="1559"/>
      <c r="W78" s="1563">
        <f>unos!F69</f>
        <v>0</v>
      </c>
      <c r="X78" s="1594"/>
      <c r="Y78" s="1594"/>
      <c r="Z78" s="1594"/>
      <c r="AA78" s="1594"/>
      <c r="AB78" s="1594"/>
      <c r="AC78" s="1594"/>
      <c r="AD78" s="1594"/>
      <c r="AE78" s="1595"/>
      <c r="AF78" s="1563">
        <f>unos!G69</f>
        <v>0</v>
      </c>
      <c r="AG78" s="1594"/>
      <c r="AH78" s="1594"/>
      <c r="AI78" s="1594"/>
      <c r="AJ78" s="1594"/>
      <c r="AK78" s="1594"/>
      <c r="AL78" s="1594"/>
      <c r="AM78" s="1594"/>
      <c r="AN78" s="1595"/>
      <c r="AO78" s="1184">
        <f t="shared" si="2"/>
        <v>0</v>
      </c>
    </row>
    <row r="79" spans="1:41">
      <c r="A79" s="1574" t="str">
        <f>unos!A70</f>
        <v>529</v>
      </c>
      <c r="B79" s="1575"/>
      <c r="C79" s="1575"/>
      <c r="D79" s="1576"/>
      <c r="E79" s="1558" t="str">
        <f>unos!B70</f>
        <v>Troškovi naknada ostalim fizičkim licima</v>
      </c>
      <c r="F79" s="1559"/>
      <c r="G79" s="1559"/>
      <c r="H79" s="1559"/>
      <c r="I79" s="1559"/>
      <c r="J79" s="1559"/>
      <c r="K79" s="1559"/>
      <c r="L79" s="1559"/>
      <c r="M79" s="1559"/>
      <c r="N79" s="1559"/>
      <c r="O79" s="1559"/>
      <c r="P79" s="1559"/>
      <c r="Q79" s="1559"/>
      <c r="R79" s="1559"/>
      <c r="S79" s="1559"/>
      <c r="T79" s="1559"/>
      <c r="U79" s="1559"/>
      <c r="V79" s="1559"/>
      <c r="W79" s="1563">
        <f>unos!F70</f>
        <v>0</v>
      </c>
      <c r="X79" s="1594"/>
      <c r="Y79" s="1594"/>
      <c r="Z79" s="1594"/>
      <c r="AA79" s="1594"/>
      <c r="AB79" s="1594"/>
      <c r="AC79" s="1594"/>
      <c r="AD79" s="1594"/>
      <c r="AE79" s="1595"/>
      <c r="AF79" s="1563">
        <f>unos!G70</f>
        <v>0</v>
      </c>
      <c r="AG79" s="1594"/>
      <c r="AH79" s="1594"/>
      <c r="AI79" s="1594"/>
      <c r="AJ79" s="1594"/>
      <c r="AK79" s="1594"/>
      <c r="AL79" s="1594"/>
      <c r="AM79" s="1594"/>
      <c r="AN79" s="1595"/>
      <c r="AO79" s="1184">
        <f t="shared" si="2"/>
        <v>0</v>
      </c>
    </row>
    <row r="80" spans="1:41">
      <c r="V80" s="1166" t="s">
        <v>1997</v>
      </c>
      <c r="W80" s="1620">
        <f>SUM(W74:W79)</f>
        <v>0</v>
      </c>
      <c r="X80" s="1621"/>
      <c r="Y80" s="1621"/>
      <c r="Z80" s="1621"/>
      <c r="AA80" s="1621"/>
      <c r="AB80" s="1621"/>
      <c r="AC80" s="1621"/>
      <c r="AD80" s="1621"/>
      <c r="AE80" s="1622"/>
      <c r="AF80" s="1620">
        <f>SUM(AF74:AF79)</f>
        <v>0</v>
      </c>
      <c r="AG80" s="1621"/>
      <c r="AH80" s="1621"/>
      <c r="AI80" s="1621"/>
      <c r="AJ80" s="1621"/>
      <c r="AK80" s="1621"/>
      <c r="AL80" s="1621"/>
      <c r="AM80" s="1621"/>
      <c r="AN80" s="1622"/>
      <c r="AO80" s="1185">
        <f t="shared" si="2"/>
        <v>0</v>
      </c>
    </row>
    <row r="82" spans="1:41">
      <c r="A82" s="1581"/>
      <c r="B82" s="1581"/>
      <c r="C82" s="1581"/>
      <c r="D82" s="1581"/>
      <c r="E82" s="1581"/>
      <c r="F82" s="1581"/>
      <c r="G82" s="1581"/>
      <c r="H82" s="1581"/>
      <c r="I82" s="1581"/>
      <c r="J82" s="1581"/>
      <c r="K82" s="1581"/>
      <c r="L82" s="1581"/>
      <c r="M82" s="1581"/>
      <c r="N82" s="1581"/>
      <c r="O82" s="1581"/>
      <c r="P82" s="1581"/>
      <c r="Q82" s="1581"/>
      <c r="R82" s="1581"/>
      <c r="S82" s="1581"/>
      <c r="T82" s="1581"/>
      <c r="U82" s="1581"/>
      <c r="V82" s="1581"/>
      <c r="W82" s="1581"/>
      <c r="X82" s="1581"/>
      <c r="Y82" s="1581"/>
      <c r="Z82" s="1581"/>
      <c r="AA82" s="1581"/>
      <c r="AB82" s="1581"/>
      <c r="AC82" s="1581"/>
      <c r="AD82" s="1581"/>
      <c r="AE82" s="1581"/>
      <c r="AF82" s="1581"/>
      <c r="AG82" s="1581"/>
      <c r="AH82" s="1581"/>
      <c r="AI82" s="1581"/>
      <c r="AJ82" s="1581"/>
      <c r="AK82" s="1581"/>
      <c r="AL82" s="1581"/>
      <c r="AM82" s="1581"/>
      <c r="AN82" s="1581"/>
    </row>
    <row r="83" spans="1:41">
      <c r="A83" s="1581"/>
      <c r="B83" s="1581"/>
      <c r="C83" s="1581"/>
      <c r="D83" s="1581"/>
      <c r="E83" s="1581"/>
      <c r="F83" s="1581"/>
      <c r="G83" s="1581"/>
      <c r="H83" s="1581"/>
      <c r="I83" s="1581"/>
      <c r="J83" s="1581"/>
      <c r="K83" s="1581"/>
      <c r="L83" s="1581"/>
      <c r="M83" s="1581"/>
      <c r="N83" s="1581"/>
      <c r="O83" s="1581"/>
      <c r="P83" s="1581"/>
      <c r="Q83" s="1581"/>
      <c r="R83" s="1581"/>
      <c r="S83" s="1581"/>
      <c r="T83" s="1581"/>
      <c r="U83" s="1581"/>
      <c r="V83" s="1581"/>
      <c r="W83" s="1581"/>
      <c r="X83" s="1581"/>
      <c r="Y83" s="1581"/>
      <c r="Z83" s="1581"/>
      <c r="AA83" s="1581"/>
      <c r="AB83" s="1581"/>
      <c r="AC83" s="1581"/>
      <c r="AD83" s="1581"/>
      <c r="AE83" s="1581"/>
      <c r="AF83" s="1581"/>
      <c r="AG83" s="1581"/>
      <c r="AH83" s="1581"/>
      <c r="AI83" s="1581"/>
      <c r="AJ83" s="1581"/>
      <c r="AK83" s="1581"/>
      <c r="AL83" s="1581"/>
      <c r="AM83" s="1581"/>
      <c r="AN83" s="1581"/>
    </row>
    <row r="84" spans="1:41">
      <c r="A84" s="1581"/>
      <c r="B84" s="1581"/>
      <c r="C84" s="1581"/>
      <c r="D84" s="1581"/>
      <c r="E84" s="1581"/>
      <c r="F84" s="1581"/>
      <c r="G84" s="1581"/>
      <c r="H84" s="1581"/>
      <c r="I84" s="1581"/>
      <c r="J84" s="1581"/>
      <c r="K84" s="1581"/>
      <c r="L84" s="1581"/>
      <c r="M84" s="1581"/>
      <c r="N84" s="1581"/>
      <c r="O84" s="1581"/>
      <c r="P84" s="1581"/>
      <c r="Q84" s="1581"/>
      <c r="R84" s="1581"/>
      <c r="S84" s="1581"/>
      <c r="T84" s="1581"/>
      <c r="U84" s="1581"/>
      <c r="V84" s="1581"/>
      <c r="W84" s="1581"/>
      <c r="X84" s="1581"/>
      <c r="Y84" s="1581"/>
      <c r="Z84" s="1581"/>
      <c r="AA84" s="1581"/>
      <c r="AB84" s="1581"/>
      <c r="AC84" s="1581"/>
      <c r="AD84" s="1581"/>
      <c r="AE84" s="1581"/>
      <c r="AF84" s="1581"/>
      <c r="AG84" s="1581"/>
      <c r="AH84" s="1581"/>
      <c r="AI84" s="1581"/>
      <c r="AJ84" s="1581"/>
      <c r="AK84" s="1581"/>
      <c r="AL84" s="1581"/>
      <c r="AM84" s="1581"/>
      <c r="AN84" s="1581"/>
    </row>
    <row r="85" spans="1:41">
      <c r="A85" s="1581"/>
      <c r="B85" s="1581"/>
      <c r="C85" s="1581"/>
      <c r="D85" s="1581"/>
      <c r="E85" s="1581"/>
      <c r="F85" s="1581"/>
      <c r="G85" s="1581"/>
      <c r="H85" s="1581"/>
      <c r="I85" s="1581"/>
      <c r="J85" s="1581"/>
      <c r="K85" s="1581"/>
      <c r="L85" s="1581"/>
      <c r="M85" s="1581"/>
      <c r="N85" s="1581"/>
      <c r="O85" s="1581"/>
      <c r="P85" s="1581"/>
      <c r="Q85" s="1581"/>
      <c r="R85" s="1581"/>
      <c r="S85" s="1581"/>
      <c r="T85" s="1581"/>
      <c r="U85" s="1581"/>
      <c r="V85" s="1581"/>
      <c r="W85" s="1581"/>
      <c r="X85" s="1581"/>
      <c r="Y85" s="1581"/>
      <c r="Z85" s="1581"/>
      <c r="AA85" s="1581"/>
      <c r="AB85" s="1581"/>
      <c r="AC85" s="1581"/>
      <c r="AD85" s="1581"/>
      <c r="AE85" s="1581"/>
      <c r="AF85" s="1581"/>
      <c r="AG85" s="1581"/>
      <c r="AH85" s="1581"/>
      <c r="AI85" s="1581"/>
      <c r="AJ85" s="1581"/>
      <c r="AK85" s="1581"/>
      <c r="AL85" s="1581"/>
      <c r="AM85" s="1581"/>
      <c r="AN85" s="1581"/>
    </row>
    <row r="87" spans="1:41">
      <c r="A87" s="828" t="s">
        <v>1933</v>
      </c>
      <c r="B87" s="828" t="s">
        <v>2002</v>
      </c>
    </row>
    <row r="88" spans="1:41" ht="14.25" customHeight="1">
      <c r="W88" s="1610" t="s">
        <v>1995</v>
      </c>
      <c r="X88" s="1611"/>
      <c r="Y88" s="1611"/>
      <c r="Z88" s="1611"/>
      <c r="AA88" s="1611"/>
      <c r="AB88" s="1611"/>
      <c r="AC88" s="1611"/>
      <c r="AD88" s="1611"/>
      <c r="AE88" s="1611"/>
      <c r="AF88" s="1611"/>
      <c r="AG88" s="1611"/>
      <c r="AH88" s="1611"/>
      <c r="AI88" s="1611"/>
      <c r="AJ88" s="1611"/>
      <c r="AK88" s="1611"/>
      <c r="AL88" s="1611"/>
      <c r="AM88" s="1611"/>
      <c r="AN88" s="1612"/>
    </row>
    <row r="89" spans="1:41">
      <c r="A89" s="1582" t="s">
        <v>1996</v>
      </c>
      <c r="B89" s="1583"/>
      <c r="C89" s="1583"/>
      <c r="D89" s="1584"/>
      <c r="E89" s="1567" t="s">
        <v>796</v>
      </c>
      <c r="F89" s="1567"/>
      <c r="G89" s="1567"/>
      <c r="H89" s="1567"/>
      <c r="I89" s="1567"/>
      <c r="J89" s="1567"/>
      <c r="K89" s="1567"/>
      <c r="L89" s="1567"/>
      <c r="M89" s="1567"/>
      <c r="N89" s="1567"/>
      <c r="O89" s="1567"/>
      <c r="P89" s="1567"/>
      <c r="Q89" s="1567"/>
      <c r="R89" s="1567"/>
      <c r="S89" s="1567"/>
      <c r="T89" s="1567"/>
      <c r="U89" s="1567"/>
      <c r="V89" s="1567"/>
      <c r="W89" s="1568" t="s">
        <v>1039</v>
      </c>
      <c r="X89" s="1569"/>
      <c r="Y89" s="1569"/>
      <c r="Z89" s="1569"/>
      <c r="AA89" s="1569"/>
      <c r="AB89" s="1569"/>
      <c r="AC89" s="1569"/>
      <c r="AD89" s="1569"/>
      <c r="AE89" s="1570"/>
      <c r="AF89" s="1571" t="s">
        <v>278</v>
      </c>
      <c r="AG89" s="1572"/>
      <c r="AH89" s="1572"/>
      <c r="AI89" s="1572"/>
      <c r="AJ89" s="1572"/>
      <c r="AK89" s="1572"/>
      <c r="AL89" s="1572"/>
      <c r="AM89" s="1572"/>
      <c r="AN89" s="1573"/>
      <c r="AO89" s="1187" t="s">
        <v>2766</v>
      </c>
    </row>
    <row r="90" spans="1:41">
      <c r="A90" s="1574" t="str">
        <f>unos!A71</f>
        <v>530</v>
      </c>
      <c r="B90" s="1575"/>
      <c r="C90" s="1575"/>
      <c r="D90" s="1576"/>
      <c r="E90" s="1558" t="str">
        <f>unos!B71</f>
        <v>Troškovi usluga izrade i dorade učinaka</v>
      </c>
      <c r="F90" s="1559"/>
      <c r="G90" s="1559"/>
      <c r="H90" s="1559"/>
      <c r="I90" s="1559"/>
      <c r="J90" s="1559"/>
      <c r="K90" s="1559"/>
      <c r="L90" s="1559"/>
      <c r="M90" s="1559"/>
      <c r="N90" s="1559"/>
      <c r="O90" s="1559"/>
      <c r="P90" s="1559"/>
      <c r="Q90" s="1559"/>
      <c r="R90" s="1559"/>
      <c r="S90" s="1559"/>
      <c r="T90" s="1559"/>
      <c r="U90" s="1559"/>
      <c r="V90" s="1559"/>
      <c r="W90" s="1563">
        <f>unos!F71</f>
        <v>0</v>
      </c>
      <c r="X90" s="1594"/>
      <c r="Y90" s="1594"/>
      <c r="Z90" s="1594"/>
      <c r="AA90" s="1594"/>
      <c r="AB90" s="1594"/>
      <c r="AC90" s="1594"/>
      <c r="AD90" s="1594"/>
      <c r="AE90" s="1595"/>
      <c r="AF90" s="1563">
        <f>unos!G71</f>
        <v>0</v>
      </c>
      <c r="AG90" s="1594"/>
      <c r="AH90" s="1594"/>
      <c r="AI90" s="1594"/>
      <c r="AJ90" s="1594"/>
      <c r="AK90" s="1594"/>
      <c r="AL90" s="1594"/>
      <c r="AM90" s="1594"/>
      <c r="AN90" s="1595"/>
      <c r="AO90" s="1184">
        <f>IF(OR(W90=0,AF90=0),0,ROUND(AF90/W90,4))</f>
        <v>0</v>
      </c>
    </row>
    <row r="91" spans="1:41">
      <c r="A91" s="1574" t="str">
        <f>unos!A72</f>
        <v>531</v>
      </c>
      <c r="B91" s="1575"/>
      <c r="C91" s="1575"/>
      <c r="D91" s="1576"/>
      <c r="E91" s="1558" t="str">
        <f>unos!B72</f>
        <v>Troškovi transportnih usluga</v>
      </c>
      <c r="F91" s="1559"/>
      <c r="G91" s="1559"/>
      <c r="H91" s="1559"/>
      <c r="I91" s="1559"/>
      <c r="J91" s="1559"/>
      <c r="K91" s="1559"/>
      <c r="L91" s="1559"/>
      <c r="M91" s="1559"/>
      <c r="N91" s="1559"/>
      <c r="O91" s="1559"/>
      <c r="P91" s="1559"/>
      <c r="Q91" s="1559"/>
      <c r="R91" s="1559"/>
      <c r="S91" s="1559"/>
      <c r="T91" s="1559"/>
      <c r="U91" s="1559"/>
      <c r="V91" s="1559"/>
      <c r="W91" s="1563">
        <f>unos!F72</f>
        <v>0</v>
      </c>
      <c r="X91" s="1594"/>
      <c r="Y91" s="1594"/>
      <c r="Z91" s="1594"/>
      <c r="AA91" s="1594"/>
      <c r="AB91" s="1594"/>
      <c r="AC91" s="1594"/>
      <c r="AD91" s="1594"/>
      <c r="AE91" s="1595"/>
      <c r="AF91" s="1563">
        <f>unos!G72</f>
        <v>0</v>
      </c>
      <c r="AG91" s="1594"/>
      <c r="AH91" s="1594"/>
      <c r="AI91" s="1594"/>
      <c r="AJ91" s="1594"/>
      <c r="AK91" s="1594"/>
      <c r="AL91" s="1594"/>
      <c r="AM91" s="1594"/>
      <c r="AN91" s="1595"/>
      <c r="AO91" s="1184">
        <f t="shared" ref="AO91:AO99" si="3">IF(OR(W91=0,AF91=0),0,ROUND(AF91/W91,4))</f>
        <v>0</v>
      </c>
    </row>
    <row r="92" spans="1:41">
      <c r="A92" s="1574" t="str">
        <f>unos!A73</f>
        <v>532</v>
      </c>
      <c r="B92" s="1575"/>
      <c r="C92" s="1575"/>
      <c r="D92" s="1576"/>
      <c r="E92" s="1558" t="str">
        <f>unos!B73</f>
        <v>Troškovi usluga održavanja</v>
      </c>
      <c r="F92" s="1559"/>
      <c r="G92" s="1559"/>
      <c r="H92" s="1559"/>
      <c r="I92" s="1559"/>
      <c r="J92" s="1559"/>
      <c r="K92" s="1559"/>
      <c r="L92" s="1559"/>
      <c r="M92" s="1559"/>
      <c r="N92" s="1559"/>
      <c r="O92" s="1559"/>
      <c r="P92" s="1559"/>
      <c r="Q92" s="1559"/>
      <c r="R92" s="1559"/>
      <c r="S92" s="1559"/>
      <c r="T92" s="1559"/>
      <c r="U92" s="1559"/>
      <c r="V92" s="1559"/>
      <c r="W92" s="1563">
        <f>unos!F73</f>
        <v>0</v>
      </c>
      <c r="X92" s="1594"/>
      <c r="Y92" s="1594"/>
      <c r="Z92" s="1594"/>
      <c r="AA92" s="1594"/>
      <c r="AB92" s="1594"/>
      <c r="AC92" s="1594"/>
      <c r="AD92" s="1594"/>
      <c r="AE92" s="1595"/>
      <c r="AF92" s="1563">
        <f>unos!G73</f>
        <v>0</v>
      </c>
      <c r="AG92" s="1594"/>
      <c r="AH92" s="1594"/>
      <c r="AI92" s="1594"/>
      <c r="AJ92" s="1594"/>
      <c r="AK92" s="1594"/>
      <c r="AL92" s="1594"/>
      <c r="AM92" s="1594"/>
      <c r="AN92" s="1595"/>
      <c r="AO92" s="1184">
        <f t="shared" si="3"/>
        <v>0</v>
      </c>
    </row>
    <row r="93" spans="1:41">
      <c r="A93" s="1574" t="str">
        <f>unos!A74</f>
        <v>533</v>
      </c>
      <c r="B93" s="1575"/>
      <c r="C93" s="1575"/>
      <c r="D93" s="1576"/>
      <c r="E93" s="1558" t="str">
        <f>unos!B74</f>
        <v>Troškovi zakupa</v>
      </c>
      <c r="F93" s="1559"/>
      <c r="G93" s="1559"/>
      <c r="H93" s="1559"/>
      <c r="I93" s="1559"/>
      <c r="J93" s="1559"/>
      <c r="K93" s="1559"/>
      <c r="L93" s="1559"/>
      <c r="M93" s="1559"/>
      <c r="N93" s="1559"/>
      <c r="O93" s="1559"/>
      <c r="P93" s="1559"/>
      <c r="Q93" s="1559"/>
      <c r="R93" s="1559"/>
      <c r="S93" s="1559"/>
      <c r="T93" s="1559"/>
      <c r="U93" s="1559"/>
      <c r="V93" s="1559"/>
      <c r="W93" s="1563">
        <f>unos!F74</f>
        <v>0</v>
      </c>
      <c r="X93" s="1594"/>
      <c r="Y93" s="1594"/>
      <c r="Z93" s="1594"/>
      <c r="AA93" s="1594"/>
      <c r="AB93" s="1594"/>
      <c r="AC93" s="1594"/>
      <c r="AD93" s="1594"/>
      <c r="AE93" s="1595"/>
      <c r="AF93" s="1563">
        <f>unos!G74</f>
        <v>0</v>
      </c>
      <c r="AG93" s="1594"/>
      <c r="AH93" s="1594"/>
      <c r="AI93" s="1594"/>
      <c r="AJ93" s="1594"/>
      <c r="AK93" s="1594"/>
      <c r="AL93" s="1594"/>
      <c r="AM93" s="1594"/>
      <c r="AN93" s="1595"/>
      <c r="AO93" s="1184">
        <f t="shared" si="3"/>
        <v>0</v>
      </c>
    </row>
    <row r="94" spans="1:41">
      <c r="A94" s="1574" t="str">
        <f>unos!A75</f>
        <v>534</v>
      </c>
      <c r="B94" s="1575"/>
      <c r="C94" s="1575"/>
      <c r="D94" s="1576"/>
      <c r="E94" s="1558" t="str">
        <f>unos!B75</f>
        <v>Troškovi sajmova</v>
      </c>
      <c r="F94" s="1559"/>
      <c r="G94" s="1559"/>
      <c r="H94" s="1559"/>
      <c r="I94" s="1559"/>
      <c r="J94" s="1559"/>
      <c r="K94" s="1559"/>
      <c r="L94" s="1559"/>
      <c r="M94" s="1559"/>
      <c r="N94" s="1559"/>
      <c r="O94" s="1559"/>
      <c r="P94" s="1559"/>
      <c r="Q94" s="1559"/>
      <c r="R94" s="1559"/>
      <c r="S94" s="1559"/>
      <c r="T94" s="1559"/>
      <c r="U94" s="1559"/>
      <c r="V94" s="1559"/>
      <c r="W94" s="1563">
        <f>unos!F75</f>
        <v>0</v>
      </c>
      <c r="X94" s="1594"/>
      <c r="Y94" s="1594"/>
      <c r="Z94" s="1594"/>
      <c r="AA94" s="1594"/>
      <c r="AB94" s="1594"/>
      <c r="AC94" s="1594"/>
      <c r="AD94" s="1594"/>
      <c r="AE94" s="1595"/>
      <c r="AF94" s="1563">
        <f>unos!G75</f>
        <v>0</v>
      </c>
      <c r="AG94" s="1594"/>
      <c r="AH94" s="1594"/>
      <c r="AI94" s="1594"/>
      <c r="AJ94" s="1594"/>
      <c r="AK94" s="1594"/>
      <c r="AL94" s="1594"/>
      <c r="AM94" s="1594"/>
      <c r="AN94" s="1595"/>
      <c r="AO94" s="1184">
        <f t="shared" si="3"/>
        <v>0</v>
      </c>
    </row>
    <row r="95" spans="1:41">
      <c r="A95" s="1574" t="str">
        <f>unos!A76</f>
        <v>535</v>
      </c>
      <c r="B95" s="1575"/>
      <c r="C95" s="1575"/>
      <c r="D95" s="1576"/>
      <c r="E95" s="1558" t="str">
        <f>unos!B76</f>
        <v>Troškovi reklame i sponzorstva</v>
      </c>
      <c r="F95" s="1559"/>
      <c r="G95" s="1559"/>
      <c r="H95" s="1559"/>
      <c r="I95" s="1559"/>
      <c r="J95" s="1559"/>
      <c r="K95" s="1559"/>
      <c r="L95" s="1559"/>
      <c r="M95" s="1559"/>
      <c r="N95" s="1559"/>
      <c r="O95" s="1559"/>
      <c r="P95" s="1559"/>
      <c r="Q95" s="1559"/>
      <c r="R95" s="1559"/>
      <c r="S95" s="1559"/>
      <c r="T95" s="1559"/>
      <c r="U95" s="1559"/>
      <c r="V95" s="1559"/>
      <c r="W95" s="1563">
        <f>unos!F76</f>
        <v>0</v>
      </c>
      <c r="X95" s="1594"/>
      <c r="Y95" s="1594"/>
      <c r="Z95" s="1594"/>
      <c r="AA95" s="1594"/>
      <c r="AB95" s="1594"/>
      <c r="AC95" s="1594"/>
      <c r="AD95" s="1594"/>
      <c r="AE95" s="1595"/>
      <c r="AF95" s="1563">
        <f>unos!G76</f>
        <v>0</v>
      </c>
      <c r="AG95" s="1594"/>
      <c r="AH95" s="1594"/>
      <c r="AI95" s="1594"/>
      <c r="AJ95" s="1594"/>
      <c r="AK95" s="1594"/>
      <c r="AL95" s="1594"/>
      <c r="AM95" s="1594"/>
      <c r="AN95" s="1595"/>
      <c r="AO95" s="1184">
        <f t="shared" si="3"/>
        <v>0</v>
      </c>
    </row>
    <row r="96" spans="1:41">
      <c r="A96" s="1574" t="str">
        <f>unos!A77</f>
        <v>536</v>
      </c>
      <c r="B96" s="1575"/>
      <c r="C96" s="1575"/>
      <c r="D96" s="1576"/>
      <c r="E96" s="1558" t="str">
        <f>unos!B77</f>
        <v>Troškovi istraživanja</v>
      </c>
      <c r="F96" s="1559"/>
      <c r="G96" s="1559"/>
      <c r="H96" s="1559"/>
      <c r="I96" s="1559"/>
      <c r="J96" s="1559"/>
      <c r="K96" s="1559"/>
      <c r="L96" s="1559"/>
      <c r="M96" s="1559"/>
      <c r="N96" s="1559"/>
      <c r="O96" s="1559"/>
      <c r="P96" s="1559"/>
      <c r="Q96" s="1559"/>
      <c r="R96" s="1559"/>
      <c r="S96" s="1559"/>
      <c r="T96" s="1559"/>
      <c r="U96" s="1559"/>
      <c r="V96" s="1559"/>
      <c r="W96" s="1563">
        <f>unos!F77</f>
        <v>0</v>
      </c>
      <c r="X96" s="1594"/>
      <c r="Y96" s="1594"/>
      <c r="Z96" s="1594"/>
      <c r="AA96" s="1594"/>
      <c r="AB96" s="1594"/>
      <c r="AC96" s="1594"/>
      <c r="AD96" s="1594"/>
      <c r="AE96" s="1595"/>
      <c r="AF96" s="1563">
        <f>unos!G77</f>
        <v>0</v>
      </c>
      <c r="AG96" s="1594"/>
      <c r="AH96" s="1594"/>
      <c r="AI96" s="1594"/>
      <c r="AJ96" s="1594"/>
      <c r="AK96" s="1594"/>
      <c r="AL96" s="1594"/>
      <c r="AM96" s="1594"/>
      <c r="AN96" s="1595"/>
      <c r="AO96" s="1184">
        <f t="shared" si="3"/>
        <v>0</v>
      </c>
    </row>
    <row r="97" spans="1:41">
      <c r="A97" s="1574" t="str">
        <f>unos!A78</f>
        <v>537</v>
      </c>
      <c r="B97" s="1575"/>
      <c r="C97" s="1575"/>
      <c r="D97" s="1576"/>
      <c r="E97" s="1558" t="str">
        <f>unos!B78</f>
        <v>Trošklovi razvoja koji se ne kapitaliziraju</v>
      </c>
      <c r="F97" s="1559"/>
      <c r="G97" s="1559"/>
      <c r="H97" s="1559"/>
      <c r="I97" s="1559"/>
      <c r="J97" s="1559"/>
      <c r="K97" s="1559"/>
      <c r="L97" s="1559"/>
      <c r="M97" s="1559"/>
      <c r="N97" s="1559"/>
      <c r="O97" s="1559"/>
      <c r="P97" s="1559"/>
      <c r="Q97" s="1559"/>
      <c r="R97" s="1559"/>
      <c r="S97" s="1559"/>
      <c r="T97" s="1559"/>
      <c r="U97" s="1559"/>
      <c r="V97" s="1559"/>
      <c r="W97" s="1563">
        <f>unos!F78</f>
        <v>0</v>
      </c>
      <c r="X97" s="1594"/>
      <c r="Y97" s="1594"/>
      <c r="Z97" s="1594"/>
      <c r="AA97" s="1594"/>
      <c r="AB97" s="1594"/>
      <c r="AC97" s="1594"/>
      <c r="AD97" s="1594"/>
      <c r="AE97" s="1595"/>
      <c r="AF97" s="1563">
        <f>unos!G78</f>
        <v>0</v>
      </c>
      <c r="AG97" s="1594"/>
      <c r="AH97" s="1594"/>
      <c r="AI97" s="1594"/>
      <c r="AJ97" s="1594"/>
      <c r="AK97" s="1594"/>
      <c r="AL97" s="1594"/>
      <c r="AM97" s="1594"/>
      <c r="AN97" s="1595"/>
      <c r="AO97" s="1184">
        <f t="shared" si="3"/>
        <v>0</v>
      </c>
    </row>
    <row r="98" spans="1:41">
      <c r="A98" s="1574" t="str">
        <f>unos!A79</f>
        <v>539</v>
      </c>
      <c r="B98" s="1575"/>
      <c r="C98" s="1575"/>
      <c r="D98" s="1576"/>
      <c r="E98" s="1558" t="str">
        <f>unos!B79</f>
        <v>Troškovi ostalih usluga</v>
      </c>
      <c r="F98" s="1559"/>
      <c r="G98" s="1559"/>
      <c r="H98" s="1559"/>
      <c r="I98" s="1559"/>
      <c r="J98" s="1559"/>
      <c r="K98" s="1559"/>
      <c r="L98" s="1559"/>
      <c r="M98" s="1559"/>
      <c r="N98" s="1559"/>
      <c r="O98" s="1559"/>
      <c r="P98" s="1559"/>
      <c r="Q98" s="1559"/>
      <c r="R98" s="1559"/>
      <c r="S98" s="1559"/>
      <c r="T98" s="1559"/>
      <c r="U98" s="1559"/>
      <c r="V98" s="1559"/>
      <c r="W98" s="1563">
        <f>unos!F79</f>
        <v>0</v>
      </c>
      <c r="X98" s="1594"/>
      <c r="Y98" s="1594"/>
      <c r="Z98" s="1594"/>
      <c r="AA98" s="1594"/>
      <c r="AB98" s="1594"/>
      <c r="AC98" s="1594"/>
      <c r="AD98" s="1594"/>
      <c r="AE98" s="1595"/>
      <c r="AF98" s="1563">
        <f>unos!G79</f>
        <v>0</v>
      </c>
      <c r="AG98" s="1594"/>
      <c r="AH98" s="1594"/>
      <c r="AI98" s="1594"/>
      <c r="AJ98" s="1594"/>
      <c r="AK98" s="1594"/>
      <c r="AL98" s="1594"/>
      <c r="AM98" s="1594"/>
      <c r="AN98" s="1595"/>
      <c r="AO98" s="1184">
        <f t="shared" si="3"/>
        <v>0</v>
      </c>
    </row>
    <row r="99" spans="1:41">
      <c r="A99" s="1616"/>
      <c r="B99" s="1577"/>
      <c r="C99" s="1577"/>
      <c r="D99" s="1577"/>
      <c r="F99" s="1164"/>
      <c r="G99" s="1164"/>
      <c r="H99" s="1164"/>
      <c r="I99" s="1164"/>
      <c r="J99" s="1164"/>
      <c r="K99" s="1164"/>
      <c r="L99" s="1164"/>
      <c r="M99" s="1164"/>
      <c r="N99" s="1164"/>
      <c r="O99" s="1164"/>
      <c r="P99" s="1164"/>
      <c r="Q99" s="1164"/>
      <c r="R99" s="1164"/>
      <c r="V99" s="1165" t="s">
        <v>1997</v>
      </c>
      <c r="W99" s="1617">
        <f>SUM(W90:W98)</f>
        <v>0</v>
      </c>
      <c r="X99" s="1618"/>
      <c r="Y99" s="1618"/>
      <c r="Z99" s="1618"/>
      <c r="AA99" s="1618"/>
      <c r="AB99" s="1618"/>
      <c r="AC99" s="1618"/>
      <c r="AD99" s="1618"/>
      <c r="AE99" s="1619"/>
      <c r="AF99" s="1617">
        <f>SUM(AF90:AF98)</f>
        <v>0</v>
      </c>
      <c r="AG99" s="1618"/>
      <c r="AH99" s="1618"/>
      <c r="AI99" s="1618"/>
      <c r="AJ99" s="1618"/>
      <c r="AK99" s="1618"/>
      <c r="AL99" s="1618"/>
      <c r="AM99" s="1618"/>
      <c r="AN99" s="1619"/>
      <c r="AO99" s="1185">
        <f t="shared" si="3"/>
        <v>0</v>
      </c>
    </row>
    <row r="100" spans="1:41" ht="7.5" customHeight="1"/>
    <row r="101" spans="1:41">
      <c r="A101" s="1581"/>
      <c r="B101" s="1581"/>
      <c r="C101" s="1581"/>
      <c r="D101" s="1581"/>
      <c r="E101" s="1581"/>
      <c r="F101" s="1581"/>
      <c r="G101" s="1581"/>
      <c r="H101" s="1581"/>
      <c r="I101" s="1581"/>
      <c r="J101" s="1581"/>
      <c r="K101" s="1581"/>
      <c r="L101" s="1581"/>
      <c r="M101" s="1581"/>
      <c r="N101" s="1581"/>
      <c r="O101" s="1581"/>
      <c r="P101" s="1581"/>
      <c r="Q101" s="1581"/>
      <c r="R101" s="1581"/>
      <c r="S101" s="1581"/>
      <c r="T101" s="1581"/>
      <c r="U101" s="1581"/>
      <c r="V101" s="1581"/>
      <c r="W101" s="1581"/>
      <c r="X101" s="1581"/>
      <c r="Y101" s="1581"/>
      <c r="Z101" s="1581"/>
      <c r="AA101" s="1581"/>
      <c r="AB101" s="1581"/>
      <c r="AC101" s="1581"/>
      <c r="AD101" s="1581"/>
      <c r="AE101" s="1581"/>
      <c r="AF101" s="1581"/>
      <c r="AG101" s="1581"/>
      <c r="AH101" s="1581"/>
      <c r="AI101" s="1581"/>
      <c r="AJ101" s="1581"/>
      <c r="AK101" s="1581"/>
      <c r="AL101" s="1581"/>
      <c r="AM101" s="1581"/>
      <c r="AN101" s="1581"/>
    </row>
    <row r="102" spans="1:41">
      <c r="A102" s="1581"/>
      <c r="B102" s="1581"/>
      <c r="C102" s="1581"/>
      <c r="D102" s="1581"/>
      <c r="E102" s="1581"/>
      <c r="F102" s="1581"/>
      <c r="G102" s="1581"/>
      <c r="H102" s="1581"/>
      <c r="I102" s="1581"/>
      <c r="J102" s="1581"/>
      <c r="K102" s="1581"/>
      <c r="L102" s="1581"/>
      <c r="M102" s="1581"/>
      <c r="N102" s="1581"/>
      <c r="O102" s="1581"/>
      <c r="P102" s="1581"/>
      <c r="Q102" s="1581"/>
      <c r="R102" s="1581"/>
      <c r="S102" s="1581"/>
      <c r="T102" s="1581"/>
      <c r="U102" s="1581"/>
      <c r="V102" s="1581"/>
      <c r="W102" s="1581"/>
      <c r="X102" s="1581"/>
      <c r="Y102" s="1581"/>
      <c r="Z102" s="1581"/>
      <c r="AA102" s="1581"/>
      <c r="AB102" s="1581"/>
      <c r="AC102" s="1581"/>
      <c r="AD102" s="1581"/>
      <c r="AE102" s="1581"/>
      <c r="AF102" s="1581"/>
      <c r="AG102" s="1581"/>
      <c r="AH102" s="1581"/>
      <c r="AI102" s="1581"/>
      <c r="AJ102" s="1581"/>
      <c r="AK102" s="1581"/>
      <c r="AL102" s="1581"/>
      <c r="AM102" s="1581"/>
      <c r="AN102" s="1581"/>
    </row>
    <row r="103" spans="1:41">
      <c r="A103" s="1581"/>
      <c r="B103" s="1581"/>
      <c r="C103" s="1581"/>
      <c r="D103" s="1581"/>
      <c r="E103" s="1581"/>
      <c r="F103" s="1581"/>
      <c r="G103" s="1581"/>
      <c r="H103" s="1581"/>
      <c r="I103" s="1581"/>
      <c r="J103" s="1581"/>
      <c r="K103" s="1581"/>
      <c r="L103" s="1581"/>
      <c r="M103" s="1581"/>
      <c r="N103" s="1581"/>
      <c r="O103" s="1581"/>
      <c r="P103" s="1581"/>
      <c r="Q103" s="1581"/>
      <c r="R103" s="1581"/>
      <c r="S103" s="1581"/>
      <c r="T103" s="1581"/>
      <c r="U103" s="1581"/>
      <c r="V103" s="1581"/>
      <c r="W103" s="1581"/>
      <c r="X103" s="1581"/>
      <c r="Y103" s="1581"/>
      <c r="Z103" s="1581"/>
      <c r="AA103" s="1581"/>
      <c r="AB103" s="1581"/>
      <c r="AC103" s="1581"/>
      <c r="AD103" s="1581"/>
      <c r="AE103" s="1581"/>
      <c r="AF103" s="1581"/>
      <c r="AG103" s="1581"/>
      <c r="AH103" s="1581"/>
      <c r="AI103" s="1581"/>
      <c r="AJ103" s="1581"/>
      <c r="AK103" s="1581"/>
      <c r="AL103" s="1581"/>
      <c r="AM103" s="1581"/>
      <c r="AN103" s="1581"/>
    </row>
    <row r="104" spans="1:41">
      <c r="A104" s="1581"/>
      <c r="B104" s="1581"/>
      <c r="C104" s="1581"/>
      <c r="D104" s="1581"/>
      <c r="E104" s="1581"/>
      <c r="F104" s="1581"/>
      <c r="G104" s="1581"/>
      <c r="H104" s="1581"/>
      <c r="I104" s="1581"/>
      <c r="J104" s="1581"/>
      <c r="K104" s="1581"/>
      <c r="L104" s="1581"/>
      <c r="M104" s="1581"/>
      <c r="N104" s="1581"/>
      <c r="O104" s="1581"/>
      <c r="P104" s="1581"/>
      <c r="Q104" s="1581"/>
      <c r="R104" s="1581"/>
      <c r="S104" s="1581"/>
      <c r="T104" s="1581"/>
      <c r="U104" s="1581"/>
      <c r="V104" s="1581"/>
      <c r="W104" s="1581"/>
      <c r="X104" s="1581"/>
      <c r="Y104" s="1581"/>
      <c r="Z104" s="1581"/>
      <c r="AA104" s="1581"/>
      <c r="AB104" s="1581"/>
      <c r="AC104" s="1581"/>
      <c r="AD104" s="1581"/>
      <c r="AE104" s="1581"/>
      <c r="AF104" s="1581"/>
      <c r="AG104" s="1581"/>
      <c r="AH104" s="1581"/>
      <c r="AI104" s="1581"/>
      <c r="AJ104" s="1581"/>
      <c r="AK104" s="1581"/>
      <c r="AL104" s="1581"/>
      <c r="AM104" s="1581"/>
      <c r="AN104" s="1581"/>
    </row>
    <row r="106" spans="1:41">
      <c r="A106" s="828" t="s">
        <v>1933</v>
      </c>
      <c r="B106" s="828" t="s">
        <v>2003</v>
      </c>
    </row>
    <row r="107" spans="1:41" ht="8.25" customHeight="1"/>
    <row r="108" spans="1:41" ht="14.25" customHeight="1">
      <c r="W108" s="1610" t="s">
        <v>1995</v>
      </c>
      <c r="X108" s="1611"/>
      <c r="Y108" s="1611"/>
      <c r="Z108" s="1611"/>
      <c r="AA108" s="1611"/>
      <c r="AB108" s="1611"/>
      <c r="AC108" s="1611"/>
      <c r="AD108" s="1611"/>
      <c r="AE108" s="1611"/>
      <c r="AF108" s="1611"/>
      <c r="AG108" s="1611"/>
      <c r="AH108" s="1611"/>
      <c r="AI108" s="1611"/>
      <c r="AJ108" s="1611"/>
      <c r="AK108" s="1611"/>
      <c r="AL108" s="1611"/>
      <c r="AM108" s="1611"/>
      <c r="AN108" s="1612"/>
    </row>
    <row r="109" spans="1:41">
      <c r="A109" s="1582" t="s">
        <v>1996</v>
      </c>
      <c r="B109" s="1583"/>
      <c r="C109" s="1583"/>
      <c r="D109" s="1584"/>
      <c r="E109" s="1567" t="s">
        <v>796</v>
      </c>
      <c r="F109" s="1567"/>
      <c r="G109" s="1567"/>
      <c r="H109" s="1567"/>
      <c r="I109" s="1567"/>
      <c r="J109" s="1567"/>
      <c r="K109" s="1567"/>
      <c r="L109" s="1567"/>
      <c r="M109" s="1567"/>
      <c r="N109" s="1567"/>
      <c r="O109" s="1567"/>
      <c r="P109" s="1567"/>
      <c r="Q109" s="1567"/>
      <c r="R109" s="1567"/>
      <c r="S109" s="1567"/>
      <c r="T109" s="1567"/>
      <c r="U109" s="1567"/>
      <c r="V109" s="1567"/>
      <c r="W109" s="1568" t="s">
        <v>1039</v>
      </c>
      <c r="X109" s="1569"/>
      <c r="Y109" s="1569"/>
      <c r="Z109" s="1569"/>
      <c r="AA109" s="1569"/>
      <c r="AB109" s="1569"/>
      <c r="AC109" s="1569"/>
      <c r="AD109" s="1569"/>
      <c r="AE109" s="1570"/>
      <c r="AF109" s="1571" t="s">
        <v>278</v>
      </c>
      <c r="AG109" s="1572"/>
      <c r="AH109" s="1572"/>
      <c r="AI109" s="1572"/>
      <c r="AJ109" s="1572"/>
      <c r="AK109" s="1572"/>
      <c r="AL109" s="1572"/>
      <c r="AM109" s="1572"/>
      <c r="AN109" s="1573"/>
      <c r="AO109" s="1187" t="s">
        <v>2766</v>
      </c>
    </row>
    <row r="110" spans="1:41">
      <c r="A110" s="1574" t="str">
        <f>unos!A80</f>
        <v>540</v>
      </c>
      <c r="B110" s="1575"/>
      <c r="C110" s="1575"/>
      <c r="D110" s="1576"/>
      <c r="E110" s="1558" t="str">
        <f>unos!B80</f>
        <v>Amortizacija do visine porezno priznatih rashoda</v>
      </c>
      <c r="F110" s="1559"/>
      <c r="G110" s="1559"/>
      <c r="H110" s="1559"/>
      <c r="I110" s="1559"/>
      <c r="J110" s="1559"/>
      <c r="K110" s="1559"/>
      <c r="L110" s="1559"/>
      <c r="M110" s="1559"/>
      <c r="N110" s="1559"/>
      <c r="O110" s="1559"/>
      <c r="P110" s="1559"/>
      <c r="Q110" s="1559"/>
      <c r="R110" s="1559"/>
      <c r="S110" s="1559"/>
      <c r="T110" s="1559"/>
      <c r="U110" s="1559"/>
      <c r="V110" s="1559"/>
      <c r="W110" s="1563">
        <f>unos!F80</f>
        <v>0</v>
      </c>
      <c r="X110" s="1594"/>
      <c r="Y110" s="1594"/>
      <c r="Z110" s="1594"/>
      <c r="AA110" s="1594"/>
      <c r="AB110" s="1594"/>
      <c r="AC110" s="1594"/>
      <c r="AD110" s="1594"/>
      <c r="AE110" s="1595"/>
      <c r="AF110" s="1563">
        <f>unos!G80</f>
        <v>0</v>
      </c>
      <c r="AG110" s="1594"/>
      <c r="AH110" s="1594"/>
      <c r="AI110" s="1594"/>
      <c r="AJ110" s="1594"/>
      <c r="AK110" s="1594"/>
      <c r="AL110" s="1594"/>
      <c r="AM110" s="1594"/>
      <c r="AN110" s="1595"/>
      <c r="AO110" s="1184">
        <f>IF(OR(W110=0,AF110=0),0,ROUND(AF110/W110,4))</f>
        <v>0</v>
      </c>
    </row>
    <row r="111" spans="1:41">
      <c r="A111" s="1574" t="str">
        <f>unos!A81</f>
        <v>541</v>
      </c>
      <c r="B111" s="1575"/>
      <c r="C111" s="1575"/>
      <c r="D111" s="1576"/>
      <c r="E111" s="1558" t="str">
        <f>unos!B81</f>
        <v>Amortizacija - privremeno porezno nepriznati rashod</v>
      </c>
      <c r="F111" s="1559"/>
      <c r="G111" s="1559"/>
      <c r="H111" s="1559"/>
      <c r="I111" s="1559"/>
      <c r="J111" s="1559"/>
      <c r="K111" s="1559"/>
      <c r="L111" s="1559"/>
      <c r="M111" s="1559"/>
      <c r="N111" s="1559"/>
      <c r="O111" s="1559"/>
      <c r="P111" s="1559"/>
      <c r="Q111" s="1559"/>
      <c r="R111" s="1559"/>
      <c r="S111" s="1559"/>
      <c r="T111" s="1559"/>
      <c r="U111" s="1559"/>
      <c r="V111" s="1559"/>
      <c r="W111" s="1563">
        <f>unos!F81</f>
        <v>0</v>
      </c>
      <c r="X111" s="1594"/>
      <c r="Y111" s="1594"/>
      <c r="Z111" s="1594"/>
      <c r="AA111" s="1594"/>
      <c r="AB111" s="1594"/>
      <c r="AC111" s="1594"/>
      <c r="AD111" s="1594"/>
      <c r="AE111" s="1595"/>
      <c r="AF111" s="1563">
        <f>unos!G81</f>
        <v>0</v>
      </c>
      <c r="AG111" s="1594"/>
      <c r="AH111" s="1594"/>
      <c r="AI111" s="1594"/>
      <c r="AJ111" s="1594"/>
      <c r="AK111" s="1594"/>
      <c r="AL111" s="1594"/>
      <c r="AM111" s="1594"/>
      <c r="AN111" s="1595"/>
      <c r="AO111" s="1184">
        <f>IF(OR(W111=0,AF111=0),0,ROUND(AF111/W111,4))</f>
        <v>0</v>
      </c>
    </row>
    <row r="112" spans="1:41">
      <c r="A112" s="1574" t="str">
        <f>unos!A82</f>
        <v>542</v>
      </c>
      <c r="B112" s="1575"/>
      <c r="C112" s="1575"/>
      <c r="D112" s="1576"/>
      <c r="E112" s="1558" t="str">
        <f>unos!B82</f>
        <v>Amortizacija - trajno neprizanti rashod</v>
      </c>
      <c r="F112" s="1559"/>
      <c r="G112" s="1559"/>
      <c r="H112" s="1559"/>
      <c r="I112" s="1559"/>
      <c r="J112" s="1559"/>
      <c r="K112" s="1559"/>
      <c r="L112" s="1559"/>
      <c r="M112" s="1559"/>
      <c r="N112" s="1559"/>
      <c r="O112" s="1559"/>
      <c r="P112" s="1559"/>
      <c r="Q112" s="1559"/>
      <c r="R112" s="1559"/>
      <c r="S112" s="1559"/>
      <c r="T112" s="1559"/>
      <c r="U112" s="1559"/>
      <c r="V112" s="1559"/>
      <c r="W112" s="1563">
        <f>unos!F82</f>
        <v>0</v>
      </c>
      <c r="X112" s="1594"/>
      <c r="Y112" s="1594"/>
      <c r="Z112" s="1594"/>
      <c r="AA112" s="1594"/>
      <c r="AB112" s="1594"/>
      <c r="AC112" s="1594"/>
      <c r="AD112" s="1594"/>
      <c r="AE112" s="1595"/>
      <c r="AF112" s="1563">
        <f>unos!G82</f>
        <v>0</v>
      </c>
      <c r="AG112" s="1594"/>
      <c r="AH112" s="1594"/>
      <c r="AI112" s="1594"/>
      <c r="AJ112" s="1594"/>
      <c r="AK112" s="1594"/>
      <c r="AL112" s="1594"/>
      <c r="AM112" s="1594"/>
      <c r="AN112" s="1595"/>
      <c r="AO112" s="1184">
        <f>IF(OR(W112=0,AF112=0),0,ROUND(AF112/W112,4))</f>
        <v>0</v>
      </c>
    </row>
    <row r="113" spans="1:41">
      <c r="A113" s="1616"/>
      <c r="B113" s="1577"/>
      <c r="C113" s="1577"/>
      <c r="D113" s="1577"/>
      <c r="F113" s="1164"/>
      <c r="G113" s="1164"/>
      <c r="H113" s="1164"/>
      <c r="I113" s="1164"/>
      <c r="J113" s="1164"/>
      <c r="K113" s="1164"/>
      <c r="L113" s="1164"/>
      <c r="M113" s="1164"/>
      <c r="N113" s="1164"/>
      <c r="O113" s="1164"/>
      <c r="P113" s="1164"/>
      <c r="Q113" s="1164"/>
      <c r="R113" s="1164"/>
      <c r="V113" s="1165" t="s">
        <v>1997</v>
      </c>
      <c r="W113" s="1617">
        <f>SUM(W110:W112)</f>
        <v>0</v>
      </c>
      <c r="X113" s="1618"/>
      <c r="Y113" s="1618"/>
      <c r="Z113" s="1618"/>
      <c r="AA113" s="1618"/>
      <c r="AB113" s="1618"/>
      <c r="AC113" s="1618"/>
      <c r="AD113" s="1618"/>
      <c r="AE113" s="1619"/>
      <c r="AF113" s="1617">
        <f>SUM(AF110:AF112)</f>
        <v>0</v>
      </c>
      <c r="AG113" s="1618"/>
      <c r="AH113" s="1618"/>
      <c r="AI113" s="1618"/>
      <c r="AJ113" s="1618"/>
      <c r="AK113" s="1618"/>
      <c r="AL113" s="1618"/>
      <c r="AM113" s="1618"/>
      <c r="AN113" s="1619"/>
      <c r="AO113" s="1187" t="s">
        <v>2766</v>
      </c>
    </row>
    <row r="114" spans="1:41" ht="7.5" customHeight="1"/>
    <row r="115" spans="1:41">
      <c r="A115" s="1581"/>
      <c r="B115" s="1581"/>
      <c r="C115" s="1581"/>
      <c r="D115" s="1581"/>
      <c r="E115" s="1581"/>
      <c r="F115" s="1581"/>
      <c r="G115" s="1581"/>
      <c r="H115" s="1581"/>
      <c r="I115" s="1581"/>
      <c r="J115" s="1581"/>
      <c r="K115" s="1581"/>
      <c r="L115" s="1581"/>
      <c r="M115" s="1581"/>
      <c r="N115" s="1581"/>
      <c r="O115" s="1581"/>
      <c r="P115" s="1581"/>
      <c r="Q115" s="1581"/>
      <c r="R115" s="1581"/>
      <c r="S115" s="1581"/>
      <c r="T115" s="1581"/>
      <c r="U115" s="1581"/>
      <c r="V115" s="1581"/>
      <c r="W115" s="1581"/>
      <c r="X115" s="1581"/>
      <c r="Y115" s="1581"/>
      <c r="Z115" s="1581"/>
      <c r="AA115" s="1581"/>
      <c r="AB115" s="1581"/>
      <c r="AC115" s="1581"/>
      <c r="AD115" s="1581"/>
      <c r="AE115" s="1581"/>
      <c r="AF115" s="1581"/>
      <c r="AG115" s="1581"/>
      <c r="AH115" s="1581"/>
      <c r="AI115" s="1581"/>
      <c r="AJ115" s="1581"/>
      <c r="AK115" s="1581"/>
      <c r="AL115" s="1581"/>
      <c r="AM115" s="1581"/>
      <c r="AN115" s="1581"/>
    </row>
    <row r="116" spans="1:41">
      <c r="A116" s="1581"/>
      <c r="B116" s="1581"/>
      <c r="C116" s="1581"/>
      <c r="D116" s="1581"/>
      <c r="E116" s="1581"/>
      <c r="F116" s="1581"/>
      <c r="G116" s="1581"/>
      <c r="H116" s="1581"/>
      <c r="I116" s="1581"/>
      <c r="J116" s="1581"/>
      <c r="K116" s="1581"/>
      <c r="L116" s="1581"/>
      <c r="M116" s="1581"/>
      <c r="N116" s="1581"/>
      <c r="O116" s="1581"/>
      <c r="P116" s="1581"/>
      <c r="Q116" s="1581"/>
      <c r="R116" s="1581"/>
      <c r="S116" s="1581"/>
      <c r="T116" s="1581"/>
      <c r="U116" s="1581"/>
      <c r="V116" s="1581"/>
      <c r="W116" s="1581"/>
      <c r="X116" s="1581"/>
      <c r="Y116" s="1581"/>
      <c r="Z116" s="1581"/>
      <c r="AA116" s="1581"/>
      <c r="AB116" s="1581"/>
      <c r="AC116" s="1581"/>
      <c r="AD116" s="1581"/>
      <c r="AE116" s="1581"/>
      <c r="AF116" s="1581"/>
      <c r="AG116" s="1581"/>
      <c r="AH116" s="1581"/>
      <c r="AI116" s="1581"/>
      <c r="AJ116" s="1581"/>
      <c r="AK116" s="1581"/>
      <c r="AL116" s="1581"/>
      <c r="AM116" s="1581"/>
      <c r="AN116" s="1581"/>
    </row>
    <row r="117" spans="1:41">
      <c r="A117" s="1581"/>
      <c r="B117" s="1581"/>
      <c r="C117" s="1581"/>
      <c r="D117" s="1581"/>
      <c r="E117" s="1581"/>
      <c r="F117" s="1581"/>
      <c r="G117" s="1581"/>
      <c r="H117" s="1581"/>
      <c r="I117" s="1581"/>
      <c r="J117" s="1581"/>
      <c r="K117" s="1581"/>
      <c r="L117" s="1581"/>
      <c r="M117" s="1581"/>
      <c r="N117" s="1581"/>
      <c r="O117" s="1581"/>
      <c r="P117" s="1581"/>
      <c r="Q117" s="1581"/>
      <c r="R117" s="1581"/>
      <c r="S117" s="1581"/>
      <c r="T117" s="1581"/>
      <c r="U117" s="1581"/>
      <c r="V117" s="1581"/>
      <c r="W117" s="1581"/>
      <c r="X117" s="1581"/>
      <c r="Y117" s="1581"/>
      <c r="Z117" s="1581"/>
      <c r="AA117" s="1581"/>
      <c r="AB117" s="1581"/>
      <c r="AC117" s="1581"/>
      <c r="AD117" s="1581"/>
      <c r="AE117" s="1581"/>
      <c r="AF117" s="1581"/>
      <c r="AG117" s="1581"/>
      <c r="AH117" s="1581"/>
      <c r="AI117" s="1581"/>
      <c r="AJ117" s="1581"/>
      <c r="AK117" s="1581"/>
      <c r="AL117" s="1581"/>
      <c r="AM117" s="1581"/>
      <c r="AN117" s="1581"/>
    </row>
    <row r="118" spans="1:41">
      <c r="A118" s="1581"/>
      <c r="B118" s="1581"/>
      <c r="C118" s="1581"/>
      <c r="D118" s="1581"/>
      <c r="E118" s="1581"/>
      <c r="F118" s="1581"/>
      <c r="G118" s="1581"/>
      <c r="H118" s="1581"/>
      <c r="I118" s="1581"/>
      <c r="J118" s="1581"/>
      <c r="K118" s="1581"/>
      <c r="L118" s="1581"/>
      <c r="M118" s="1581"/>
      <c r="N118" s="1581"/>
      <c r="O118" s="1581"/>
      <c r="P118" s="1581"/>
      <c r="Q118" s="1581"/>
      <c r="R118" s="1581"/>
      <c r="S118" s="1581"/>
      <c r="T118" s="1581"/>
      <c r="U118" s="1581"/>
      <c r="V118" s="1581"/>
      <c r="W118" s="1581"/>
      <c r="X118" s="1581"/>
      <c r="Y118" s="1581"/>
      <c r="Z118" s="1581"/>
      <c r="AA118" s="1581"/>
      <c r="AB118" s="1581"/>
      <c r="AC118" s="1581"/>
      <c r="AD118" s="1581"/>
      <c r="AE118" s="1581"/>
      <c r="AF118" s="1581"/>
      <c r="AG118" s="1581"/>
      <c r="AH118" s="1581"/>
      <c r="AI118" s="1581"/>
      <c r="AJ118" s="1581"/>
      <c r="AK118" s="1581"/>
      <c r="AL118" s="1581"/>
      <c r="AM118" s="1581"/>
      <c r="AN118" s="1581"/>
    </row>
    <row r="119" spans="1:41" ht="6.75" customHeight="1"/>
    <row r="120" spans="1:41">
      <c r="A120" s="828" t="s">
        <v>1933</v>
      </c>
      <c r="B120" s="828" t="s">
        <v>2004</v>
      </c>
    </row>
    <row r="121" spans="1:41" ht="6.75" customHeight="1"/>
    <row r="122" spans="1:41" ht="14.25" customHeight="1">
      <c r="W122" s="1610" t="s">
        <v>1995</v>
      </c>
      <c r="X122" s="1611"/>
      <c r="Y122" s="1611"/>
      <c r="Z122" s="1611"/>
      <c r="AA122" s="1611"/>
      <c r="AB122" s="1611"/>
      <c r="AC122" s="1611"/>
      <c r="AD122" s="1611"/>
      <c r="AE122" s="1611"/>
      <c r="AF122" s="1611"/>
      <c r="AG122" s="1611"/>
      <c r="AH122" s="1611"/>
      <c r="AI122" s="1611"/>
      <c r="AJ122" s="1611"/>
      <c r="AK122" s="1611"/>
      <c r="AL122" s="1611"/>
      <c r="AM122" s="1611"/>
      <c r="AN122" s="1612"/>
    </row>
    <row r="123" spans="1:41">
      <c r="A123" s="1568" t="s">
        <v>1996</v>
      </c>
      <c r="B123" s="1569"/>
      <c r="C123" s="1569"/>
      <c r="D123" s="1570"/>
      <c r="E123" s="1623" t="s">
        <v>796</v>
      </c>
      <c r="F123" s="1623"/>
      <c r="G123" s="1623"/>
      <c r="H123" s="1623"/>
      <c r="I123" s="1623"/>
      <c r="J123" s="1623"/>
      <c r="K123" s="1623"/>
      <c r="L123" s="1623"/>
      <c r="M123" s="1623"/>
      <c r="N123" s="1623"/>
      <c r="O123" s="1623"/>
      <c r="P123" s="1623"/>
      <c r="Q123" s="1623"/>
      <c r="R123" s="1623"/>
      <c r="S123" s="1623"/>
      <c r="T123" s="1623"/>
      <c r="U123" s="1623"/>
      <c r="V123" s="1623"/>
      <c r="W123" s="1568" t="s">
        <v>1039</v>
      </c>
      <c r="X123" s="1569"/>
      <c r="Y123" s="1569"/>
      <c r="Z123" s="1569"/>
      <c r="AA123" s="1569"/>
      <c r="AB123" s="1569"/>
      <c r="AC123" s="1569"/>
      <c r="AD123" s="1569"/>
      <c r="AE123" s="1570"/>
      <c r="AF123" s="1571" t="s">
        <v>278</v>
      </c>
      <c r="AG123" s="1572"/>
      <c r="AH123" s="1572"/>
      <c r="AI123" s="1572"/>
      <c r="AJ123" s="1572"/>
      <c r="AK123" s="1572"/>
      <c r="AL123" s="1572"/>
      <c r="AM123" s="1572"/>
      <c r="AN123" s="1573"/>
      <c r="AO123" s="1187" t="s">
        <v>2766</v>
      </c>
    </row>
    <row r="124" spans="1:41">
      <c r="A124" s="1574" t="str">
        <f>unos!A83</f>
        <v>543</v>
      </c>
      <c r="B124" s="1575"/>
      <c r="C124" s="1575"/>
      <c r="D124" s="1576"/>
      <c r="E124" s="1558" t="str">
        <f>unos!B83</f>
        <v>Troškovi rezervisanja iz osnova datih garantnih rokova</v>
      </c>
      <c r="F124" s="1559"/>
      <c r="G124" s="1559"/>
      <c r="H124" s="1559"/>
      <c r="I124" s="1559"/>
      <c r="J124" s="1559"/>
      <c r="K124" s="1559"/>
      <c r="L124" s="1559"/>
      <c r="M124" s="1559"/>
      <c r="N124" s="1559"/>
      <c r="O124" s="1559"/>
      <c r="P124" s="1559"/>
      <c r="Q124" s="1559"/>
      <c r="R124" s="1559"/>
      <c r="S124" s="1559"/>
      <c r="T124" s="1559"/>
      <c r="U124" s="1559"/>
      <c r="V124" s="1559"/>
      <c r="W124" s="1563">
        <f>unos!F83</f>
        <v>0</v>
      </c>
      <c r="X124" s="1594"/>
      <c r="Y124" s="1594"/>
      <c r="Z124" s="1594"/>
      <c r="AA124" s="1594"/>
      <c r="AB124" s="1594"/>
      <c r="AC124" s="1594"/>
      <c r="AD124" s="1594"/>
      <c r="AE124" s="1595"/>
      <c r="AF124" s="1563">
        <f>unos!G83</f>
        <v>0</v>
      </c>
      <c r="AG124" s="1594"/>
      <c r="AH124" s="1594"/>
      <c r="AI124" s="1594"/>
      <c r="AJ124" s="1594"/>
      <c r="AK124" s="1594"/>
      <c r="AL124" s="1594"/>
      <c r="AM124" s="1594"/>
      <c r="AN124" s="1595"/>
      <c r="AO124" s="1184">
        <f>IF(OR(W124=0,AF124=0),0,ROUND(AF124/W124,4))</f>
        <v>0</v>
      </c>
    </row>
    <row r="125" spans="1:41">
      <c r="A125" s="1574" t="str">
        <f>unos!A84</f>
        <v>544</v>
      </c>
      <c r="B125" s="1575"/>
      <c r="C125" s="1575"/>
      <c r="D125" s="1576"/>
      <c r="E125" s="1558" t="str">
        <f>unos!B84</f>
        <v>Troškovi rezervisanja za obnavljanje prirodnih bogatstava</v>
      </c>
      <c r="F125" s="1559"/>
      <c r="G125" s="1559"/>
      <c r="H125" s="1559"/>
      <c r="I125" s="1559"/>
      <c r="J125" s="1559"/>
      <c r="K125" s="1559"/>
      <c r="L125" s="1559"/>
      <c r="M125" s="1559"/>
      <c r="N125" s="1559"/>
      <c r="O125" s="1559"/>
      <c r="P125" s="1559"/>
      <c r="Q125" s="1559"/>
      <c r="R125" s="1559"/>
      <c r="S125" s="1559"/>
      <c r="T125" s="1559"/>
      <c r="U125" s="1559"/>
      <c r="V125" s="1559"/>
      <c r="W125" s="1563">
        <f>unos!F84</f>
        <v>0</v>
      </c>
      <c r="X125" s="1594"/>
      <c r="Y125" s="1594"/>
      <c r="Z125" s="1594"/>
      <c r="AA125" s="1594"/>
      <c r="AB125" s="1594"/>
      <c r="AC125" s="1594"/>
      <c r="AD125" s="1594"/>
      <c r="AE125" s="1595"/>
      <c r="AF125" s="1563">
        <f>unos!G84</f>
        <v>0</v>
      </c>
      <c r="AG125" s="1594"/>
      <c r="AH125" s="1594"/>
      <c r="AI125" s="1594"/>
      <c r="AJ125" s="1594"/>
      <c r="AK125" s="1594"/>
      <c r="AL125" s="1594"/>
      <c r="AM125" s="1594"/>
      <c r="AN125" s="1595"/>
      <c r="AO125" s="1184">
        <f t="shared" ref="AO125:AO130" si="4">IF(OR(W125=0,AF125=0),0,ROUND(AF125/W125,4))</f>
        <v>0</v>
      </c>
    </row>
    <row r="126" spans="1:41">
      <c r="A126" s="1574" t="str">
        <f>unos!A85</f>
        <v>545</v>
      </c>
      <c r="B126" s="1575"/>
      <c r="C126" s="1575"/>
      <c r="D126" s="1576"/>
      <c r="E126" s="1558" t="str">
        <f>unos!B85</f>
        <v>Troškovi rezervisanja za zadržane kaucije i depozite</v>
      </c>
      <c r="F126" s="1559"/>
      <c r="G126" s="1559"/>
      <c r="H126" s="1559"/>
      <c r="I126" s="1559"/>
      <c r="J126" s="1559"/>
      <c r="K126" s="1559"/>
      <c r="L126" s="1559"/>
      <c r="M126" s="1559"/>
      <c r="N126" s="1559"/>
      <c r="O126" s="1559"/>
      <c r="P126" s="1559"/>
      <c r="Q126" s="1559"/>
      <c r="R126" s="1559"/>
      <c r="S126" s="1559"/>
      <c r="T126" s="1559"/>
      <c r="U126" s="1559"/>
      <c r="V126" s="1559"/>
      <c r="W126" s="1563">
        <f>unos!F85</f>
        <v>0</v>
      </c>
      <c r="X126" s="1594"/>
      <c r="Y126" s="1594"/>
      <c r="Z126" s="1594"/>
      <c r="AA126" s="1594"/>
      <c r="AB126" s="1594"/>
      <c r="AC126" s="1594"/>
      <c r="AD126" s="1594"/>
      <c r="AE126" s="1595"/>
      <c r="AF126" s="1563">
        <f>unos!G85</f>
        <v>0</v>
      </c>
      <c r="AG126" s="1594"/>
      <c r="AH126" s="1594"/>
      <c r="AI126" s="1594"/>
      <c r="AJ126" s="1594"/>
      <c r="AK126" s="1594"/>
      <c r="AL126" s="1594"/>
      <c r="AM126" s="1594"/>
      <c r="AN126" s="1595"/>
      <c r="AO126" s="1184">
        <f t="shared" si="4"/>
        <v>0</v>
      </c>
    </row>
    <row r="127" spans="1:41">
      <c r="A127" s="1574" t="str">
        <f>unos!A86</f>
        <v>546</v>
      </c>
      <c r="B127" s="1575"/>
      <c r="C127" s="1575"/>
      <c r="D127" s="1576"/>
      <c r="E127" s="1558" t="str">
        <f>unos!B86</f>
        <v>Troškovi rezervisanja za restrukturiranje</v>
      </c>
      <c r="F127" s="1559"/>
      <c r="G127" s="1559"/>
      <c r="H127" s="1559"/>
      <c r="I127" s="1559"/>
      <c r="J127" s="1559"/>
      <c r="K127" s="1559"/>
      <c r="L127" s="1559"/>
      <c r="M127" s="1559"/>
      <c r="N127" s="1559"/>
      <c r="O127" s="1559"/>
      <c r="P127" s="1559"/>
      <c r="Q127" s="1559"/>
      <c r="R127" s="1559"/>
      <c r="S127" s="1559"/>
      <c r="T127" s="1559"/>
      <c r="U127" s="1559"/>
      <c r="V127" s="1559"/>
      <c r="W127" s="1563">
        <f>unos!F86</f>
        <v>0</v>
      </c>
      <c r="X127" s="1594"/>
      <c r="Y127" s="1594"/>
      <c r="Z127" s="1594"/>
      <c r="AA127" s="1594"/>
      <c r="AB127" s="1594"/>
      <c r="AC127" s="1594"/>
      <c r="AD127" s="1594"/>
      <c r="AE127" s="1595"/>
      <c r="AF127" s="1563">
        <f>unos!G86</f>
        <v>0</v>
      </c>
      <c r="AG127" s="1594"/>
      <c r="AH127" s="1594"/>
      <c r="AI127" s="1594"/>
      <c r="AJ127" s="1594"/>
      <c r="AK127" s="1594"/>
      <c r="AL127" s="1594"/>
      <c r="AM127" s="1594"/>
      <c r="AN127" s="1595"/>
      <c r="AO127" s="1184">
        <f t="shared" si="4"/>
        <v>0</v>
      </c>
    </row>
    <row r="128" spans="1:41">
      <c r="A128" s="1574" t="str">
        <f>unos!A87</f>
        <v>547</v>
      </c>
      <c r="B128" s="1575"/>
      <c r="C128" s="1575"/>
      <c r="D128" s="1576"/>
      <c r="E128" s="1558" t="str">
        <f>unos!B87</f>
        <v>Troškovi rezervisanja za naknade i druge beneficije zaposlenika</v>
      </c>
      <c r="F128" s="1559"/>
      <c r="G128" s="1559"/>
      <c r="H128" s="1559"/>
      <c r="I128" s="1559"/>
      <c r="J128" s="1559"/>
      <c r="K128" s="1559"/>
      <c r="L128" s="1559"/>
      <c r="M128" s="1559"/>
      <c r="N128" s="1559"/>
      <c r="O128" s="1559"/>
      <c r="P128" s="1559"/>
      <c r="Q128" s="1559"/>
      <c r="R128" s="1559"/>
      <c r="S128" s="1559"/>
      <c r="T128" s="1559"/>
      <c r="U128" s="1559"/>
      <c r="V128" s="1559"/>
      <c r="W128" s="1563">
        <f>unos!F87</f>
        <v>0</v>
      </c>
      <c r="X128" s="1594"/>
      <c r="Y128" s="1594"/>
      <c r="Z128" s="1594"/>
      <c r="AA128" s="1594"/>
      <c r="AB128" s="1594"/>
      <c r="AC128" s="1594"/>
      <c r="AD128" s="1594"/>
      <c r="AE128" s="1595"/>
      <c r="AF128" s="1563">
        <f>unos!G87</f>
        <v>0</v>
      </c>
      <c r="AG128" s="1594"/>
      <c r="AH128" s="1594"/>
      <c r="AI128" s="1594"/>
      <c r="AJ128" s="1594"/>
      <c r="AK128" s="1594"/>
      <c r="AL128" s="1594"/>
      <c r="AM128" s="1594"/>
      <c r="AN128" s="1595"/>
      <c r="AO128" s="1184">
        <f t="shared" si="4"/>
        <v>0</v>
      </c>
    </row>
    <row r="129" spans="1:41">
      <c r="A129" s="1574" t="str">
        <f>unos!A88</f>
        <v>548</v>
      </c>
      <c r="B129" s="1575"/>
      <c r="C129" s="1575"/>
      <c r="D129" s="1576"/>
      <c r="E129" s="1558" t="str">
        <f>unos!B88</f>
        <v>Troškovi rezervisanja za sudske sporove i štetne ugovore</v>
      </c>
      <c r="F129" s="1559"/>
      <c r="G129" s="1559"/>
      <c r="H129" s="1559"/>
      <c r="I129" s="1559"/>
      <c r="J129" s="1559"/>
      <c r="K129" s="1559"/>
      <c r="L129" s="1559"/>
      <c r="M129" s="1559"/>
      <c r="N129" s="1559"/>
      <c r="O129" s="1559"/>
      <c r="P129" s="1559"/>
      <c r="Q129" s="1559"/>
      <c r="R129" s="1559"/>
      <c r="S129" s="1559"/>
      <c r="T129" s="1559"/>
      <c r="U129" s="1559"/>
      <c r="V129" s="1559"/>
      <c r="W129" s="1563">
        <f>unos!F88</f>
        <v>0</v>
      </c>
      <c r="X129" s="1594"/>
      <c r="Y129" s="1594"/>
      <c r="Z129" s="1594"/>
      <c r="AA129" s="1594"/>
      <c r="AB129" s="1594"/>
      <c r="AC129" s="1594"/>
      <c r="AD129" s="1594"/>
      <c r="AE129" s="1595"/>
      <c r="AF129" s="1563">
        <f>unos!G88</f>
        <v>0</v>
      </c>
      <c r="AG129" s="1594"/>
      <c r="AH129" s="1594"/>
      <c r="AI129" s="1594"/>
      <c r="AJ129" s="1594"/>
      <c r="AK129" s="1594"/>
      <c r="AL129" s="1594"/>
      <c r="AM129" s="1594"/>
      <c r="AN129" s="1595"/>
      <c r="AO129" s="1184">
        <f t="shared" si="4"/>
        <v>0</v>
      </c>
    </row>
    <row r="130" spans="1:41">
      <c r="A130" s="1574" t="str">
        <f>unos!A89</f>
        <v>549</v>
      </c>
      <c r="B130" s="1575"/>
      <c r="C130" s="1575"/>
      <c r="D130" s="1576"/>
      <c r="E130" s="1558" t="str">
        <f>unos!B89</f>
        <v>Troškovi ostalih dugoročnih rezervisanja</v>
      </c>
      <c r="F130" s="1559"/>
      <c r="G130" s="1559"/>
      <c r="H130" s="1559"/>
      <c r="I130" s="1559"/>
      <c r="J130" s="1559"/>
      <c r="K130" s="1559"/>
      <c r="L130" s="1559"/>
      <c r="M130" s="1559"/>
      <c r="N130" s="1559"/>
      <c r="O130" s="1559"/>
      <c r="P130" s="1559"/>
      <c r="Q130" s="1559"/>
      <c r="R130" s="1559"/>
      <c r="S130" s="1559"/>
      <c r="T130" s="1559"/>
      <c r="U130" s="1559"/>
      <c r="V130" s="1559"/>
      <c r="W130" s="1563">
        <f>unos!F89</f>
        <v>0</v>
      </c>
      <c r="X130" s="1594"/>
      <c r="Y130" s="1594"/>
      <c r="Z130" s="1594"/>
      <c r="AA130" s="1594"/>
      <c r="AB130" s="1594"/>
      <c r="AC130" s="1594"/>
      <c r="AD130" s="1594"/>
      <c r="AE130" s="1595"/>
      <c r="AF130" s="1563">
        <f>unos!G89</f>
        <v>0</v>
      </c>
      <c r="AG130" s="1594"/>
      <c r="AH130" s="1594"/>
      <c r="AI130" s="1594"/>
      <c r="AJ130" s="1594"/>
      <c r="AK130" s="1594"/>
      <c r="AL130" s="1594"/>
      <c r="AM130" s="1594"/>
      <c r="AN130" s="1595"/>
      <c r="AO130" s="1184">
        <f t="shared" si="4"/>
        <v>0</v>
      </c>
    </row>
    <row r="131" spans="1:41">
      <c r="A131" s="1577"/>
      <c r="B131" s="1577"/>
      <c r="C131" s="1577"/>
      <c r="D131" s="1577"/>
      <c r="E131" s="1167"/>
      <c r="F131" s="1168"/>
      <c r="G131" s="1168"/>
      <c r="H131" s="1168"/>
      <c r="I131" s="1168"/>
      <c r="J131" s="1168"/>
      <c r="K131" s="1168"/>
      <c r="L131" s="1168"/>
      <c r="M131" s="1168"/>
      <c r="N131" s="1168"/>
      <c r="O131" s="1168"/>
      <c r="P131" s="1168"/>
      <c r="Q131" s="1168"/>
      <c r="R131" s="1168"/>
      <c r="S131" s="1167"/>
      <c r="T131" s="1167"/>
      <c r="U131" s="1167"/>
      <c r="V131" s="1169" t="s">
        <v>1997</v>
      </c>
      <c r="W131" s="1617">
        <f>SUM(W124:W130)</f>
        <v>0</v>
      </c>
      <c r="X131" s="1618"/>
      <c r="Y131" s="1618"/>
      <c r="Z131" s="1618"/>
      <c r="AA131" s="1618"/>
      <c r="AB131" s="1618"/>
      <c r="AC131" s="1618"/>
      <c r="AD131" s="1618"/>
      <c r="AE131" s="1619"/>
      <c r="AF131" s="1617">
        <f>SUM(AF124:AF130)</f>
        <v>0</v>
      </c>
      <c r="AG131" s="1618"/>
      <c r="AH131" s="1618"/>
      <c r="AI131" s="1618"/>
      <c r="AJ131" s="1618"/>
      <c r="AK131" s="1618"/>
      <c r="AL131" s="1618"/>
      <c r="AM131" s="1618"/>
      <c r="AN131" s="1619"/>
      <c r="AO131" s="1185">
        <f>IF(OR(W131=0,AF131=0),0,ROUND(AF131/W131,4))</f>
        <v>0</v>
      </c>
    </row>
    <row r="133" spans="1:41">
      <c r="A133" s="1581"/>
      <c r="B133" s="1581"/>
      <c r="C133" s="1581"/>
      <c r="D133" s="1581"/>
      <c r="E133" s="1581"/>
      <c r="F133" s="1581"/>
      <c r="G133" s="1581"/>
      <c r="H133" s="1581"/>
      <c r="I133" s="1581"/>
      <c r="J133" s="1581"/>
      <c r="K133" s="1581"/>
      <c r="L133" s="1581"/>
      <c r="M133" s="1581"/>
      <c r="N133" s="1581"/>
      <c r="O133" s="1581"/>
      <c r="P133" s="1581"/>
      <c r="Q133" s="1581"/>
      <c r="R133" s="1581"/>
      <c r="S133" s="1581"/>
      <c r="T133" s="1581"/>
      <c r="U133" s="1581"/>
      <c r="V133" s="1581"/>
      <c r="W133" s="1581"/>
      <c r="X133" s="1581"/>
      <c r="Y133" s="1581"/>
      <c r="Z133" s="1581"/>
      <c r="AA133" s="1581"/>
      <c r="AB133" s="1581"/>
      <c r="AC133" s="1581"/>
      <c r="AD133" s="1581"/>
      <c r="AE133" s="1581"/>
      <c r="AF133" s="1581"/>
      <c r="AG133" s="1581"/>
      <c r="AH133" s="1581"/>
      <c r="AI133" s="1581"/>
      <c r="AJ133" s="1581"/>
      <c r="AK133" s="1581"/>
      <c r="AL133" s="1581"/>
      <c r="AM133" s="1581"/>
      <c r="AN133" s="1581"/>
    </row>
    <row r="134" spans="1:41">
      <c r="A134" s="1581"/>
      <c r="B134" s="1581"/>
      <c r="C134" s="1581"/>
      <c r="D134" s="1581"/>
      <c r="E134" s="1581"/>
      <c r="F134" s="1581"/>
      <c r="G134" s="1581"/>
      <c r="H134" s="1581"/>
      <c r="I134" s="1581"/>
      <c r="J134" s="1581"/>
      <c r="K134" s="1581"/>
      <c r="L134" s="1581"/>
      <c r="M134" s="1581"/>
      <c r="N134" s="1581"/>
      <c r="O134" s="1581"/>
      <c r="P134" s="1581"/>
      <c r="Q134" s="1581"/>
      <c r="R134" s="1581"/>
      <c r="S134" s="1581"/>
      <c r="T134" s="1581"/>
      <c r="U134" s="1581"/>
      <c r="V134" s="1581"/>
      <c r="W134" s="1581"/>
      <c r="X134" s="1581"/>
      <c r="Y134" s="1581"/>
      <c r="Z134" s="1581"/>
      <c r="AA134" s="1581"/>
      <c r="AB134" s="1581"/>
      <c r="AC134" s="1581"/>
      <c r="AD134" s="1581"/>
      <c r="AE134" s="1581"/>
      <c r="AF134" s="1581"/>
      <c r="AG134" s="1581"/>
      <c r="AH134" s="1581"/>
      <c r="AI134" s="1581"/>
      <c r="AJ134" s="1581"/>
      <c r="AK134" s="1581"/>
      <c r="AL134" s="1581"/>
      <c r="AM134" s="1581"/>
      <c r="AN134" s="1581"/>
    </row>
    <row r="135" spans="1:41">
      <c r="A135" s="1581"/>
      <c r="B135" s="1581"/>
      <c r="C135" s="1581"/>
      <c r="D135" s="1581"/>
      <c r="E135" s="1581"/>
      <c r="F135" s="1581"/>
      <c r="G135" s="1581"/>
      <c r="H135" s="1581"/>
      <c r="I135" s="1581"/>
      <c r="J135" s="1581"/>
      <c r="K135" s="1581"/>
      <c r="L135" s="1581"/>
      <c r="M135" s="1581"/>
      <c r="N135" s="1581"/>
      <c r="O135" s="1581"/>
      <c r="P135" s="1581"/>
      <c r="Q135" s="1581"/>
      <c r="R135" s="1581"/>
      <c r="S135" s="1581"/>
      <c r="T135" s="1581"/>
      <c r="U135" s="1581"/>
      <c r="V135" s="1581"/>
      <c r="W135" s="1581"/>
      <c r="X135" s="1581"/>
      <c r="Y135" s="1581"/>
      <c r="Z135" s="1581"/>
      <c r="AA135" s="1581"/>
      <c r="AB135" s="1581"/>
      <c r="AC135" s="1581"/>
      <c r="AD135" s="1581"/>
      <c r="AE135" s="1581"/>
      <c r="AF135" s="1581"/>
      <c r="AG135" s="1581"/>
      <c r="AH135" s="1581"/>
      <c r="AI135" s="1581"/>
      <c r="AJ135" s="1581"/>
      <c r="AK135" s="1581"/>
      <c r="AL135" s="1581"/>
      <c r="AM135" s="1581"/>
      <c r="AN135" s="1581"/>
    </row>
    <row r="136" spans="1:41">
      <c r="A136" s="1581"/>
      <c r="B136" s="1581"/>
      <c r="C136" s="1581"/>
      <c r="D136" s="1581"/>
      <c r="E136" s="1581"/>
      <c r="F136" s="1581"/>
      <c r="G136" s="1581"/>
      <c r="H136" s="1581"/>
      <c r="I136" s="1581"/>
      <c r="J136" s="1581"/>
      <c r="K136" s="1581"/>
      <c r="L136" s="1581"/>
      <c r="M136" s="1581"/>
      <c r="N136" s="1581"/>
      <c r="O136" s="1581"/>
      <c r="P136" s="1581"/>
      <c r="Q136" s="1581"/>
      <c r="R136" s="1581"/>
      <c r="S136" s="1581"/>
      <c r="T136" s="1581"/>
      <c r="U136" s="1581"/>
      <c r="V136" s="1581"/>
      <c r="W136" s="1581"/>
      <c r="X136" s="1581"/>
      <c r="Y136" s="1581"/>
      <c r="Z136" s="1581"/>
      <c r="AA136" s="1581"/>
      <c r="AB136" s="1581"/>
      <c r="AC136" s="1581"/>
      <c r="AD136" s="1581"/>
      <c r="AE136" s="1581"/>
      <c r="AF136" s="1581"/>
      <c r="AG136" s="1581"/>
      <c r="AH136" s="1581"/>
      <c r="AI136" s="1581"/>
      <c r="AJ136" s="1581"/>
      <c r="AK136" s="1581"/>
      <c r="AL136" s="1581"/>
      <c r="AM136" s="1581"/>
      <c r="AN136" s="1581"/>
    </row>
    <row r="138" spans="1:41">
      <c r="A138" s="828" t="s">
        <v>1933</v>
      </c>
      <c r="B138" s="828" t="s">
        <v>2005</v>
      </c>
    </row>
    <row r="140" spans="1:41" ht="14.25" customHeight="1">
      <c r="W140" s="1170" t="s">
        <v>1995</v>
      </c>
      <c r="X140" s="1171"/>
      <c r="Y140" s="1171"/>
      <c r="Z140" s="1171"/>
      <c r="AA140" s="1171"/>
      <c r="AB140" s="1171"/>
      <c r="AC140" s="1171"/>
      <c r="AD140" s="1171"/>
      <c r="AE140" s="1171"/>
      <c r="AF140" s="1171"/>
      <c r="AG140" s="1171"/>
      <c r="AH140" s="1171"/>
      <c r="AI140" s="1171"/>
      <c r="AJ140" s="1171"/>
      <c r="AK140" s="1171"/>
      <c r="AL140" s="1171"/>
      <c r="AM140" s="1171"/>
      <c r="AN140" s="1172"/>
    </row>
    <row r="141" spans="1:41">
      <c r="A141" s="1582" t="s">
        <v>1996</v>
      </c>
      <c r="B141" s="1583"/>
      <c r="C141" s="1583"/>
      <c r="D141" s="1584"/>
      <c r="E141" s="1567" t="s">
        <v>796</v>
      </c>
      <c r="F141" s="1567"/>
      <c r="G141" s="1567"/>
      <c r="H141" s="1567"/>
      <c r="I141" s="1567"/>
      <c r="J141" s="1567"/>
      <c r="K141" s="1567"/>
      <c r="L141" s="1567"/>
      <c r="M141" s="1567"/>
      <c r="N141" s="1567"/>
      <c r="O141" s="1567"/>
      <c r="P141" s="1567"/>
      <c r="Q141" s="1567"/>
      <c r="R141" s="1567"/>
      <c r="S141" s="1567"/>
      <c r="T141" s="1567"/>
      <c r="U141" s="1567"/>
      <c r="V141" s="1567"/>
      <c r="W141" s="1568" t="s">
        <v>1039</v>
      </c>
      <c r="X141" s="1569"/>
      <c r="Y141" s="1569"/>
      <c r="Z141" s="1569"/>
      <c r="AA141" s="1569"/>
      <c r="AB141" s="1569"/>
      <c r="AC141" s="1569"/>
      <c r="AD141" s="1569"/>
      <c r="AE141" s="1570"/>
      <c r="AF141" s="1571" t="s">
        <v>278</v>
      </c>
      <c r="AG141" s="1572"/>
      <c r="AH141" s="1572"/>
      <c r="AI141" s="1572"/>
      <c r="AJ141" s="1572"/>
      <c r="AK141" s="1572"/>
      <c r="AL141" s="1572"/>
      <c r="AM141" s="1572"/>
      <c r="AN141" s="1573"/>
      <c r="AO141" s="1187" t="s">
        <v>2766</v>
      </c>
    </row>
    <row r="142" spans="1:41">
      <c r="A142" s="1574" t="str">
        <f>unos!A90</f>
        <v>550</v>
      </c>
      <c r="B142" s="1575"/>
      <c r="C142" s="1575"/>
      <c r="D142" s="1576"/>
      <c r="E142" s="1558" t="str">
        <f>unos!B90</f>
        <v>Troškovi neproizvodnih usluga</v>
      </c>
      <c r="F142" s="1559"/>
      <c r="G142" s="1559"/>
      <c r="H142" s="1559"/>
      <c r="I142" s="1559"/>
      <c r="J142" s="1559"/>
      <c r="K142" s="1559"/>
      <c r="L142" s="1559"/>
      <c r="M142" s="1559"/>
      <c r="N142" s="1559"/>
      <c r="O142" s="1559"/>
      <c r="P142" s="1559"/>
      <c r="Q142" s="1559"/>
      <c r="R142" s="1559"/>
      <c r="S142" s="1559"/>
      <c r="T142" s="1559"/>
      <c r="U142" s="1559"/>
      <c r="V142" s="1559"/>
      <c r="W142" s="1563">
        <f>unos!F90</f>
        <v>0</v>
      </c>
      <c r="X142" s="1594"/>
      <c r="Y142" s="1594"/>
      <c r="Z142" s="1594"/>
      <c r="AA142" s="1594"/>
      <c r="AB142" s="1594"/>
      <c r="AC142" s="1594"/>
      <c r="AD142" s="1594"/>
      <c r="AE142" s="1595"/>
      <c r="AF142" s="1563">
        <f>unos!G90</f>
        <v>0</v>
      </c>
      <c r="AG142" s="1594"/>
      <c r="AH142" s="1594"/>
      <c r="AI142" s="1594"/>
      <c r="AJ142" s="1594"/>
      <c r="AK142" s="1594"/>
      <c r="AL142" s="1594"/>
      <c r="AM142" s="1594"/>
      <c r="AN142" s="1595"/>
      <c r="AO142" s="1184">
        <f>IF(OR(W142=0,AF142=0),0,ROUND(AF142/W142,4))</f>
        <v>0</v>
      </c>
    </row>
    <row r="143" spans="1:41">
      <c r="A143" s="1574" t="str">
        <f>unos!A91</f>
        <v>551</v>
      </c>
      <c r="B143" s="1575"/>
      <c r="C143" s="1575"/>
      <c r="D143" s="1576"/>
      <c r="E143" s="1558" t="str">
        <f>unos!B91</f>
        <v>Troškovi reprezentacije</v>
      </c>
      <c r="F143" s="1559"/>
      <c r="G143" s="1559"/>
      <c r="H143" s="1559"/>
      <c r="I143" s="1559"/>
      <c r="J143" s="1559"/>
      <c r="K143" s="1559"/>
      <c r="L143" s="1559"/>
      <c r="M143" s="1559"/>
      <c r="N143" s="1559"/>
      <c r="O143" s="1559"/>
      <c r="P143" s="1559"/>
      <c r="Q143" s="1559"/>
      <c r="R143" s="1559"/>
      <c r="S143" s="1559"/>
      <c r="T143" s="1559"/>
      <c r="U143" s="1559"/>
      <c r="V143" s="1559"/>
      <c r="W143" s="1563">
        <f>unos!F91</f>
        <v>0</v>
      </c>
      <c r="X143" s="1594"/>
      <c r="Y143" s="1594"/>
      <c r="Z143" s="1594"/>
      <c r="AA143" s="1594"/>
      <c r="AB143" s="1594"/>
      <c r="AC143" s="1594"/>
      <c r="AD143" s="1594"/>
      <c r="AE143" s="1595"/>
      <c r="AF143" s="1563">
        <f>unos!G91</f>
        <v>0</v>
      </c>
      <c r="AG143" s="1594"/>
      <c r="AH143" s="1594"/>
      <c r="AI143" s="1594"/>
      <c r="AJ143" s="1594"/>
      <c r="AK143" s="1594"/>
      <c r="AL143" s="1594"/>
      <c r="AM143" s="1594"/>
      <c r="AN143" s="1595"/>
      <c r="AO143" s="1184">
        <f t="shared" ref="AO143:AO149" si="5">IF(OR(W143=0,AF143=0),0,ROUND(AF143/W143,4))</f>
        <v>0</v>
      </c>
    </row>
    <row r="144" spans="1:41">
      <c r="A144" s="1574" t="str">
        <f>unos!A92</f>
        <v>552</v>
      </c>
      <c r="B144" s="1575"/>
      <c r="C144" s="1575"/>
      <c r="D144" s="1576"/>
      <c r="E144" s="1558" t="str">
        <f>unos!B92</f>
        <v>Troškovi premija osiguranja</v>
      </c>
      <c r="F144" s="1559"/>
      <c r="G144" s="1559"/>
      <c r="H144" s="1559"/>
      <c r="I144" s="1559"/>
      <c r="J144" s="1559"/>
      <c r="K144" s="1559"/>
      <c r="L144" s="1559"/>
      <c r="M144" s="1559"/>
      <c r="N144" s="1559"/>
      <c r="O144" s="1559"/>
      <c r="P144" s="1559"/>
      <c r="Q144" s="1559"/>
      <c r="R144" s="1559"/>
      <c r="S144" s="1559"/>
      <c r="T144" s="1559"/>
      <c r="U144" s="1559"/>
      <c r="V144" s="1559"/>
      <c r="W144" s="1563">
        <f>unos!F92</f>
        <v>0</v>
      </c>
      <c r="X144" s="1594"/>
      <c r="Y144" s="1594"/>
      <c r="Z144" s="1594"/>
      <c r="AA144" s="1594"/>
      <c r="AB144" s="1594"/>
      <c r="AC144" s="1594"/>
      <c r="AD144" s="1594"/>
      <c r="AE144" s="1595"/>
      <c r="AF144" s="1563">
        <f>unos!G92</f>
        <v>0</v>
      </c>
      <c r="AG144" s="1594"/>
      <c r="AH144" s="1594"/>
      <c r="AI144" s="1594"/>
      <c r="AJ144" s="1594"/>
      <c r="AK144" s="1594"/>
      <c r="AL144" s="1594"/>
      <c r="AM144" s="1594"/>
      <c r="AN144" s="1595"/>
      <c r="AO144" s="1184">
        <f t="shared" si="5"/>
        <v>0</v>
      </c>
    </row>
    <row r="145" spans="1:41">
      <c r="A145" s="1574" t="str">
        <f>unos!A93</f>
        <v>553</v>
      </c>
      <c r="B145" s="1575"/>
      <c r="C145" s="1575"/>
      <c r="D145" s="1576"/>
      <c r="E145" s="1558" t="str">
        <f>unos!B93</f>
        <v>Troškovi platnog prometa</v>
      </c>
      <c r="F145" s="1559"/>
      <c r="G145" s="1559"/>
      <c r="H145" s="1559"/>
      <c r="I145" s="1559"/>
      <c r="J145" s="1559"/>
      <c r="K145" s="1559"/>
      <c r="L145" s="1559"/>
      <c r="M145" s="1559"/>
      <c r="N145" s="1559"/>
      <c r="O145" s="1559"/>
      <c r="P145" s="1559"/>
      <c r="Q145" s="1559"/>
      <c r="R145" s="1559"/>
      <c r="S145" s="1559"/>
      <c r="T145" s="1559"/>
      <c r="U145" s="1559"/>
      <c r="V145" s="1559"/>
      <c r="W145" s="1563">
        <f>unos!F93</f>
        <v>0</v>
      </c>
      <c r="X145" s="1594"/>
      <c r="Y145" s="1594"/>
      <c r="Z145" s="1594"/>
      <c r="AA145" s="1594"/>
      <c r="AB145" s="1594"/>
      <c r="AC145" s="1594"/>
      <c r="AD145" s="1594"/>
      <c r="AE145" s="1595"/>
      <c r="AF145" s="1563">
        <f>unos!G93</f>
        <v>0</v>
      </c>
      <c r="AG145" s="1594"/>
      <c r="AH145" s="1594"/>
      <c r="AI145" s="1594"/>
      <c r="AJ145" s="1594"/>
      <c r="AK145" s="1594"/>
      <c r="AL145" s="1594"/>
      <c r="AM145" s="1594"/>
      <c r="AN145" s="1595"/>
      <c r="AO145" s="1184">
        <f t="shared" si="5"/>
        <v>0</v>
      </c>
    </row>
    <row r="146" spans="1:41">
      <c r="A146" s="1574" t="str">
        <f>unos!A94</f>
        <v>554</v>
      </c>
      <c r="B146" s="1575"/>
      <c r="C146" s="1575"/>
      <c r="D146" s="1576"/>
      <c r="E146" s="1558" t="str">
        <f>unos!B94</f>
        <v>Troškovi poštanskih i telekomunikacijskih usluga</v>
      </c>
      <c r="F146" s="1559"/>
      <c r="G146" s="1559"/>
      <c r="H146" s="1559"/>
      <c r="I146" s="1559"/>
      <c r="J146" s="1559"/>
      <c r="K146" s="1559"/>
      <c r="L146" s="1559"/>
      <c r="M146" s="1559"/>
      <c r="N146" s="1559"/>
      <c r="O146" s="1559"/>
      <c r="P146" s="1559"/>
      <c r="Q146" s="1559"/>
      <c r="R146" s="1559"/>
      <c r="S146" s="1559"/>
      <c r="T146" s="1559"/>
      <c r="U146" s="1559"/>
      <c r="V146" s="1559"/>
      <c r="W146" s="1563">
        <f>unos!F94</f>
        <v>0</v>
      </c>
      <c r="X146" s="1594"/>
      <c r="Y146" s="1594"/>
      <c r="Z146" s="1594"/>
      <c r="AA146" s="1594"/>
      <c r="AB146" s="1594"/>
      <c r="AC146" s="1594"/>
      <c r="AD146" s="1594"/>
      <c r="AE146" s="1595"/>
      <c r="AF146" s="1563">
        <f>unos!G94</f>
        <v>0</v>
      </c>
      <c r="AG146" s="1594"/>
      <c r="AH146" s="1594"/>
      <c r="AI146" s="1594"/>
      <c r="AJ146" s="1594"/>
      <c r="AK146" s="1594"/>
      <c r="AL146" s="1594"/>
      <c r="AM146" s="1594"/>
      <c r="AN146" s="1595"/>
      <c r="AO146" s="1184">
        <f t="shared" si="5"/>
        <v>0</v>
      </c>
    </row>
    <row r="147" spans="1:41">
      <c r="A147" s="1574" t="str">
        <f>unos!A95</f>
        <v>555</v>
      </c>
      <c r="B147" s="1575"/>
      <c r="C147" s="1575"/>
      <c r="D147" s="1576"/>
      <c r="E147" s="1558" t="str">
        <f>unos!B95</f>
        <v>Troškovi poreza, naknada, taksi i dr.dadžbina na teret pravnog lica</v>
      </c>
      <c r="F147" s="1559"/>
      <c r="G147" s="1559"/>
      <c r="H147" s="1559"/>
      <c r="I147" s="1559"/>
      <c r="J147" s="1559"/>
      <c r="K147" s="1559"/>
      <c r="L147" s="1559"/>
      <c r="M147" s="1559"/>
      <c r="N147" s="1559"/>
      <c r="O147" s="1559"/>
      <c r="P147" s="1559"/>
      <c r="Q147" s="1559"/>
      <c r="R147" s="1559"/>
      <c r="S147" s="1559"/>
      <c r="T147" s="1559"/>
      <c r="U147" s="1559"/>
      <c r="V147" s="1559"/>
      <c r="W147" s="1563">
        <f>unos!F95</f>
        <v>0</v>
      </c>
      <c r="X147" s="1594"/>
      <c r="Y147" s="1594"/>
      <c r="Z147" s="1594"/>
      <c r="AA147" s="1594"/>
      <c r="AB147" s="1594"/>
      <c r="AC147" s="1594"/>
      <c r="AD147" s="1594"/>
      <c r="AE147" s="1595"/>
      <c r="AF147" s="1563">
        <f>unos!G95</f>
        <v>0</v>
      </c>
      <c r="AG147" s="1594"/>
      <c r="AH147" s="1594"/>
      <c r="AI147" s="1594"/>
      <c r="AJ147" s="1594"/>
      <c r="AK147" s="1594"/>
      <c r="AL147" s="1594"/>
      <c r="AM147" s="1594"/>
      <c r="AN147" s="1595"/>
      <c r="AO147" s="1184">
        <f t="shared" si="5"/>
        <v>0</v>
      </c>
    </row>
    <row r="148" spans="1:41">
      <c r="A148" s="1574" t="str">
        <f>unos!A96</f>
        <v>556</v>
      </c>
      <c r="B148" s="1575"/>
      <c r="C148" s="1575"/>
      <c r="D148" s="1576"/>
      <c r="E148" s="1558" t="str">
        <f>unos!B96</f>
        <v>Troškovi članskih doprinosa i sl.obaveza</v>
      </c>
      <c r="F148" s="1559"/>
      <c r="G148" s="1559"/>
      <c r="H148" s="1559"/>
      <c r="I148" s="1559"/>
      <c r="J148" s="1559"/>
      <c r="K148" s="1559"/>
      <c r="L148" s="1559"/>
      <c r="M148" s="1559"/>
      <c r="N148" s="1559"/>
      <c r="O148" s="1559"/>
      <c r="P148" s="1559"/>
      <c r="Q148" s="1559"/>
      <c r="R148" s="1559"/>
      <c r="S148" s="1559"/>
      <c r="T148" s="1559"/>
      <c r="U148" s="1559"/>
      <c r="V148" s="1559"/>
      <c r="W148" s="1563">
        <f>unos!F96</f>
        <v>0</v>
      </c>
      <c r="X148" s="1594"/>
      <c r="Y148" s="1594"/>
      <c r="Z148" s="1594"/>
      <c r="AA148" s="1594"/>
      <c r="AB148" s="1594"/>
      <c r="AC148" s="1594"/>
      <c r="AD148" s="1594"/>
      <c r="AE148" s="1595"/>
      <c r="AF148" s="1563">
        <f>unos!G96</f>
        <v>0</v>
      </c>
      <c r="AG148" s="1594"/>
      <c r="AH148" s="1594"/>
      <c r="AI148" s="1594"/>
      <c r="AJ148" s="1594"/>
      <c r="AK148" s="1594"/>
      <c r="AL148" s="1594"/>
      <c r="AM148" s="1594"/>
      <c r="AN148" s="1595"/>
      <c r="AO148" s="1184">
        <f t="shared" si="5"/>
        <v>0</v>
      </c>
    </row>
    <row r="149" spans="1:41">
      <c r="A149" s="1574" t="str">
        <f>unos!A97</f>
        <v>559</v>
      </c>
      <c r="B149" s="1575"/>
      <c r="C149" s="1575"/>
      <c r="D149" s="1576"/>
      <c r="E149" s="1558" t="str">
        <f>unos!B97</f>
        <v>Ostali nematerijalni troškovi</v>
      </c>
      <c r="F149" s="1559"/>
      <c r="G149" s="1559"/>
      <c r="H149" s="1559"/>
      <c r="I149" s="1559"/>
      <c r="J149" s="1559"/>
      <c r="K149" s="1559"/>
      <c r="L149" s="1559"/>
      <c r="M149" s="1559"/>
      <c r="N149" s="1559"/>
      <c r="O149" s="1559"/>
      <c r="P149" s="1559"/>
      <c r="Q149" s="1559"/>
      <c r="R149" s="1559"/>
      <c r="S149" s="1559"/>
      <c r="T149" s="1559"/>
      <c r="U149" s="1559"/>
      <c r="V149" s="1559"/>
      <c r="W149" s="1563">
        <f>unos!F97</f>
        <v>0</v>
      </c>
      <c r="X149" s="1594"/>
      <c r="Y149" s="1594"/>
      <c r="Z149" s="1594"/>
      <c r="AA149" s="1594"/>
      <c r="AB149" s="1594"/>
      <c r="AC149" s="1594"/>
      <c r="AD149" s="1594"/>
      <c r="AE149" s="1595"/>
      <c r="AF149" s="1563">
        <f>unos!G97</f>
        <v>0</v>
      </c>
      <c r="AG149" s="1594"/>
      <c r="AH149" s="1594"/>
      <c r="AI149" s="1594"/>
      <c r="AJ149" s="1594"/>
      <c r="AK149" s="1594"/>
      <c r="AL149" s="1594"/>
      <c r="AM149" s="1594"/>
      <c r="AN149" s="1595"/>
      <c r="AO149" s="1184">
        <f t="shared" si="5"/>
        <v>0</v>
      </c>
    </row>
    <row r="150" spans="1:41">
      <c r="A150" s="1577"/>
      <c r="B150" s="1577"/>
      <c r="C150" s="1577"/>
      <c r="D150" s="1577"/>
      <c r="E150" s="1167"/>
      <c r="F150" s="1168"/>
      <c r="G150" s="1168"/>
      <c r="H150" s="1168"/>
      <c r="I150" s="1168"/>
      <c r="J150" s="1168"/>
      <c r="K150" s="1168"/>
      <c r="L150" s="1168"/>
      <c r="M150" s="1168"/>
      <c r="N150" s="1168"/>
      <c r="O150" s="1168"/>
      <c r="P150" s="1168"/>
      <c r="Q150" s="1168"/>
      <c r="R150" s="1168"/>
      <c r="S150" s="1167"/>
      <c r="T150" s="1167"/>
      <c r="U150" s="1167"/>
      <c r="V150" s="1169" t="s">
        <v>1997</v>
      </c>
      <c r="W150" s="1617">
        <f>SUM(W142:W149)</f>
        <v>0</v>
      </c>
      <c r="X150" s="1618"/>
      <c r="Y150" s="1618"/>
      <c r="Z150" s="1618"/>
      <c r="AA150" s="1618"/>
      <c r="AB150" s="1618"/>
      <c r="AC150" s="1618"/>
      <c r="AD150" s="1618"/>
      <c r="AE150" s="1619"/>
      <c r="AF150" s="1617">
        <f>SUM(AF142:AF149)</f>
        <v>0</v>
      </c>
      <c r="AG150" s="1618"/>
      <c r="AH150" s="1618"/>
      <c r="AI150" s="1618"/>
      <c r="AJ150" s="1618"/>
      <c r="AK150" s="1618"/>
      <c r="AL150" s="1618"/>
      <c r="AM150" s="1618"/>
      <c r="AN150" s="1619"/>
      <c r="AO150" s="1185">
        <f>IF(OR(W150=0,AF150=0),0,ROUND(AF150/W150,4))</f>
        <v>0</v>
      </c>
    </row>
    <row r="152" spans="1:41">
      <c r="A152" s="1581"/>
      <c r="B152" s="1581"/>
      <c r="C152" s="1581"/>
      <c r="D152" s="1581"/>
      <c r="E152" s="1581"/>
      <c r="F152" s="1581"/>
      <c r="G152" s="1581"/>
      <c r="H152" s="1581"/>
      <c r="I152" s="1581"/>
      <c r="J152" s="1581"/>
      <c r="K152" s="1581"/>
      <c r="L152" s="1581"/>
      <c r="M152" s="1581"/>
      <c r="N152" s="1581"/>
      <c r="O152" s="1581"/>
      <c r="P152" s="1581"/>
      <c r="Q152" s="1581"/>
      <c r="R152" s="1581"/>
      <c r="S152" s="1581"/>
      <c r="T152" s="1581"/>
      <c r="U152" s="1581"/>
      <c r="V152" s="1581"/>
      <c r="W152" s="1581"/>
      <c r="X152" s="1581"/>
      <c r="Y152" s="1581"/>
      <c r="Z152" s="1581"/>
      <c r="AA152" s="1581"/>
      <c r="AB152" s="1581"/>
      <c r="AC152" s="1581"/>
      <c r="AD152" s="1581"/>
      <c r="AE152" s="1581"/>
      <c r="AF152" s="1581"/>
      <c r="AG152" s="1581"/>
      <c r="AH152" s="1581"/>
      <c r="AI152" s="1581"/>
      <c r="AJ152" s="1581"/>
      <c r="AK152" s="1581"/>
      <c r="AL152" s="1581"/>
      <c r="AM152" s="1581"/>
      <c r="AN152" s="1581"/>
    </row>
    <row r="153" spans="1:41">
      <c r="A153" s="1581"/>
      <c r="B153" s="1581"/>
      <c r="C153" s="1581"/>
      <c r="D153" s="1581"/>
      <c r="E153" s="1581"/>
      <c r="F153" s="1581"/>
      <c r="G153" s="1581"/>
      <c r="H153" s="1581"/>
      <c r="I153" s="1581"/>
      <c r="J153" s="1581"/>
      <c r="K153" s="1581"/>
      <c r="L153" s="1581"/>
      <c r="M153" s="1581"/>
      <c r="N153" s="1581"/>
      <c r="O153" s="1581"/>
      <c r="P153" s="1581"/>
      <c r="Q153" s="1581"/>
      <c r="R153" s="1581"/>
      <c r="S153" s="1581"/>
      <c r="T153" s="1581"/>
      <c r="U153" s="1581"/>
      <c r="V153" s="1581"/>
      <c r="W153" s="1581"/>
      <c r="X153" s="1581"/>
      <c r="Y153" s="1581"/>
      <c r="Z153" s="1581"/>
      <c r="AA153" s="1581"/>
      <c r="AB153" s="1581"/>
      <c r="AC153" s="1581"/>
      <c r="AD153" s="1581"/>
      <c r="AE153" s="1581"/>
      <c r="AF153" s="1581"/>
      <c r="AG153" s="1581"/>
      <c r="AH153" s="1581"/>
      <c r="AI153" s="1581"/>
      <c r="AJ153" s="1581"/>
      <c r="AK153" s="1581"/>
      <c r="AL153" s="1581"/>
      <c r="AM153" s="1581"/>
      <c r="AN153" s="1581"/>
    </row>
    <row r="154" spans="1:41">
      <c r="A154" s="1581"/>
      <c r="B154" s="1581"/>
      <c r="C154" s="1581"/>
      <c r="D154" s="1581"/>
      <c r="E154" s="1581"/>
      <c r="F154" s="1581"/>
      <c r="G154" s="1581"/>
      <c r="H154" s="1581"/>
      <c r="I154" s="1581"/>
      <c r="J154" s="1581"/>
      <c r="K154" s="1581"/>
      <c r="L154" s="1581"/>
      <c r="M154" s="1581"/>
      <c r="N154" s="1581"/>
      <c r="O154" s="1581"/>
      <c r="P154" s="1581"/>
      <c r="Q154" s="1581"/>
      <c r="R154" s="1581"/>
      <c r="S154" s="1581"/>
      <c r="T154" s="1581"/>
      <c r="U154" s="1581"/>
      <c r="V154" s="1581"/>
      <c r="W154" s="1581"/>
      <c r="X154" s="1581"/>
      <c r="Y154" s="1581"/>
      <c r="Z154" s="1581"/>
      <c r="AA154" s="1581"/>
      <c r="AB154" s="1581"/>
      <c r="AC154" s="1581"/>
      <c r="AD154" s="1581"/>
      <c r="AE154" s="1581"/>
      <c r="AF154" s="1581"/>
      <c r="AG154" s="1581"/>
      <c r="AH154" s="1581"/>
      <c r="AI154" s="1581"/>
      <c r="AJ154" s="1581"/>
      <c r="AK154" s="1581"/>
      <c r="AL154" s="1581"/>
      <c r="AM154" s="1581"/>
      <c r="AN154" s="1581"/>
    </row>
    <row r="155" spans="1:41">
      <c r="A155" s="1581"/>
      <c r="B155" s="1581"/>
      <c r="C155" s="1581"/>
      <c r="D155" s="1581"/>
      <c r="E155" s="1581"/>
      <c r="F155" s="1581"/>
      <c r="G155" s="1581"/>
      <c r="H155" s="1581"/>
      <c r="I155" s="1581"/>
      <c r="J155" s="1581"/>
      <c r="K155" s="1581"/>
      <c r="L155" s="1581"/>
      <c r="M155" s="1581"/>
      <c r="N155" s="1581"/>
      <c r="O155" s="1581"/>
      <c r="P155" s="1581"/>
      <c r="Q155" s="1581"/>
      <c r="R155" s="1581"/>
      <c r="S155" s="1581"/>
      <c r="T155" s="1581"/>
      <c r="U155" s="1581"/>
      <c r="V155" s="1581"/>
      <c r="W155" s="1581"/>
      <c r="X155" s="1581"/>
      <c r="Y155" s="1581"/>
      <c r="Z155" s="1581"/>
      <c r="AA155" s="1581"/>
      <c r="AB155" s="1581"/>
      <c r="AC155" s="1581"/>
      <c r="AD155" s="1581"/>
      <c r="AE155" s="1581"/>
      <c r="AF155" s="1581"/>
      <c r="AG155" s="1581"/>
      <c r="AH155" s="1581"/>
      <c r="AI155" s="1581"/>
      <c r="AJ155" s="1581"/>
      <c r="AK155" s="1581"/>
      <c r="AL155" s="1581"/>
      <c r="AM155" s="1581"/>
      <c r="AN155" s="1581"/>
    </row>
    <row r="156" spans="1:41">
      <c r="A156" s="1183"/>
      <c r="B156" s="1183"/>
      <c r="C156" s="1183"/>
      <c r="D156" s="1183"/>
      <c r="E156" s="1183"/>
      <c r="F156" s="1183"/>
      <c r="G156" s="1183"/>
      <c r="H156" s="1183"/>
      <c r="I156" s="1183"/>
      <c r="J156" s="1183"/>
      <c r="K156" s="1183"/>
      <c r="L156" s="1183"/>
      <c r="M156" s="1183"/>
      <c r="N156" s="1183"/>
      <c r="O156" s="1183"/>
      <c r="P156" s="1183"/>
      <c r="Q156" s="1183"/>
      <c r="R156" s="1183"/>
      <c r="S156" s="1183"/>
      <c r="T156" s="1183"/>
      <c r="U156" s="1183"/>
      <c r="V156" s="1183"/>
      <c r="W156" s="1183"/>
      <c r="X156" s="1183"/>
      <c r="Y156" s="1183"/>
      <c r="Z156" s="1183"/>
      <c r="AA156" s="1183"/>
      <c r="AB156" s="1183"/>
      <c r="AC156" s="1183"/>
      <c r="AD156" s="1183"/>
      <c r="AE156" s="1183"/>
      <c r="AF156" s="1183"/>
      <c r="AG156" s="1183"/>
      <c r="AH156" s="1183"/>
      <c r="AI156" s="1183"/>
      <c r="AJ156" s="1183"/>
      <c r="AK156" s="1183"/>
      <c r="AL156" s="1183"/>
      <c r="AM156" s="1183"/>
      <c r="AN156" s="1183"/>
    </row>
    <row r="157" spans="1:41">
      <c r="A157" s="828" t="s">
        <v>1933</v>
      </c>
      <c r="B157" s="828" t="s">
        <v>2785</v>
      </c>
    </row>
    <row r="159" spans="1:41" ht="14.25" customHeight="1">
      <c r="W159" s="1170" t="s">
        <v>1995</v>
      </c>
      <c r="X159" s="1171"/>
      <c r="Y159" s="1171"/>
      <c r="Z159" s="1171"/>
      <c r="AA159" s="1171"/>
      <c r="AB159" s="1171"/>
      <c r="AC159" s="1171"/>
      <c r="AD159" s="1171"/>
      <c r="AE159" s="1171"/>
      <c r="AF159" s="1171"/>
      <c r="AG159" s="1171"/>
      <c r="AH159" s="1171"/>
      <c r="AI159" s="1171"/>
      <c r="AJ159" s="1171"/>
      <c r="AK159" s="1171"/>
      <c r="AL159" s="1171"/>
      <c r="AM159" s="1171"/>
      <c r="AN159" s="1172"/>
    </row>
    <row r="160" spans="1:41">
      <c r="A160" s="1582" t="s">
        <v>1996</v>
      </c>
      <c r="B160" s="1583"/>
      <c r="C160" s="1583"/>
      <c r="D160" s="1584"/>
      <c r="E160" s="1567" t="s">
        <v>796</v>
      </c>
      <c r="F160" s="1567"/>
      <c r="G160" s="1567"/>
      <c r="H160" s="1567"/>
      <c r="I160" s="1567"/>
      <c r="J160" s="1567"/>
      <c r="K160" s="1567"/>
      <c r="L160" s="1567"/>
      <c r="M160" s="1567"/>
      <c r="N160" s="1567"/>
      <c r="O160" s="1567"/>
      <c r="P160" s="1567"/>
      <c r="Q160" s="1567"/>
      <c r="R160" s="1567"/>
      <c r="S160" s="1567"/>
      <c r="T160" s="1567"/>
      <c r="U160" s="1567"/>
      <c r="V160" s="1567"/>
      <c r="W160" s="1568" t="s">
        <v>1039</v>
      </c>
      <c r="X160" s="1569"/>
      <c r="Y160" s="1569"/>
      <c r="Z160" s="1569"/>
      <c r="AA160" s="1569"/>
      <c r="AB160" s="1569"/>
      <c r="AC160" s="1569"/>
      <c r="AD160" s="1569"/>
      <c r="AE160" s="1570"/>
      <c r="AF160" s="1571" t="s">
        <v>278</v>
      </c>
      <c r="AG160" s="1572"/>
      <c r="AH160" s="1572"/>
      <c r="AI160" s="1572"/>
      <c r="AJ160" s="1572"/>
      <c r="AK160" s="1572"/>
      <c r="AL160" s="1572"/>
      <c r="AM160" s="1572"/>
      <c r="AN160" s="1573"/>
      <c r="AO160" s="1187" t="s">
        <v>2766</v>
      </c>
    </row>
    <row r="161" spans="1:41">
      <c r="A161" s="1574" t="str">
        <f>unos!A25</f>
        <v>660</v>
      </c>
      <c r="B161" s="1575"/>
      <c r="C161" s="1575"/>
      <c r="D161" s="1576"/>
      <c r="E161" s="1558" t="str">
        <f>unos!B25</f>
        <v>Finansijski prihodi od povezanih pravnih lica (iz grupe za konsolidaciju)</v>
      </c>
      <c r="F161" s="1559"/>
      <c r="G161" s="1559"/>
      <c r="H161" s="1559"/>
      <c r="I161" s="1559"/>
      <c r="J161" s="1559"/>
      <c r="K161" s="1559"/>
      <c r="L161" s="1559"/>
      <c r="M161" s="1559"/>
      <c r="N161" s="1559"/>
      <c r="O161" s="1559"/>
      <c r="P161" s="1559"/>
      <c r="Q161" s="1559"/>
      <c r="R161" s="1559"/>
      <c r="S161" s="1559"/>
      <c r="T161" s="1559"/>
      <c r="U161" s="1559"/>
      <c r="V161" s="1559"/>
      <c r="W161" s="1563">
        <f>unos!F25</f>
        <v>0</v>
      </c>
      <c r="X161" s="1594"/>
      <c r="Y161" s="1594"/>
      <c r="Z161" s="1594"/>
      <c r="AA161" s="1594"/>
      <c r="AB161" s="1594"/>
      <c r="AC161" s="1594"/>
      <c r="AD161" s="1594"/>
      <c r="AE161" s="1595"/>
      <c r="AF161" s="1563">
        <f>unos!G25</f>
        <v>0</v>
      </c>
      <c r="AG161" s="1594"/>
      <c r="AH161" s="1594"/>
      <c r="AI161" s="1594"/>
      <c r="AJ161" s="1594"/>
      <c r="AK161" s="1594"/>
      <c r="AL161" s="1594"/>
      <c r="AM161" s="1594"/>
      <c r="AN161" s="1595"/>
      <c r="AO161" s="1184">
        <f t="shared" ref="AO161:AO166" si="6">IF(OR(W161=0,AF161=0),0,ROUND(AF161/W161,4))</f>
        <v>0</v>
      </c>
    </row>
    <row r="162" spans="1:41">
      <c r="A162" s="1574" t="str">
        <f>unos!A26</f>
        <v>661</v>
      </c>
      <c r="B162" s="1575"/>
      <c r="C162" s="1575"/>
      <c r="D162" s="1576"/>
      <c r="E162" s="1558" t="str">
        <f>unos!B26</f>
        <v>Prihodi od kamata</v>
      </c>
      <c r="F162" s="1559"/>
      <c r="G162" s="1559"/>
      <c r="H162" s="1559"/>
      <c r="I162" s="1559"/>
      <c r="J162" s="1559"/>
      <c r="K162" s="1559"/>
      <c r="L162" s="1559"/>
      <c r="M162" s="1559"/>
      <c r="N162" s="1559"/>
      <c r="O162" s="1559"/>
      <c r="P162" s="1559"/>
      <c r="Q162" s="1559"/>
      <c r="R162" s="1559"/>
      <c r="S162" s="1559"/>
      <c r="T162" s="1559"/>
      <c r="U162" s="1559"/>
      <c r="V162" s="1559"/>
      <c r="W162" s="1563">
        <f>unos!F26</f>
        <v>0</v>
      </c>
      <c r="X162" s="1594"/>
      <c r="Y162" s="1594"/>
      <c r="Z162" s="1594"/>
      <c r="AA162" s="1594"/>
      <c r="AB162" s="1594"/>
      <c r="AC162" s="1594"/>
      <c r="AD162" s="1594"/>
      <c r="AE162" s="1595"/>
      <c r="AF162" s="1563">
        <f>unos!G26</f>
        <v>0</v>
      </c>
      <c r="AG162" s="1594"/>
      <c r="AH162" s="1594"/>
      <c r="AI162" s="1594"/>
      <c r="AJ162" s="1594"/>
      <c r="AK162" s="1594"/>
      <c r="AL162" s="1594"/>
      <c r="AM162" s="1594"/>
      <c r="AN162" s="1595"/>
      <c r="AO162" s="1184">
        <f t="shared" si="6"/>
        <v>0</v>
      </c>
    </row>
    <row r="163" spans="1:41">
      <c r="A163" s="1574" t="str">
        <f>unos!A27</f>
        <v>662</v>
      </c>
      <c r="B163" s="1575"/>
      <c r="C163" s="1575"/>
      <c r="D163" s="1576"/>
      <c r="E163" s="1558" t="str">
        <f>unos!B27</f>
        <v>Pozitivne kursne razlike</v>
      </c>
      <c r="F163" s="1559"/>
      <c r="G163" s="1559"/>
      <c r="H163" s="1559"/>
      <c r="I163" s="1559"/>
      <c r="J163" s="1559"/>
      <c r="K163" s="1559"/>
      <c r="L163" s="1559"/>
      <c r="M163" s="1559"/>
      <c r="N163" s="1559"/>
      <c r="O163" s="1559"/>
      <c r="P163" s="1559"/>
      <c r="Q163" s="1559"/>
      <c r="R163" s="1559"/>
      <c r="S163" s="1559"/>
      <c r="T163" s="1559"/>
      <c r="U163" s="1559"/>
      <c r="V163" s="1559"/>
      <c r="W163" s="1563">
        <f>unos!F27</f>
        <v>0</v>
      </c>
      <c r="X163" s="1594"/>
      <c r="Y163" s="1594"/>
      <c r="Z163" s="1594"/>
      <c r="AA163" s="1594"/>
      <c r="AB163" s="1594"/>
      <c r="AC163" s="1594"/>
      <c r="AD163" s="1594"/>
      <c r="AE163" s="1595"/>
      <c r="AF163" s="1563">
        <f>unos!G27</f>
        <v>0</v>
      </c>
      <c r="AG163" s="1594"/>
      <c r="AH163" s="1594"/>
      <c r="AI163" s="1594"/>
      <c r="AJ163" s="1594"/>
      <c r="AK163" s="1594"/>
      <c r="AL163" s="1594"/>
      <c r="AM163" s="1594"/>
      <c r="AN163" s="1595"/>
      <c r="AO163" s="1184">
        <f t="shared" si="6"/>
        <v>0</v>
      </c>
    </row>
    <row r="164" spans="1:41">
      <c r="A164" s="1574" t="str">
        <f>unos!A28</f>
        <v>663</v>
      </c>
      <c r="B164" s="1575"/>
      <c r="C164" s="1575"/>
      <c r="D164" s="1576"/>
      <c r="E164" s="1558" t="str">
        <f>unos!B28</f>
        <v>Prihodi od efekata valutne klauzule</v>
      </c>
      <c r="F164" s="1559"/>
      <c r="G164" s="1559"/>
      <c r="H164" s="1559"/>
      <c r="I164" s="1559"/>
      <c r="J164" s="1559"/>
      <c r="K164" s="1559"/>
      <c r="L164" s="1559"/>
      <c r="M164" s="1559"/>
      <c r="N164" s="1559"/>
      <c r="O164" s="1559"/>
      <c r="P164" s="1559"/>
      <c r="Q164" s="1559"/>
      <c r="R164" s="1559"/>
      <c r="S164" s="1559"/>
      <c r="T164" s="1559"/>
      <c r="U164" s="1559"/>
      <c r="V164" s="1559"/>
      <c r="W164" s="1563">
        <f>unos!F28</f>
        <v>0</v>
      </c>
      <c r="X164" s="1594"/>
      <c r="Y164" s="1594"/>
      <c r="Z164" s="1594"/>
      <c r="AA164" s="1594"/>
      <c r="AB164" s="1594"/>
      <c r="AC164" s="1594"/>
      <c r="AD164" s="1594"/>
      <c r="AE164" s="1595"/>
      <c r="AF164" s="1563">
        <f>unos!G28</f>
        <v>0</v>
      </c>
      <c r="AG164" s="1594"/>
      <c r="AH164" s="1594"/>
      <c r="AI164" s="1594"/>
      <c r="AJ164" s="1594"/>
      <c r="AK164" s="1594"/>
      <c r="AL164" s="1594"/>
      <c r="AM164" s="1594"/>
      <c r="AN164" s="1595"/>
      <c r="AO164" s="1184">
        <f t="shared" si="6"/>
        <v>0</v>
      </c>
    </row>
    <row r="165" spans="1:41">
      <c r="A165" s="1574" t="str">
        <f>unos!A29</f>
        <v>664</v>
      </c>
      <c r="B165" s="1575"/>
      <c r="C165" s="1575"/>
      <c r="D165" s="1576"/>
      <c r="E165" s="1558" t="str">
        <f>unos!B29</f>
        <v>Prihodi od učešća u dobiti zajedničkih ulaganja</v>
      </c>
      <c r="F165" s="1559"/>
      <c r="G165" s="1559"/>
      <c r="H165" s="1559"/>
      <c r="I165" s="1559"/>
      <c r="J165" s="1559"/>
      <c r="K165" s="1559"/>
      <c r="L165" s="1559"/>
      <c r="M165" s="1559"/>
      <c r="N165" s="1559"/>
      <c r="O165" s="1559"/>
      <c r="P165" s="1559"/>
      <c r="Q165" s="1559"/>
      <c r="R165" s="1559"/>
      <c r="S165" s="1559"/>
      <c r="T165" s="1559"/>
      <c r="U165" s="1559"/>
      <c r="V165" s="1559"/>
      <c r="W165" s="1563">
        <f>unos!F29</f>
        <v>0</v>
      </c>
      <c r="X165" s="1594"/>
      <c r="Y165" s="1594"/>
      <c r="Z165" s="1594"/>
      <c r="AA165" s="1594"/>
      <c r="AB165" s="1594"/>
      <c r="AC165" s="1594"/>
      <c r="AD165" s="1594"/>
      <c r="AE165" s="1595"/>
      <c r="AF165" s="1563">
        <f>unos!G29</f>
        <v>0</v>
      </c>
      <c r="AG165" s="1594"/>
      <c r="AH165" s="1594"/>
      <c r="AI165" s="1594"/>
      <c r="AJ165" s="1594"/>
      <c r="AK165" s="1594"/>
      <c r="AL165" s="1594"/>
      <c r="AM165" s="1594"/>
      <c r="AN165" s="1595"/>
      <c r="AO165" s="1184">
        <f t="shared" si="6"/>
        <v>0</v>
      </c>
    </row>
    <row r="166" spans="1:41">
      <c r="A166" s="1574" t="str">
        <f>unos!A30</f>
        <v>669</v>
      </c>
      <c r="B166" s="1575"/>
      <c r="C166" s="1575"/>
      <c r="D166" s="1576"/>
      <c r="E166" s="1558" t="str">
        <f>unos!B30</f>
        <v>Ostali finansijski prihodi</v>
      </c>
      <c r="F166" s="1559"/>
      <c r="G166" s="1559"/>
      <c r="H166" s="1559"/>
      <c r="I166" s="1559"/>
      <c r="J166" s="1559"/>
      <c r="K166" s="1559"/>
      <c r="L166" s="1559"/>
      <c r="M166" s="1559"/>
      <c r="N166" s="1559"/>
      <c r="O166" s="1559"/>
      <c r="P166" s="1559"/>
      <c r="Q166" s="1559"/>
      <c r="R166" s="1559"/>
      <c r="S166" s="1559"/>
      <c r="T166" s="1559"/>
      <c r="U166" s="1559"/>
      <c r="V166" s="1559"/>
      <c r="W166" s="1563">
        <f>unos!F30</f>
        <v>0</v>
      </c>
      <c r="X166" s="1594"/>
      <c r="Y166" s="1594"/>
      <c r="Z166" s="1594"/>
      <c r="AA166" s="1594"/>
      <c r="AB166" s="1594"/>
      <c r="AC166" s="1594"/>
      <c r="AD166" s="1594"/>
      <c r="AE166" s="1595"/>
      <c r="AF166" s="1563">
        <f>unos!G30</f>
        <v>0</v>
      </c>
      <c r="AG166" s="1594"/>
      <c r="AH166" s="1594"/>
      <c r="AI166" s="1594"/>
      <c r="AJ166" s="1594"/>
      <c r="AK166" s="1594"/>
      <c r="AL166" s="1594"/>
      <c r="AM166" s="1594"/>
      <c r="AN166" s="1595"/>
      <c r="AO166" s="1184">
        <f t="shared" si="6"/>
        <v>0</v>
      </c>
    </row>
    <row r="167" spans="1:41">
      <c r="A167" s="1577"/>
      <c r="B167" s="1577"/>
      <c r="C167" s="1577"/>
      <c r="D167" s="1577"/>
      <c r="E167" s="1167"/>
      <c r="F167" s="1168"/>
      <c r="G167" s="1168"/>
      <c r="H167" s="1168"/>
      <c r="I167" s="1168"/>
      <c r="J167" s="1168"/>
      <c r="K167" s="1168"/>
      <c r="L167" s="1168"/>
      <c r="M167" s="1168"/>
      <c r="N167" s="1168"/>
      <c r="O167" s="1168"/>
      <c r="P167" s="1168"/>
      <c r="Q167" s="1168"/>
      <c r="R167" s="1168"/>
      <c r="S167" s="1167"/>
      <c r="T167" s="1167"/>
      <c r="U167" s="1167"/>
      <c r="V167" s="1169" t="s">
        <v>1997</v>
      </c>
      <c r="W167" s="1617">
        <f>SUM(W161:W166)</f>
        <v>0</v>
      </c>
      <c r="X167" s="1618"/>
      <c r="Y167" s="1618"/>
      <c r="Z167" s="1618"/>
      <c r="AA167" s="1618"/>
      <c r="AB167" s="1618"/>
      <c r="AC167" s="1618"/>
      <c r="AD167" s="1618"/>
      <c r="AE167" s="1619"/>
      <c r="AF167" s="1617">
        <f>SUM(AF161:AF166)</f>
        <v>0</v>
      </c>
      <c r="AG167" s="1618"/>
      <c r="AH167" s="1618"/>
      <c r="AI167" s="1618"/>
      <c r="AJ167" s="1618"/>
      <c r="AK167" s="1618"/>
      <c r="AL167" s="1618"/>
      <c r="AM167" s="1618"/>
      <c r="AN167" s="1619"/>
      <c r="AO167" s="1185">
        <f>IF(OR(W167=0,AF167=0),0,ROUND(AF167/W167,4))</f>
        <v>0</v>
      </c>
    </row>
    <row r="168" spans="1:41">
      <c r="A168" s="1183"/>
      <c r="B168" s="1183"/>
      <c r="C168" s="1183"/>
      <c r="D168" s="1183"/>
      <c r="E168" s="1183"/>
      <c r="F168" s="1183"/>
      <c r="G168" s="1183"/>
      <c r="H168" s="1183"/>
      <c r="I168" s="1183"/>
      <c r="J168" s="1183"/>
      <c r="K168" s="1183"/>
      <c r="L168" s="1183"/>
      <c r="M168" s="1183"/>
      <c r="N168" s="1183"/>
      <c r="O168" s="1183"/>
      <c r="P168" s="1183"/>
      <c r="Q168" s="1183"/>
      <c r="R168" s="1183"/>
      <c r="S168" s="1183"/>
      <c r="T168" s="1183"/>
      <c r="U168" s="1183"/>
      <c r="V168" s="1183"/>
      <c r="W168" s="1183"/>
      <c r="X168" s="1183"/>
      <c r="Y168" s="1183"/>
      <c r="Z168" s="1183"/>
      <c r="AA168" s="1183"/>
      <c r="AB168" s="1183"/>
      <c r="AC168" s="1183"/>
      <c r="AD168" s="1183"/>
      <c r="AE168" s="1183"/>
      <c r="AF168" s="1183"/>
      <c r="AG168" s="1183"/>
      <c r="AH168" s="1183"/>
      <c r="AI168" s="1183"/>
      <c r="AJ168" s="1183"/>
      <c r="AK168" s="1183"/>
      <c r="AL168" s="1183"/>
      <c r="AM168" s="1183"/>
      <c r="AN168" s="1183"/>
    </row>
    <row r="169" spans="1:41">
      <c r="A169" s="1581"/>
      <c r="B169" s="1581"/>
      <c r="C169" s="1581"/>
      <c r="D169" s="1581"/>
      <c r="E169" s="1581"/>
      <c r="F169" s="1581"/>
      <c r="G169" s="1581"/>
      <c r="H169" s="1581"/>
      <c r="I169" s="1581"/>
      <c r="J169" s="1581"/>
      <c r="K169" s="1581"/>
      <c r="L169" s="1581"/>
      <c r="M169" s="1581"/>
      <c r="N169" s="1581"/>
      <c r="O169" s="1581"/>
      <c r="P169" s="1581"/>
      <c r="Q169" s="1581"/>
      <c r="R169" s="1581"/>
      <c r="S169" s="1581"/>
      <c r="T169" s="1581"/>
      <c r="U169" s="1581"/>
      <c r="V169" s="1581"/>
      <c r="W169" s="1581"/>
      <c r="X169" s="1581"/>
      <c r="Y169" s="1581"/>
      <c r="Z169" s="1581"/>
      <c r="AA169" s="1581"/>
      <c r="AB169" s="1581"/>
      <c r="AC169" s="1581"/>
      <c r="AD169" s="1581"/>
      <c r="AE169" s="1581"/>
      <c r="AF169" s="1581"/>
      <c r="AG169" s="1581"/>
      <c r="AH169" s="1581"/>
      <c r="AI169" s="1581"/>
      <c r="AJ169" s="1581"/>
      <c r="AK169" s="1581"/>
      <c r="AL169" s="1581"/>
      <c r="AM169" s="1581"/>
      <c r="AN169" s="1581"/>
    </row>
    <row r="170" spans="1:41">
      <c r="A170" s="1581"/>
      <c r="B170" s="1581"/>
      <c r="C170" s="1581"/>
      <c r="D170" s="1581"/>
      <c r="E170" s="1581"/>
      <c r="F170" s="1581"/>
      <c r="G170" s="1581"/>
      <c r="H170" s="1581"/>
      <c r="I170" s="1581"/>
      <c r="J170" s="1581"/>
      <c r="K170" s="1581"/>
      <c r="L170" s="1581"/>
      <c r="M170" s="1581"/>
      <c r="N170" s="1581"/>
      <c r="O170" s="1581"/>
      <c r="P170" s="1581"/>
      <c r="Q170" s="1581"/>
      <c r="R170" s="1581"/>
      <c r="S170" s="1581"/>
      <c r="T170" s="1581"/>
      <c r="U170" s="1581"/>
      <c r="V170" s="1581"/>
      <c r="W170" s="1581"/>
      <c r="X170" s="1581"/>
      <c r="Y170" s="1581"/>
      <c r="Z170" s="1581"/>
      <c r="AA170" s="1581"/>
      <c r="AB170" s="1581"/>
      <c r="AC170" s="1581"/>
      <c r="AD170" s="1581"/>
      <c r="AE170" s="1581"/>
      <c r="AF170" s="1581"/>
      <c r="AG170" s="1581"/>
      <c r="AH170" s="1581"/>
      <c r="AI170" s="1581"/>
      <c r="AJ170" s="1581"/>
      <c r="AK170" s="1581"/>
      <c r="AL170" s="1581"/>
      <c r="AM170" s="1581"/>
      <c r="AN170" s="1581"/>
    </row>
    <row r="171" spans="1:41">
      <c r="A171" s="1581"/>
      <c r="B171" s="1581"/>
      <c r="C171" s="1581"/>
      <c r="D171" s="1581"/>
      <c r="E171" s="1581"/>
      <c r="F171" s="1581"/>
      <c r="G171" s="1581"/>
      <c r="H171" s="1581"/>
      <c r="I171" s="1581"/>
      <c r="J171" s="1581"/>
      <c r="K171" s="1581"/>
      <c r="L171" s="1581"/>
      <c r="M171" s="1581"/>
      <c r="N171" s="1581"/>
      <c r="O171" s="1581"/>
      <c r="P171" s="1581"/>
      <c r="Q171" s="1581"/>
      <c r="R171" s="1581"/>
      <c r="S171" s="1581"/>
      <c r="T171" s="1581"/>
      <c r="U171" s="1581"/>
      <c r="V171" s="1581"/>
      <c r="W171" s="1581"/>
      <c r="X171" s="1581"/>
      <c r="Y171" s="1581"/>
      <c r="Z171" s="1581"/>
      <c r="AA171" s="1581"/>
      <c r="AB171" s="1581"/>
      <c r="AC171" s="1581"/>
      <c r="AD171" s="1581"/>
      <c r="AE171" s="1581"/>
      <c r="AF171" s="1581"/>
      <c r="AG171" s="1581"/>
      <c r="AH171" s="1581"/>
      <c r="AI171" s="1581"/>
      <c r="AJ171" s="1581"/>
      <c r="AK171" s="1581"/>
      <c r="AL171" s="1581"/>
      <c r="AM171" s="1581"/>
      <c r="AN171" s="1581"/>
    </row>
    <row r="172" spans="1:41">
      <c r="A172" s="1581"/>
      <c r="B172" s="1581"/>
      <c r="C172" s="1581"/>
      <c r="D172" s="1581"/>
      <c r="E172" s="1581"/>
      <c r="F172" s="1581"/>
      <c r="G172" s="1581"/>
      <c r="H172" s="1581"/>
      <c r="I172" s="1581"/>
      <c r="J172" s="1581"/>
      <c r="K172" s="1581"/>
      <c r="L172" s="1581"/>
      <c r="M172" s="1581"/>
      <c r="N172" s="1581"/>
      <c r="O172" s="1581"/>
      <c r="P172" s="1581"/>
      <c r="Q172" s="1581"/>
      <c r="R172" s="1581"/>
      <c r="S172" s="1581"/>
      <c r="T172" s="1581"/>
      <c r="U172" s="1581"/>
      <c r="V172" s="1581"/>
      <c r="W172" s="1581"/>
      <c r="X172" s="1581"/>
      <c r="Y172" s="1581"/>
      <c r="Z172" s="1581"/>
      <c r="AA172" s="1581"/>
      <c r="AB172" s="1581"/>
      <c r="AC172" s="1581"/>
      <c r="AD172" s="1581"/>
      <c r="AE172" s="1581"/>
      <c r="AF172" s="1581"/>
      <c r="AG172" s="1581"/>
      <c r="AH172" s="1581"/>
      <c r="AI172" s="1581"/>
      <c r="AJ172" s="1581"/>
      <c r="AK172" s="1581"/>
      <c r="AL172" s="1581"/>
      <c r="AM172" s="1581"/>
      <c r="AN172" s="1581"/>
    </row>
    <row r="173" spans="1:41">
      <c r="A173" s="1183"/>
      <c r="B173" s="1183"/>
      <c r="C173" s="1183"/>
      <c r="D173" s="1183"/>
      <c r="E173" s="1183"/>
      <c r="F173" s="1183"/>
      <c r="G173" s="1183"/>
      <c r="H173" s="1183"/>
      <c r="I173" s="1183"/>
      <c r="J173" s="1183"/>
      <c r="K173" s="1183"/>
      <c r="L173" s="1183"/>
      <c r="M173" s="1183"/>
      <c r="N173" s="1183"/>
      <c r="O173" s="1183"/>
      <c r="P173" s="1183"/>
      <c r="Q173" s="1183"/>
      <c r="R173" s="1183"/>
      <c r="S173" s="1183"/>
      <c r="T173" s="1183"/>
      <c r="U173" s="1183"/>
      <c r="V173" s="1183"/>
      <c r="W173" s="1183"/>
      <c r="X173" s="1183"/>
      <c r="Y173" s="1183"/>
      <c r="Z173" s="1183"/>
      <c r="AA173" s="1183"/>
      <c r="AB173" s="1183"/>
      <c r="AC173" s="1183"/>
      <c r="AD173" s="1183"/>
      <c r="AE173" s="1183"/>
      <c r="AF173" s="1183"/>
      <c r="AG173" s="1183"/>
      <c r="AH173" s="1183"/>
      <c r="AI173" s="1183"/>
      <c r="AJ173" s="1183"/>
      <c r="AK173" s="1183"/>
      <c r="AL173" s="1183"/>
      <c r="AM173" s="1183"/>
      <c r="AN173" s="1183"/>
    </row>
    <row r="174" spans="1:41">
      <c r="A174" s="828" t="s">
        <v>1933</v>
      </c>
      <c r="B174" s="828" t="s">
        <v>1938</v>
      </c>
    </row>
    <row r="176" spans="1:41" ht="14.25" customHeight="1">
      <c r="W176" s="1170" t="s">
        <v>1995</v>
      </c>
      <c r="X176" s="1171"/>
      <c r="Y176" s="1171"/>
      <c r="Z176" s="1171"/>
      <c r="AA176" s="1171"/>
      <c r="AB176" s="1171"/>
      <c r="AC176" s="1171"/>
      <c r="AD176" s="1171"/>
      <c r="AE176" s="1171"/>
      <c r="AF176" s="1171"/>
      <c r="AG176" s="1171"/>
      <c r="AH176" s="1171"/>
      <c r="AI176" s="1171"/>
      <c r="AJ176" s="1171"/>
      <c r="AK176" s="1171"/>
      <c r="AL176" s="1171"/>
      <c r="AM176" s="1171"/>
      <c r="AN176" s="1172"/>
    </row>
    <row r="177" spans="1:41">
      <c r="A177" s="1582" t="s">
        <v>1996</v>
      </c>
      <c r="B177" s="1583"/>
      <c r="C177" s="1583"/>
      <c r="D177" s="1584"/>
      <c r="E177" s="1567" t="s">
        <v>796</v>
      </c>
      <c r="F177" s="1567"/>
      <c r="G177" s="1567"/>
      <c r="H177" s="1567"/>
      <c r="I177" s="1567"/>
      <c r="J177" s="1567"/>
      <c r="K177" s="1567"/>
      <c r="L177" s="1567"/>
      <c r="M177" s="1567"/>
      <c r="N177" s="1567"/>
      <c r="O177" s="1567"/>
      <c r="P177" s="1567"/>
      <c r="Q177" s="1567"/>
      <c r="R177" s="1567"/>
      <c r="S177" s="1567"/>
      <c r="T177" s="1567"/>
      <c r="U177" s="1567"/>
      <c r="V177" s="1567"/>
      <c r="W177" s="1568" t="s">
        <v>1039</v>
      </c>
      <c r="X177" s="1569"/>
      <c r="Y177" s="1569"/>
      <c r="Z177" s="1569"/>
      <c r="AA177" s="1569"/>
      <c r="AB177" s="1569"/>
      <c r="AC177" s="1569"/>
      <c r="AD177" s="1569"/>
      <c r="AE177" s="1570"/>
      <c r="AF177" s="1571" t="s">
        <v>278</v>
      </c>
      <c r="AG177" s="1572"/>
      <c r="AH177" s="1572"/>
      <c r="AI177" s="1572"/>
      <c r="AJ177" s="1572"/>
      <c r="AK177" s="1572"/>
      <c r="AL177" s="1572"/>
      <c r="AM177" s="1572"/>
      <c r="AN177" s="1573"/>
      <c r="AO177" s="1187" t="s">
        <v>2766</v>
      </c>
    </row>
    <row r="178" spans="1:41">
      <c r="A178" s="1574" t="str">
        <f>unos!A98</f>
        <v>560</v>
      </c>
      <c r="B178" s="1575"/>
      <c r="C178" s="1575"/>
      <c r="D178" s="1576"/>
      <c r="E178" s="1558" t="str">
        <f>unos!B98</f>
        <v>Finansijski rashodi iz odnosa s povezanim pravnim licima</v>
      </c>
      <c r="F178" s="1559"/>
      <c r="G178" s="1559"/>
      <c r="H178" s="1559"/>
      <c r="I178" s="1559"/>
      <c r="J178" s="1559"/>
      <c r="K178" s="1559"/>
      <c r="L178" s="1559"/>
      <c r="M178" s="1559"/>
      <c r="N178" s="1559"/>
      <c r="O178" s="1559"/>
      <c r="P178" s="1559"/>
      <c r="Q178" s="1559"/>
      <c r="R178" s="1559"/>
      <c r="S178" s="1559"/>
      <c r="T178" s="1559"/>
      <c r="U178" s="1559"/>
      <c r="V178" s="1559"/>
      <c r="W178" s="1563">
        <f>unos!F98</f>
        <v>0</v>
      </c>
      <c r="X178" s="1594"/>
      <c r="Y178" s="1594"/>
      <c r="Z178" s="1594"/>
      <c r="AA178" s="1594"/>
      <c r="AB178" s="1594"/>
      <c r="AC178" s="1594"/>
      <c r="AD178" s="1594"/>
      <c r="AE178" s="1595"/>
      <c r="AF178" s="1563">
        <f>unos!G98</f>
        <v>0</v>
      </c>
      <c r="AG178" s="1594"/>
      <c r="AH178" s="1594"/>
      <c r="AI178" s="1594"/>
      <c r="AJ178" s="1594"/>
      <c r="AK178" s="1594"/>
      <c r="AL178" s="1594"/>
      <c r="AM178" s="1594"/>
      <c r="AN178" s="1595"/>
      <c r="AO178" s="1184">
        <f t="shared" ref="AO178:AO183" si="7">IF(OR(W178=0,AF178=0),0,ROUND(AF178/W178,4))</f>
        <v>0</v>
      </c>
    </row>
    <row r="179" spans="1:41">
      <c r="A179" s="1574" t="str">
        <f>unos!A99</f>
        <v>561</v>
      </c>
      <c r="B179" s="1575"/>
      <c r="C179" s="1575"/>
      <c r="D179" s="1576"/>
      <c r="E179" s="1558" t="str">
        <f>unos!B99</f>
        <v>Rashjodi kamata</v>
      </c>
      <c r="F179" s="1559"/>
      <c r="G179" s="1559"/>
      <c r="H179" s="1559"/>
      <c r="I179" s="1559"/>
      <c r="J179" s="1559"/>
      <c r="K179" s="1559"/>
      <c r="L179" s="1559"/>
      <c r="M179" s="1559"/>
      <c r="N179" s="1559"/>
      <c r="O179" s="1559"/>
      <c r="P179" s="1559"/>
      <c r="Q179" s="1559"/>
      <c r="R179" s="1559"/>
      <c r="S179" s="1559"/>
      <c r="T179" s="1559"/>
      <c r="U179" s="1559"/>
      <c r="V179" s="1559"/>
      <c r="W179" s="1563">
        <f>unos!F99</f>
        <v>0</v>
      </c>
      <c r="X179" s="1594"/>
      <c r="Y179" s="1594"/>
      <c r="Z179" s="1594"/>
      <c r="AA179" s="1594"/>
      <c r="AB179" s="1594"/>
      <c r="AC179" s="1594"/>
      <c r="AD179" s="1594"/>
      <c r="AE179" s="1595"/>
      <c r="AF179" s="1563">
        <f>unos!G99</f>
        <v>0</v>
      </c>
      <c r="AG179" s="1594"/>
      <c r="AH179" s="1594"/>
      <c r="AI179" s="1594"/>
      <c r="AJ179" s="1594"/>
      <c r="AK179" s="1594"/>
      <c r="AL179" s="1594"/>
      <c r="AM179" s="1594"/>
      <c r="AN179" s="1595"/>
      <c r="AO179" s="1184">
        <f t="shared" si="7"/>
        <v>0</v>
      </c>
    </row>
    <row r="180" spans="1:41">
      <c r="A180" s="1574" t="str">
        <f>unos!A100</f>
        <v>562</v>
      </c>
      <c r="B180" s="1575"/>
      <c r="C180" s="1575"/>
      <c r="D180" s="1576"/>
      <c r="E180" s="1558" t="str">
        <f>unos!B100</f>
        <v>Negativne kursne razlike</v>
      </c>
      <c r="F180" s="1559"/>
      <c r="G180" s="1559"/>
      <c r="H180" s="1559"/>
      <c r="I180" s="1559"/>
      <c r="J180" s="1559"/>
      <c r="K180" s="1559"/>
      <c r="L180" s="1559"/>
      <c r="M180" s="1559"/>
      <c r="N180" s="1559"/>
      <c r="O180" s="1559"/>
      <c r="P180" s="1559"/>
      <c r="Q180" s="1559"/>
      <c r="R180" s="1559"/>
      <c r="S180" s="1559"/>
      <c r="T180" s="1559"/>
      <c r="U180" s="1559"/>
      <c r="V180" s="1559"/>
      <c r="W180" s="1563">
        <f>unos!F100</f>
        <v>0</v>
      </c>
      <c r="X180" s="1594"/>
      <c r="Y180" s="1594"/>
      <c r="Z180" s="1594"/>
      <c r="AA180" s="1594"/>
      <c r="AB180" s="1594"/>
      <c r="AC180" s="1594"/>
      <c r="AD180" s="1594"/>
      <c r="AE180" s="1595"/>
      <c r="AF180" s="1563">
        <f>unos!G100</f>
        <v>0</v>
      </c>
      <c r="AG180" s="1594"/>
      <c r="AH180" s="1594"/>
      <c r="AI180" s="1594"/>
      <c r="AJ180" s="1594"/>
      <c r="AK180" s="1594"/>
      <c r="AL180" s="1594"/>
      <c r="AM180" s="1594"/>
      <c r="AN180" s="1595"/>
      <c r="AO180" s="1184">
        <f t="shared" si="7"/>
        <v>0</v>
      </c>
    </row>
    <row r="181" spans="1:41">
      <c r="A181" s="1574" t="str">
        <f>unos!A101</f>
        <v>563</v>
      </c>
      <c r="B181" s="1575"/>
      <c r="C181" s="1575"/>
      <c r="D181" s="1576"/>
      <c r="E181" s="1558" t="str">
        <f>unos!B101</f>
        <v>Rashodi iz osnova valutne klauzule</v>
      </c>
      <c r="F181" s="1559"/>
      <c r="G181" s="1559"/>
      <c r="H181" s="1559"/>
      <c r="I181" s="1559"/>
      <c r="J181" s="1559"/>
      <c r="K181" s="1559"/>
      <c r="L181" s="1559"/>
      <c r="M181" s="1559"/>
      <c r="N181" s="1559"/>
      <c r="O181" s="1559"/>
      <c r="P181" s="1559"/>
      <c r="Q181" s="1559"/>
      <c r="R181" s="1559"/>
      <c r="S181" s="1559"/>
      <c r="T181" s="1559"/>
      <c r="U181" s="1559"/>
      <c r="V181" s="1559"/>
      <c r="W181" s="1563">
        <f>unos!F101</f>
        <v>0</v>
      </c>
      <c r="X181" s="1594"/>
      <c r="Y181" s="1594"/>
      <c r="Z181" s="1594"/>
      <c r="AA181" s="1594"/>
      <c r="AB181" s="1594"/>
      <c r="AC181" s="1594"/>
      <c r="AD181" s="1594"/>
      <c r="AE181" s="1595"/>
      <c r="AF181" s="1563">
        <f>unos!G101</f>
        <v>0</v>
      </c>
      <c r="AG181" s="1594"/>
      <c r="AH181" s="1594"/>
      <c r="AI181" s="1594"/>
      <c r="AJ181" s="1594"/>
      <c r="AK181" s="1594"/>
      <c r="AL181" s="1594"/>
      <c r="AM181" s="1594"/>
      <c r="AN181" s="1595"/>
      <c r="AO181" s="1184">
        <f t="shared" si="7"/>
        <v>0</v>
      </c>
    </row>
    <row r="182" spans="1:41">
      <c r="A182" s="1574" t="str">
        <f>unos!A102</f>
        <v>569</v>
      </c>
      <c r="B182" s="1575"/>
      <c r="C182" s="1575"/>
      <c r="D182" s="1576"/>
      <c r="E182" s="1558" t="str">
        <f>unos!B102</f>
        <v>Ostali finansijski rashodi</v>
      </c>
      <c r="F182" s="1559"/>
      <c r="G182" s="1559"/>
      <c r="H182" s="1559"/>
      <c r="I182" s="1559"/>
      <c r="J182" s="1559"/>
      <c r="K182" s="1559"/>
      <c r="L182" s="1559"/>
      <c r="M182" s="1559"/>
      <c r="N182" s="1559"/>
      <c r="O182" s="1559"/>
      <c r="P182" s="1559"/>
      <c r="Q182" s="1559"/>
      <c r="R182" s="1559"/>
      <c r="S182" s="1559"/>
      <c r="T182" s="1559"/>
      <c r="U182" s="1559"/>
      <c r="V182" s="1559"/>
      <c r="W182" s="1563">
        <f>unos!F102</f>
        <v>0</v>
      </c>
      <c r="X182" s="1594"/>
      <c r="Y182" s="1594"/>
      <c r="Z182" s="1594"/>
      <c r="AA182" s="1594"/>
      <c r="AB182" s="1594"/>
      <c r="AC182" s="1594"/>
      <c r="AD182" s="1594"/>
      <c r="AE182" s="1595"/>
      <c r="AF182" s="1563">
        <f>unos!G102</f>
        <v>0</v>
      </c>
      <c r="AG182" s="1594"/>
      <c r="AH182" s="1594"/>
      <c r="AI182" s="1594"/>
      <c r="AJ182" s="1594"/>
      <c r="AK182" s="1594"/>
      <c r="AL182" s="1594"/>
      <c r="AM182" s="1594"/>
      <c r="AN182" s="1595"/>
      <c r="AO182" s="1184">
        <f t="shared" si="7"/>
        <v>0</v>
      </c>
    </row>
    <row r="183" spans="1:41">
      <c r="A183" s="1577"/>
      <c r="B183" s="1577"/>
      <c r="C183" s="1577"/>
      <c r="D183" s="1577"/>
      <c r="E183" s="1167"/>
      <c r="F183" s="1168"/>
      <c r="G183" s="1168"/>
      <c r="H183" s="1168"/>
      <c r="I183" s="1168"/>
      <c r="J183" s="1168"/>
      <c r="K183" s="1168"/>
      <c r="L183" s="1168"/>
      <c r="M183" s="1168"/>
      <c r="N183" s="1168"/>
      <c r="O183" s="1168"/>
      <c r="P183" s="1168"/>
      <c r="Q183" s="1168"/>
      <c r="R183" s="1168"/>
      <c r="S183" s="1167"/>
      <c r="T183" s="1167"/>
      <c r="U183" s="1167"/>
      <c r="V183" s="1169" t="s">
        <v>1997</v>
      </c>
      <c r="W183" s="1617">
        <f>SUM(W178:W182)</f>
        <v>0</v>
      </c>
      <c r="X183" s="1618"/>
      <c r="Y183" s="1618"/>
      <c r="Z183" s="1618"/>
      <c r="AA183" s="1618"/>
      <c r="AB183" s="1618"/>
      <c r="AC183" s="1618"/>
      <c r="AD183" s="1618"/>
      <c r="AE183" s="1619"/>
      <c r="AF183" s="1617">
        <f>SUM(AF178:AF182)</f>
        <v>0</v>
      </c>
      <c r="AG183" s="1618"/>
      <c r="AH183" s="1618"/>
      <c r="AI183" s="1618"/>
      <c r="AJ183" s="1618"/>
      <c r="AK183" s="1618"/>
      <c r="AL183" s="1618"/>
      <c r="AM183" s="1618"/>
      <c r="AN183" s="1619"/>
      <c r="AO183" s="1185">
        <f t="shared" si="7"/>
        <v>0</v>
      </c>
    </row>
    <row r="188" spans="1:41">
      <c r="A188" s="828" t="s">
        <v>1933</v>
      </c>
      <c r="B188" s="828" t="s">
        <v>2795</v>
      </c>
    </row>
    <row r="190" spans="1:41" ht="14.25" customHeight="1">
      <c r="W190" s="1170" t="s">
        <v>1995</v>
      </c>
      <c r="X190" s="1171"/>
      <c r="Y190" s="1171"/>
      <c r="Z190" s="1171"/>
      <c r="AA190" s="1171"/>
      <c r="AB190" s="1171"/>
      <c r="AC190" s="1171"/>
      <c r="AD190" s="1171"/>
      <c r="AE190" s="1171"/>
      <c r="AF190" s="1171"/>
      <c r="AG190" s="1171"/>
      <c r="AH190" s="1171"/>
      <c r="AI190" s="1171"/>
      <c r="AJ190" s="1171"/>
      <c r="AK190" s="1171"/>
      <c r="AL190" s="1171"/>
      <c r="AM190" s="1171"/>
      <c r="AN190" s="1172"/>
    </row>
    <row r="191" spans="1:41">
      <c r="A191" s="1582" t="s">
        <v>1996</v>
      </c>
      <c r="B191" s="1583"/>
      <c r="C191" s="1583"/>
      <c r="D191" s="1584"/>
      <c r="E191" s="1567" t="s">
        <v>796</v>
      </c>
      <c r="F191" s="1567"/>
      <c r="G191" s="1567"/>
      <c r="H191" s="1567"/>
      <c r="I191" s="1567"/>
      <c r="J191" s="1567"/>
      <c r="K191" s="1567"/>
      <c r="L191" s="1567"/>
      <c r="M191" s="1567"/>
      <c r="N191" s="1567"/>
      <c r="O191" s="1567"/>
      <c r="P191" s="1567"/>
      <c r="Q191" s="1567"/>
      <c r="R191" s="1567"/>
      <c r="S191" s="1567"/>
      <c r="T191" s="1567"/>
      <c r="U191" s="1567"/>
      <c r="V191" s="1567"/>
      <c r="W191" s="1568" t="s">
        <v>1039</v>
      </c>
      <c r="X191" s="1569"/>
      <c r="Y191" s="1569"/>
      <c r="Z191" s="1569"/>
      <c r="AA191" s="1569"/>
      <c r="AB191" s="1569"/>
      <c r="AC191" s="1569"/>
      <c r="AD191" s="1569"/>
      <c r="AE191" s="1570"/>
      <c r="AF191" s="1571" t="s">
        <v>278</v>
      </c>
      <c r="AG191" s="1572"/>
      <c r="AH191" s="1572"/>
      <c r="AI191" s="1572"/>
      <c r="AJ191" s="1572"/>
      <c r="AK191" s="1572"/>
      <c r="AL191" s="1572"/>
      <c r="AM191" s="1572"/>
      <c r="AN191" s="1573"/>
      <c r="AO191" s="1187" t="s">
        <v>2766</v>
      </c>
    </row>
    <row r="192" spans="1:41">
      <c r="A192" s="1574" t="str">
        <f>unos!A31</f>
        <v>670</v>
      </c>
      <c r="B192" s="1575"/>
      <c r="C192" s="1575"/>
      <c r="D192" s="1576"/>
      <c r="E192" s="1558" t="str">
        <f>unos!B31</f>
        <v>Dobici od prodaje nematerijalnih i materijalanih stalnih sredstava</v>
      </c>
      <c r="F192" s="1559"/>
      <c r="G192" s="1559"/>
      <c r="H192" s="1559"/>
      <c r="I192" s="1559"/>
      <c r="J192" s="1559"/>
      <c r="K192" s="1559"/>
      <c r="L192" s="1559"/>
      <c r="M192" s="1559"/>
      <c r="N192" s="1559"/>
      <c r="O192" s="1559"/>
      <c r="P192" s="1559"/>
      <c r="Q192" s="1559"/>
      <c r="R192" s="1559"/>
      <c r="S192" s="1559"/>
      <c r="T192" s="1559"/>
      <c r="U192" s="1559"/>
      <c r="V192" s="1559"/>
      <c r="W192" s="1563">
        <f>unos!F31</f>
        <v>0</v>
      </c>
      <c r="X192" s="1594"/>
      <c r="Y192" s="1594"/>
      <c r="Z192" s="1594"/>
      <c r="AA192" s="1594"/>
      <c r="AB192" s="1594"/>
      <c r="AC192" s="1594"/>
      <c r="AD192" s="1594"/>
      <c r="AE192" s="1595"/>
      <c r="AF192" s="1563">
        <f>unos!G31</f>
        <v>0</v>
      </c>
      <c r="AG192" s="1594"/>
      <c r="AH192" s="1594"/>
      <c r="AI192" s="1594"/>
      <c r="AJ192" s="1594"/>
      <c r="AK192" s="1594"/>
      <c r="AL192" s="1594"/>
      <c r="AM192" s="1594"/>
      <c r="AN192" s="1595"/>
      <c r="AO192" s="1184">
        <f>IF(OR(W192=0,AF192=0),0,ROUND(AF192/W192,4))</f>
        <v>0</v>
      </c>
    </row>
    <row r="193" spans="1:41">
      <c r="A193" s="1574" t="str">
        <f>unos!A32</f>
        <v>671</v>
      </c>
      <c r="B193" s="1575"/>
      <c r="C193" s="1575"/>
      <c r="D193" s="1576"/>
      <c r="E193" s="1558" t="str">
        <f>unos!B32</f>
        <v>Dobici od prodaje investicijskih nekretnina</v>
      </c>
      <c r="F193" s="1559"/>
      <c r="G193" s="1559"/>
      <c r="H193" s="1559"/>
      <c r="I193" s="1559"/>
      <c r="J193" s="1559"/>
      <c r="K193" s="1559"/>
      <c r="L193" s="1559"/>
      <c r="M193" s="1559"/>
      <c r="N193" s="1559"/>
      <c r="O193" s="1559"/>
      <c r="P193" s="1559"/>
      <c r="Q193" s="1559"/>
      <c r="R193" s="1559"/>
      <c r="S193" s="1559"/>
      <c r="T193" s="1559"/>
      <c r="U193" s="1559"/>
      <c r="V193" s="1559"/>
      <c r="W193" s="1563">
        <f>unos!F32</f>
        <v>0</v>
      </c>
      <c r="X193" s="1594"/>
      <c r="Y193" s="1594"/>
      <c r="Z193" s="1594"/>
      <c r="AA193" s="1594"/>
      <c r="AB193" s="1594"/>
      <c r="AC193" s="1594"/>
      <c r="AD193" s="1594"/>
      <c r="AE193" s="1595"/>
      <c r="AF193" s="1563">
        <f>unos!G32</f>
        <v>0</v>
      </c>
      <c r="AG193" s="1594"/>
      <c r="AH193" s="1594"/>
      <c r="AI193" s="1594"/>
      <c r="AJ193" s="1594"/>
      <c r="AK193" s="1594"/>
      <c r="AL193" s="1594"/>
      <c r="AM193" s="1594"/>
      <c r="AN193" s="1595"/>
      <c r="AO193" s="1184">
        <f t="shared" ref="AO193:AO202" si="8">IF(OR(W193=0,AF193=0),0,ROUND(AF193/W193,4))</f>
        <v>0</v>
      </c>
    </row>
    <row r="194" spans="1:41">
      <c r="A194" s="1574" t="str">
        <f>unos!A33</f>
        <v>672</v>
      </c>
      <c r="B194" s="1575"/>
      <c r="C194" s="1575"/>
      <c r="D194" s="1576"/>
      <c r="E194" s="1558" t="str">
        <f>unos!B33</f>
        <v>Dobici od prodaje bioloških sredstava</v>
      </c>
      <c r="F194" s="1559"/>
      <c r="G194" s="1559"/>
      <c r="H194" s="1559"/>
      <c r="I194" s="1559"/>
      <c r="J194" s="1559"/>
      <c r="K194" s="1559"/>
      <c r="L194" s="1559"/>
      <c r="M194" s="1559"/>
      <c r="N194" s="1559"/>
      <c r="O194" s="1559"/>
      <c r="P194" s="1559"/>
      <c r="Q194" s="1559"/>
      <c r="R194" s="1559"/>
      <c r="S194" s="1559"/>
      <c r="T194" s="1559"/>
      <c r="U194" s="1559"/>
      <c r="V194" s="1559"/>
      <c r="W194" s="1563">
        <f>unos!F33</f>
        <v>0</v>
      </c>
      <c r="X194" s="1594"/>
      <c r="Y194" s="1594"/>
      <c r="Z194" s="1594"/>
      <c r="AA194" s="1594"/>
      <c r="AB194" s="1594"/>
      <c r="AC194" s="1594"/>
      <c r="AD194" s="1594"/>
      <c r="AE194" s="1595"/>
      <c r="AF194" s="1563">
        <f>unos!G33</f>
        <v>0</v>
      </c>
      <c r="AG194" s="1594"/>
      <c r="AH194" s="1594"/>
      <c r="AI194" s="1594"/>
      <c r="AJ194" s="1594"/>
      <c r="AK194" s="1594"/>
      <c r="AL194" s="1594"/>
      <c r="AM194" s="1594"/>
      <c r="AN194" s="1595"/>
      <c r="AO194" s="1184">
        <f t="shared" si="8"/>
        <v>0</v>
      </c>
    </row>
    <row r="195" spans="1:41">
      <c r="A195" s="1574" t="str">
        <f>unos!A34</f>
        <v>673</v>
      </c>
      <c r="B195" s="1575"/>
      <c r="C195" s="1575"/>
      <c r="D195" s="1576"/>
      <c r="E195" s="1558" t="str">
        <f>unos!B34</f>
        <v>Dobici od prodaje sredstava namijenjenih prodaji i obustavlj.poslovanja</v>
      </c>
      <c r="F195" s="1559"/>
      <c r="G195" s="1559"/>
      <c r="H195" s="1559"/>
      <c r="I195" s="1559"/>
      <c r="J195" s="1559"/>
      <c r="K195" s="1559"/>
      <c r="L195" s="1559"/>
      <c r="M195" s="1559"/>
      <c r="N195" s="1559"/>
      <c r="O195" s="1559"/>
      <c r="P195" s="1559"/>
      <c r="Q195" s="1559"/>
      <c r="R195" s="1559"/>
      <c r="S195" s="1559"/>
      <c r="T195" s="1559"/>
      <c r="U195" s="1559"/>
      <c r="V195" s="1559"/>
      <c r="W195" s="1563">
        <f>unos!F34</f>
        <v>0</v>
      </c>
      <c r="X195" s="1594"/>
      <c r="Y195" s="1594"/>
      <c r="Z195" s="1594"/>
      <c r="AA195" s="1594"/>
      <c r="AB195" s="1594"/>
      <c r="AC195" s="1594"/>
      <c r="AD195" s="1594"/>
      <c r="AE195" s="1595"/>
      <c r="AF195" s="1563">
        <f>unos!G34</f>
        <v>0</v>
      </c>
      <c r="AG195" s="1594"/>
      <c r="AH195" s="1594"/>
      <c r="AI195" s="1594"/>
      <c r="AJ195" s="1594"/>
      <c r="AK195" s="1594"/>
      <c r="AL195" s="1594"/>
      <c r="AM195" s="1594"/>
      <c r="AN195" s="1595"/>
      <c r="AO195" s="1184">
        <f t="shared" si="8"/>
        <v>0</v>
      </c>
    </row>
    <row r="196" spans="1:41">
      <c r="A196" s="1574" t="str">
        <f>unos!A35</f>
        <v>674</v>
      </c>
      <c r="B196" s="1575"/>
      <c r="C196" s="1575"/>
      <c r="D196" s="1576"/>
      <c r="E196" s="1558" t="str">
        <f>unos!B35</f>
        <v>Dobici od prodaje učešća u kapitalu i vrijednosnih papira</v>
      </c>
      <c r="F196" s="1559"/>
      <c r="G196" s="1559"/>
      <c r="H196" s="1559"/>
      <c r="I196" s="1559"/>
      <c r="J196" s="1559"/>
      <c r="K196" s="1559"/>
      <c r="L196" s="1559"/>
      <c r="M196" s="1559"/>
      <c r="N196" s="1559"/>
      <c r="O196" s="1559"/>
      <c r="P196" s="1559"/>
      <c r="Q196" s="1559"/>
      <c r="R196" s="1559"/>
      <c r="S196" s="1559"/>
      <c r="T196" s="1559"/>
      <c r="U196" s="1559"/>
      <c r="V196" s="1559"/>
      <c r="W196" s="1563">
        <f>unos!F35</f>
        <v>0</v>
      </c>
      <c r="X196" s="1594"/>
      <c r="Y196" s="1594"/>
      <c r="Z196" s="1594"/>
      <c r="AA196" s="1594"/>
      <c r="AB196" s="1594"/>
      <c r="AC196" s="1594"/>
      <c r="AD196" s="1594"/>
      <c r="AE196" s="1595"/>
      <c r="AF196" s="1563">
        <f>unos!G35</f>
        <v>0</v>
      </c>
      <c r="AG196" s="1594"/>
      <c r="AH196" s="1594"/>
      <c r="AI196" s="1594"/>
      <c r="AJ196" s="1594"/>
      <c r="AK196" s="1594"/>
      <c r="AL196" s="1594"/>
      <c r="AM196" s="1594"/>
      <c r="AN196" s="1595"/>
      <c r="AO196" s="1184">
        <f t="shared" si="8"/>
        <v>0</v>
      </c>
    </row>
    <row r="197" spans="1:41">
      <c r="A197" s="1574" t="str">
        <f>unos!A36</f>
        <v>675</v>
      </c>
      <c r="B197" s="1575"/>
      <c r="C197" s="1575"/>
      <c r="D197" s="1576"/>
      <c r="E197" s="1558" t="str">
        <f>unos!B36</f>
        <v>Dobici od prodaje materijala</v>
      </c>
      <c r="F197" s="1559"/>
      <c r="G197" s="1559"/>
      <c r="H197" s="1559"/>
      <c r="I197" s="1559"/>
      <c r="J197" s="1559"/>
      <c r="K197" s="1559"/>
      <c r="L197" s="1559"/>
      <c r="M197" s="1559"/>
      <c r="N197" s="1559"/>
      <c r="O197" s="1559"/>
      <c r="P197" s="1559"/>
      <c r="Q197" s="1559"/>
      <c r="R197" s="1559"/>
      <c r="S197" s="1559"/>
      <c r="T197" s="1559"/>
      <c r="U197" s="1559"/>
      <c r="V197" s="1559"/>
      <c r="W197" s="1563">
        <f>unos!F36</f>
        <v>0</v>
      </c>
      <c r="X197" s="1594"/>
      <c r="Y197" s="1594"/>
      <c r="Z197" s="1594"/>
      <c r="AA197" s="1594"/>
      <c r="AB197" s="1594"/>
      <c r="AC197" s="1594"/>
      <c r="AD197" s="1594"/>
      <c r="AE197" s="1595"/>
      <c r="AF197" s="1563">
        <f>unos!G36</f>
        <v>0</v>
      </c>
      <c r="AG197" s="1594"/>
      <c r="AH197" s="1594"/>
      <c r="AI197" s="1594"/>
      <c r="AJ197" s="1594"/>
      <c r="AK197" s="1594"/>
      <c r="AL197" s="1594"/>
      <c r="AM197" s="1594"/>
      <c r="AN197" s="1595"/>
      <c r="AO197" s="1184">
        <f t="shared" si="8"/>
        <v>0</v>
      </c>
    </row>
    <row r="198" spans="1:41">
      <c r="A198" s="1574" t="str">
        <f>unos!A37</f>
        <v>676</v>
      </c>
      <c r="B198" s="1575"/>
      <c r="C198" s="1575"/>
      <c r="D198" s="1576"/>
      <c r="E198" s="1558" t="str">
        <f>unos!B37</f>
        <v>Viškovi</v>
      </c>
      <c r="F198" s="1559"/>
      <c r="G198" s="1559"/>
      <c r="H198" s="1559"/>
      <c r="I198" s="1559"/>
      <c r="J198" s="1559"/>
      <c r="K198" s="1559"/>
      <c r="L198" s="1559"/>
      <c r="M198" s="1559"/>
      <c r="N198" s="1559"/>
      <c r="O198" s="1559"/>
      <c r="P198" s="1559"/>
      <c r="Q198" s="1559"/>
      <c r="R198" s="1559"/>
      <c r="S198" s="1559"/>
      <c r="T198" s="1559"/>
      <c r="U198" s="1559"/>
      <c r="V198" s="1559"/>
      <c r="W198" s="1563">
        <f>unos!F37</f>
        <v>0</v>
      </c>
      <c r="X198" s="1594"/>
      <c r="Y198" s="1594"/>
      <c r="Z198" s="1594"/>
      <c r="AA198" s="1594"/>
      <c r="AB198" s="1594"/>
      <c r="AC198" s="1594"/>
      <c r="AD198" s="1594"/>
      <c r="AE198" s="1595"/>
      <c r="AF198" s="1563">
        <f>unos!G37</f>
        <v>0</v>
      </c>
      <c r="AG198" s="1594"/>
      <c r="AH198" s="1594"/>
      <c r="AI198" s="1594"/>
      <c r="AJ198" s="1594"/>
      <c r="AK198" s="1594"/>
      <c r="AL198" s="1594"/>
      <c r="AM198" s="1594"/>
      <c r="AN198" s="1595"/>
      <c r="AO198" s="1184">
        <f t="shared" si="8"/>
        <v>0</v>
      </c>
    </row>
    <row r="199" spans="1:41">
      <c r="A199" s="1574" t="str">
        <f>unos!A38</f>
        <v>677</v>
      </c>
      <c r="B199" s="1575"/>
      <c r="C199" s="1575"/>
      <c r="D199" s="1576"/>
      <c r="E199" s="1558" t="str">
        <f>unos!B38</f>
        <v>Naplaćena otpisana potraživanja</v>
      </c>
      <c r="F199" s="1559"/>
      <c r="G199" s="1559"/>
      <c r="H199" s="1559"/>
      <c r="I199" s="1559"/>
      <c r="J199" s="1559"/>
      <c r="K199" s="1559"/>
      <c r="L199" s="1559"/>
      <c r="M199" s="1559"/>
      <c r="N199" s="1559"/>
      <c r="O199" s="1559"/>
      <c r="P199" s="1559"/>
      <c r="Q199" s="1559"/>
      <c r="R199" s="1559"/>
      <c r="S199" s="1559"/>
      <c r="T199" s="1559"/>
      <c r="U199" s="1559"/>
      <c r="V199" s="1559"/>
      <c r="W199" s="1563">
        <f>unos!F38</f>
        <v>0</v>
      </c>
      <c r="X199" s="1594"/>
      <c r="Y199" s="1594"/>
      <c r="Z199" s="1594"/>
      <c r="AA199" s="1594"/>
      <c r="AB199" s="1594"/>
      <c r="AC199" s="1594"/>
      <c r="AD199" s="1594"/>
      <c r="AE199" s="1595"/>
      <c r="AF199" s="1563">
        <f>unos!G38</f>
        <v>0</v>
      </c>
      <c r="AG199" s="1594"/>
      <c r="AH199" s="1594"/>
      <c r="AI199" s="1594"/>
      <c r="AJ199" s="1594"/>
      <c r="AK199" s="1594"/>
      <c r="AL199" s="1594"/>
      <c r="AM199" s="1594"/>
      <c r="AN199" s="1595"/>
      <c r="AO199" s="1184">
        <f t="shared" si="8"/>
        <v>0</v>
      </c>
    </row>
    <row r="200" spans="1:41">
      <c r="A200" s="1574" t="str">
        <f>unos!A39</f>
        <v>678</v>
      </c>
      <c r="B200" s="1575"/>
      <c r="C200" s="1575"/>
      <c r="D200" s="1576"/>
      <c r="E200" s="1558" t="str">
        <f>unos!B39</f>
        <v>Prihodi po osnovu ugovorene zaštite od rizika</v>
      </c>
      <c r="F200" s="1559"/>
      <c r="G200" s="1559"/>
      <c r="H200" s="1559"/>
      <c r="I200" s="1559"/>
      <c r="J200" s="1559"/>
      <c r="K200" s="1559"/>
      <c r="L200" s="1559"/>
      <c r="M200" s="1559"/>
      <c r="N200" s="1559"/>
      <c r="O200" s="1559"/>
      <c r="P200" s="1559"/>
      <c r="Q200" s="1559"/>
      <c r="R200" s="1559"/>
      <c r="S200" s="1559"/>
      <c r="T200" s="1559"/>
      <c r="U200" s="1559"/>
      <c r="V200" s="1559"/>
      <c r="W200" s="1563">
        <f>unos!F39</f>
        <v>0</v>
      </c>
      <c r="X200" s="1594"/>
      <c r="Y200" s="1594"/>
      <c r="Z200" s="1594"/>
      <c r="AA200" s="1594"/>
      <c r="AB200" s="1594"/>
      <c r="AC200" s="1594"/>
      <c r="AD200" s="1594"/>
      <c r="AE200" s="1595"/>
      <c r="AF200" s="1563">
        <f>unos!G39</f>
        <v>0</v>
      </c>
      <c r="AG200" s="1594"/>
      <c r="AH200" s="1594"/>
      <c r="AI200" s="1594"/>
      <c r="AJ200" s="1594"/>
      <c r="AK200" s="1594"/>
      <c r="AL200" s="1594"/>
      <c r="AM200" s="1594"/>
      <c r="AN200" s="1595"/>
      <c r="AO200" s="1184">
        <f t="shared" si="8"/>
        <v>0</v>
      </c>
    </row>
    <row r="201" spans="1:41">
      <c r="A201" s="1574" t="str">
        <f>unos!A40</f>
        <v>679</v>
      </c>
      <c r="B201" s="1575"/>
      <c r="C201" s="1575"/>
      <c r="D201" s="1576"/>
      <c r="E201" s="1558" t="str">
        <f>unos!B40</f>
        <v>Otpis obaveza, ukinuta rezervisanja i ostali prihodi</v>
      </c>
      <c r="F201" s="1559"/>
      <c r="G201" s="1559"/>
      <c r="H201" s="1559"/>
      <c r="I201" s="1559"/>
      <c r="J201" s="1559"/>
      <c r="K201" s="1559"/>
      <c r="L201" s="1559"/>
      <c r="M201" s="1559"/>
      <c r="N201" s="1559"/>
      <c r="O201" s="1559"/>
      <c r="P201" s="1559"/>
      <c r="Q201" s="1559"/>
      <c r="R201" s="1559"/>
      <c r="S201" s="1559"/>
      <c r="T201" s="1559"/>
      <c r="U201" s="1559"/>
      <c r="V201" s="1559"/>
      <c r="W201" s="1563">
        <f>unos!F40</f>
        <v>0</v>
      </c>
      <c r="X201" s="1594"/>
      <c r="Y201" s="1594"/>
      <c r="Z201" s="1594"/>
      <c r="AA201" s="1594"/>
      <c r="AB201" s="1594"/>
      <c r="AC201" s="1594"/>
      <c r="AD201" s="1594"/>
      <c r="AE201" s="1595"/>
      <c r="AF201" s="1563">
        <f>unos!G40</f>
        <v>0</v>
      </c>
      <c r="AG201" s="1594"/>
      <c r="AH201" s="1594"/>
      <c r="AI201" s="1594"/>
      <c r="AJ201" s="1594"/>
      <c r="AK201" s="1594"/>
      <c r="AL201" s="1594"/>
      <c r="AM201" s="1594"/>
      <c r="AN201" s="1595"/>
      <c r="AO201" s="1184">
        <f t="shared" si="8"/>
        <v>0</v>
      </c>
    </row>
    <row r="202" spans="1:41">
      <c r="A202" s="1577"/>
      <c r="B202" s="1577"/>
      <c r="C202" s="1577"/>
      <c r="D202" s="1577"/>
      <c r="E202" s="1167"/>
      <c r="F202" s="1168"/>
      <c r="G202" s="1168"/>
      <c r="H202" s="1168"/>
      <c r="I202" s="1168"/>
      <c r="J202" s="1168"/>
      <c r="K202" s="1168"/>
      <c r="L202" s="1168"/>
      <c r="M202" s="1168"/>
      <c r="N202" s="1168"/>
      <c r="O202" s="1168"/>
      <c r="P202" s="1168"/>
      <c r="Q202" s="1168"/>
      <c r="R202" s="1168"/>
      <c r="S202" s="1167"/>
      <c r="T202" s="1167"/>
      <c r="U202" s="1167"/>
      <c r="V202" s="1169" t="s">
        <v>1997</v>
      </c>
      <c r="W202" s="1617">
        <f>SUM(W192:W201)</f>
        <v>0</v>
      </c>
      <c r="X202" s="1618"/>
      <c r="Y202" s="1618"/>
      <c r="Z202" s="1618"/>
      <c r="AA202" s="1618"/>
      <c r="AB202" s="1618"/>
      <c r="AC202" s="1618"/>
      <c r="AD202" s="1618"/>
      <c r="AE202" s="1619"/>
      <c r="AF202" s="1617">
        <f>SUM(AF192:AF201)</f>
        <v>0</v>
      </c>
      <c r="AG202" s="1618"/>
      <c r="AH202" s="1618"/>
      <c r="AI202" s="1618"/>
      <c r="AJ202" s="1618"/>
      <c r="AK202" s="1618"/>
      <c r="AL202" s="1618"/>
      <c r="AM202" s="1618"/>
      <c r="AN202" s="1619"/>
      <c r="AO202" s="1185">
        <f t="shared" si="8"/>
        <v>0</v>
      </c>
    </row>
    <row r="205" spans="1:41">
      <c r="A205" s="828" t="s">
        <v>1933</v>
      </c>
      <c r="B205" s="828" t="s">
        <v>1939</v>
      </c>
    </row>
    <row r="207" spans="1:41" ht="14.25" customHeight="1">
      <c r="W207" s="1170" t="s">
        <v>1995</v>
      </c>
      <c r="X207" s="1171"/>
      <c r="Y207" s="1171"/>
      <c r="Z207" s="1171"/>
      <c r="AA207" s="1171"/>
      <c r="AB207" s="1171"/>
      <c r="AC207" s="1171"/>
      <c r="AD207" s="1171"/>
      <c r="AE207" s="1171"/>
      <c r="AF207" s="1171"/>
      <c r="AG207" s="1171"/>
      <c r="AH207" s="1171"/>
      <c r="AI207" s="1171"/>
      <c r="AJ207" s="1171"/>
      <c r="AK207" s="1171"/>
      <c r="AL207" s="1171"/>
      <c r="AM207" s="1171"/>
      <c r="AN207" s="1172"/>
    </row>
    <row r="208" spans="1:41">
      <c r="A208" s="1582" t="s">
        <v>1996</v>
      </c>
      <c r="B208" s="1583"/>
      <c r="C208" s="1583"/>
      <c r="D208" s="1584"/>
      <c r="E208" s="1567" t="s">
        <v>796</v>
      </c>
      <c r="F208" s="1567"/>
      <c r="G208" s="1567"/>
      <c r="H208" s="1567"/>
      <c r="I208" s="1567"/>
      <c r="J208" s="1567"/>
      <c r="K208" s="1567"/>
      <c r="L208" s="1567"/>
      <c r="M208" s="1567"/>
      <c r="N208" s="1567"/>
      <c r="O208" s="1567"/>
      <c r="P208" s="1567"/>
      <c r="Q208" s="1567"/>
      <c r="R208" s="1567"/>
      <c r="S208" s="1567"/>
      <c r="T208" s="1567"/>
      <c r="U208" s="1567"/>
      <c r="V208" s="1567"/>
      <c r="W208" s="1568" t="s">
        <v>1039</v>
      </c>
      <c r="X208" s="1569"/>
      <c r="Y208" s="1569"/>
      <c r="Z208" s="1569"/>
      <c r="AA208" s="1569"/>
      <c r="AB208" s="1569"/>
      <c r="AC208" s="1569"/>
      <c r="AD208" s="1569"/>
      <c r="AE208" s="1570"/>
      <c r="AF208" s="1571" t="s">
        <v>278</v>
      </c>
      <c r="AG208" s="1572"/>
      <c r="AH208" s="1572"/>
      <c r="AI208" s="1572"/>
      <c r="AJ208" s="1572"/>
      <c r="AK208" s="1572"/>
      <c r="AL208" s="1572"/>
      <c r="AM208" s="1572"/>
      <c r="AN208" s="1573"/>
      <c r="AO208" s="1187" t="s">
        <v>2766</v>
      </c>
    </row>
    <row r="209" spans="1:41">
      <c r="A209" s="1574" t="str">
        <f>unos!A103</f>
        <v>570</v>
      </c>
      <c r="B209" s="1575"/>
      <c r="C209" s="1575"/>
      <c r="D209" s="1576"/>
      <c r="E209" s="1558" t="str">
        <f>unos!B103</f>
        <v>Gubici od prodaje i rashodovanja stalnih sredstava</v>
      </c>
      <c r="F209" s="1559"/>
      <c r="G209" s="1559"/>
      <c r="H209" s="1559"/>
      <c r="I209" s="1559"/>
      <c r="J209" s="1559"/>
      <c r="K209" s="1559"/>
      <c r="L209" s="1559"/>
      <c r="M209" s="1559"/>
      <c r="N209" s="1559"/>
      <c r="O209" s="1559"/>
      <c r="P209" s="1559"/>
      <c r="Q209" s="1559"/>
      <c r="R209" s="1559"/>
      <c r="S209" s="1559"/>
      <c r="T209" s="1559"/>
      <c r="U209" s="1559"/>
      <c r="V209" s="1559"/>
      <c r="W209" s="1563">
        <f>unos!F103</f>
        <v>0</v>
      </c>
      <c r="X209" s="1594"/>
      <c r="Y209" s="1594"/>
      <c r="Z209" s="1594"/>
      <c r="AA209" s="1594"/>
      <c r="AB209" s="1594"/>
      <c r="AC209" s="1594"/>
      <c r="AD209" s="1594"/>
      <c r="AE209" s="1595"/>
      <c r="AF209" s="1563">
        <f>unos!G103</f>
        <v>0</v>
      </c>
      <c r="AG209" s="1594"/>
      <c r="AH209" s="1594"/>
      <c r="AI209" s="1594"/>
      <c r="AJ209" s="1594"/>
      <c r="AK209" s="1594"/>
      <c r="AL209" s="1594"/>
      <c r="AM209" s="1594"/>
      <c r="AN209" s="1595"/>
      <c r="AO209" s="1184">
        <f>IF(OR(W209=0,AF209=0),0,ROUND(AF209/W209,4))</f>
        <v>0</v>
      </c>
    </row>
    <row r="210" spans="1:41">
      <c r="A210" s="1574" t="str">
        <f>unos!A104</f>
        <v>571</v>
      </c>
      <c r="B210" s="1575"/>
      <c r="C210" s="1575"/>
      <c r="D210" s="1576"/>
      <c r="E210" s="1558" t="str">
        <f>unos!B104</f>
        <v>Gubici od prodaje i rashodovanja investicijskih nekretnina</v>
      </c>
      <c r="F210" s="1559"/>
      <c r="G210" s="1559"/>
      <c r="H210" s="1559"/>
      <c r="I210" s="1559"/>
      <c r="J210" s="1559"/>
      <c r="K210" s="1559"/>
      <c r="L210" s="1559"/>
      <c r="M210" s="1559"/>
      <c r="N210" s="1559"/>
      <c r="O210" s="1559"/>
      <c r="P210" s="1559"/>
      <c r="Q210" s="1559"/>
      <c r="R210" s="1559"/>
      <c r="S210" s="1559"/>
      <c r="T210" s="1559"/>
      <c r="U210" s="1559"/>
      <c r="V210" s="1559"/>
      <c r="W210" s="1563">
        <f>unos!F104</f>
        <v>0</v>
      </c>
      <c r="X210" s="1594"/>
      <c r="Y210" s="1594"/>
      <c r="Z210" s="1594"/>
      <c r="AA210" s="1594"/>
      <c r="AB210" s="1594"/>
      <c r="AC210" s="1594"/>
      <c r="AD210" s="1594"/>
      <c r="AE210" s="1595"/>
      <c r="AF210" s="1563">
        <f>unos!G104</f>
        <v>0</v>
      </c>
      <c r="AG210" s="1594"/>
      <c r="AH210" s="1594"/>
      <c r="AI210" s="1594"/>
      <c r="AJ210" s="1594"/>
      <c r="AK210" s="1594"/>
      <c r="AL210" s="1594"/>
      <c r="AM210" s="1594"/>
      <c r="AN210" s="1595"/>
      <c r="AO210" s="1184">
        <f t="shared" ref="AO210:AO219" si="9">IF(OR(W210=0,AF210=0),0,ROUND(AF210/W210,4))</f>
        <v>0</v>
      </c>
    </row>
    <row r="211" spans="1:41">
      <c r="A211" s="1574" t="str">
        <f>unos!A105</f>
        <v>572</v>
      </c>
      <c r="B211" s="1575"/>
      <c r="C211" s="1575"/>
      <c r="D211" s="1576"/>
      <c r="E211" s="1558" t="str">
        <f>unos!B105</f>
        <v>Gubici od prodaje i rashodovanja bioloških sredstava</v>
      </c>
      <c r="F211" s="1559"/>
      <c r="G211" s="1559"/>
      <c r="H211" s="1559"/>
      <c r="I211" s="1559"/>
      <c r="J211" s="1559"/>
      <c r="K211" s="1559"/>
      <c r="L211" s="1559"/>
      <c r="M211" s="1559"/>
      <c r="N211" s="1559"/>
      <c r="O211" s="1559"/>
      <c r="P211" s="1559"/>
      <c r="Q211" s="1559"/>
      <c r="R211" s="1559"/>
      <c r="S211" s="1559"/>
      <c r="T211" s="1559"/>
      <c r="U211" s="1559"/>
      <c r="V211" s="1559"/>
      <c r="W211" s="1563">
        <f>unos!F105</f>
        <v>0</v>
      </c>
      <c r="X211" s="1594"/>
      <c r="Y211" s="1594"/>
      <c r="Z211" s="1594"/>
      <c r="AA211" s="1594"/>
      <c r="AB211" s="1594"/>
      <c r="AC211" s="1594"/>
      <c r="AD211" s="1594"/>
      <c r="AE211" s="1595"/>
      <c r="AF211" s="1563">
        <f>unos!G105</f>
        <v>0</v>
      </c>
      <c r="AG211" s="1594"/>
      <c r="AH211" s="1594"/>
      <c r="AI211" s="1594"/>
      <c r="AJ211" s="1594"/>
      <c r="AK211" s="1594"/>
      <c r="AL211" s="1594"/>
      <c r="AM211" s="1594"/>
      <c r="AN211" s="1595"/>
      <c r="AO211" s="1184">
        <f t="shared" si="9"/>
        <v>0</v>
      </c>
    </row>
    <row r="212" spans="1:41">
      <c r="A212" s="1574" t="str">
        <f>unos!A106</f>
        <v>573</v>
      </c>
      <c r="B212" s="1575"/>
      <c r="C212" s="1575"/>
      <c r="D212" s="1576"/>
      <c r="E212" s="1558" t="str">
        <f>unos!B106</f>
        <v>Gubici od prodaje sredstava namijenjenih prodaji</v>
      </c>
      <c r="F212" s="1559"/>
      <c r="G212" s="1559"/>
      <c r="H212" s="1559"/>
      <c r="I212" s="1559"/>
      <c r="J212" s="1559"/>
      <c r="K212" s="1559"/>
      <c r="L212" s="1559"/>
      <c r="M212" s="1559"/>
      <c r="N212" s="1559"/>
      <c r="O212" s="1559"/>
      <c r="P212" s="1559"/>
      <c r="Q212" s="1559"/>
      <c r="R212" s="1559"/>
      <c r="S212" s="1559"/>
      <c r="T212" s="1559"/>
      <c r="U212" s="1559"/>
      <c r="V212" s="1559"/>
      <c r="W212" s="1563">
        <f>unos!F106</f>
        <v>0</v>
      </c>
      <c r="X212" s="1594"/>
      <c r="Y212" s="1594"/>
      <c r="Z212" s="1594"/>
      <c r="AA212" s="1594"/>
      <c r="AB212" s="1594"/>
      <c r="AC212" s="1594"/>
      <c r="AD212" s="1594"/>
      <c r="AE212" s="1595"/>
      <c r="AF212" s="1563">
        <f>unos!G106</f>
        <v>0</v>
      </c>
      <c r="AG212" s="1594"/>
      <c r="AH212" s="1594"/>
      <c r="AI212" s="1594"/>
      <c r="AJ212" s="1594"/>
      <c r="AK212" s="1594"/>
      <c r="AL212" s="1594"/>
      <c r="AM212" s="1594"/>
      <c r="AN212" s="1595"/>
      <c r="AO212" s="1184">
        <f t="shared" si="9"/>
        <v>0</v>
      </c>
    </row>
    <row r="213" spans="1:41">
      <c r="A213" s="1574" t="str">
        <f>unos!A107</f>
        <v>574</v>
      </c>
      <c r="B213" s="1575"/>
      <c r="C213" s="1575"/>
      <c r="D213" s="1576"/>
      <c r="E213" s="1558" t="str">
        <f>unos!B107</f>
        <v>Gubici od prodaje učešća u kapitalu i vrijednsonih papira</v>
      </c>
      <c r="F213" s="1559"/>
      <c r="G213" s="1559"/>
      <c r="H213" s="1559"/>
      <c r="I213" s="1559"/>
      <c r="J213" s="1559"/>
      <c r="K213" s="1559"/>
      <c r="L213" s="1559"/>
      <c r="M213" s="1559"/>
      <c r="N213" s="1559"/>
      <c r="O213" s="1559"/>
      <c r="P213" s="1559"/>
      <c r="Q213" s="1559"/>
      <c r="R213" s="1559"/>
      <c r="S213" s="1559"/>
      <c r="T213" s="1559"/>
      <c r="U213" s="1559"/>
      <c r="V213" s="1559"/>
      <c r="W213" s="1563">
        <f>unos!F107</f>
        <v>0</v>
      </c>
      <c r="X213" s="1594"/>
      <c r="Y213" s="1594"/>
      <c r="Z213" s="1594"/>
      <c r="AA213" s="1594"/>
      <c r="AB213" s="1594"/>
      <c r="AC213" s="1594"/>
      <c r="AD213" s="1594"/>
      <c r="AE213" s="1595"/>
      <c r="AF213" s="1563">
        <f>unos!G107</f>
        <v>0</v>
      </c>
      <c r="AG213" s="1594"/>
      <c r="AH213" s="1594"/>
      <c r="AI213" s="1594"/>
      <c r="AJ213" s="1594"/>
      <c r="AK213" s="1594"/>
      <c r="AL213" s="1594"/>
      <c r="AM213" s="1594"/>
      <c r="AN213" s="1595"/>
      <c r="AO213" s="1184">
        <f t="shared" si="9"/>
        <v>0</v>
      </c>
    </row>
    <row r="214" spans="1:41">
      <c r="A214" s="1574" t="str">
        <f>unos!A108</f>
        <v>575</v>
      </c>
      <c r="B214" s="1575"/>
      <c r="C214" s="1575"/>
      <c r="D214" s="1576"/>
      <c r="E214" s="1558" t="str">
        <f>unos!B108</f>
        <v>Gubici od prodaje materijala</v>
      </c>
      <c r="F214" s="1559"/>
      <c r="G214" s="1559"/>
      <c r="H214" s="1559"/>
      <c r="I214" s="1559"/>
      <c r="J214" s="1559"/>
      <c r="K214" s="1559"/>
      <c r="L214" s="1559"/>
      <c r="M214" s="1559"/>
      <c r="N214" s="1559"/>
      <c r="O214" s="1559"/>
      <c r="P214" s="1559"/>
      <c r="Q214" s="1559"/>
      <c r="R214" s="1559"/>
      <c r="S214" s="1559"/>
      <c r="T214" s="1559"/>
      <c r="U214" s="1559"/>
      <c r="V214" s="1559"/>
      <c r="W214" s="1563">
        <f>unos!F108</f>
        <v>0</v>
      </c>
      <c r="X214" s="1594"/>
      <c r="Y214" s="1594"/>
      <c r="Z214" s="1594"/>
      <c r="AA214" s="1594"/>
      <c r="AB214" s="1594"/>
      <c r="AC214" s="1594"/>
      <c r="AD214" s="1594"/>
      <c r="AE214" s="1595"/>
      <c r="AF214" s="1563">
        <f>unos!G108</f>
        <v>0</v>
      </c>
      <c r="AG214" s="1594"/>
      <c r="AH214" s="1594"/>
      <c r="AI214" s="1594"/>
      <c r="AJ214" s="1594"/>
      <c r="AK214" s="1594"/>
      <c r="AL214" s="1594"/>
      <c r="AM214" s="1594"/>
      <c r="AN214" s="1595"/>
      <c r="AO214" s="1184">
        <f t="shared" si="9"/>
        <v>0</v>
      </c>
    </row>
    <row r="215" spans="1:41">
      <c r="A215" s="1574" t="str">
        <f>unos!A109</f>
        <v>576</v>
      </c>
      <c r="B215" s="1575"/>
      <c r="C215" s="1575"/>
      <c r="D215" s="1576"/>
      <c r="E215" s="1558" t="str">
        <f>unos!B109</f>
        <v>Manjkovi</v>
      </c>
      <c r="F215" s="1559"/>
      <c r="G215" s="1559"/>
      <c r="H215" s="1559"/>
      <c r="I215" s="1559"/>
      <c r="J215" s="1559"/>
      <c r="K215" s="1559"/>
      <c r="L215" s="1559"/>
      <c r="M215" s="1559"/>
      <c r="N215" s="1559"/>
      <c r="O215" s="1559"/>
      <c r="P215" s="1559"/>
      <c r="Q215" s="1559"/>
      <c r="R215" s="1559"/>
      <c r="S215" s="1559"/>
      <c r="T215" s="1559"/>
      <c r="U215" s="1559"/>
      <c r="V215" s="1559"/>
      <c r="W215" s="1563">
        <f>unos!F109</f>
        <v>0</v>
      </c>
      <c r="X215" s="1594"/>
      <c r="Y215" s="1594"/>
      <c r="Z215" s="1594"/>
      <c r="AA215" s="1594"/>
      <c r="AB215" s="1594"/>
      <c r="AC215" s="1594"/>
      <c r="AD215" s="1594"/>
      <c r="AE215" s="1595"/>
      <c r="AF215" s="1563">
        <f>unos!G109</f>
        <v>0</v>
      </c>
      <c r="AG215" s="1594"/>
      <c r="AH215" s="1594"/>
      <c r="AI215" s="1594"/>
      <c r="AJ215" s="1594"/>
      <c r="AK215" s="1594"/>
      <c r="AL215" s="1594"/>
      <c r="AM215" s="1594"/>
      <c r="AN215" s="1595"/>
      <c r="AO215" s="1184">
        <f t="shared" si="9"/>
        <v>0</v>
      </c>
    </row>
    <row r="216" spans="1:41">
      <c r="A216" s="1574" t="str">
        <f>unos!A110</f>
        <v>577</v>
      </c>
      <c r="B216" s="1575"/>
      <c r="C216" s="1575"/>
      <c r="D216" s="1576"/>
      <c r="E216" s="1558" t="str">
        <f>unos!B110</f>
        <v>Rash.iz osn.zašt.od rizika koji ne ispunj.usl.da budu iskaz.u okv.reval.rezervi</v>
      </c>
      <c r="F216" s="1559"/>
      <c r="G216" s="1559"/>
      <c r="H216" s="1559"/>
      <c r="I216" s="1559"/>
      <c r="J216" s="1559"/>
      <c r="K216" s="1559"/>
      <c r="L216" s="1559"/>
      <c r="M216" s="1559"/>
      <c r="N216" s="1559"/>
      <c r="O216" s="1559"/>
      <c r="P216" s="1559"/>
      <c r="Q216" s="1559"/>
      <c r="R216" s="1559"/>
      <c r="S216" s="1559"/>
      <c r="T216" s="1559"/>
      <c r="U216" s="1559"/>
      <c r="V216" s="1559"/>
      <c r="W216" s="1563">
        <f>unos!F110</f>
        <v>0</v>
      </c>
      <c r="X216" s="1594"/>
      <c r="Y216" s="1594"/>
      <c r="Z216" s="1594"/>
      <c r="AA216" s="1594"/>
      <c r="AB216" s="1594"/>
      <c r="AC216" s="1594"/>
      <c r="AD216" s="1594"/>
      <c r="AE216" s="1595"/>
      <c r="AF216" s="1563">
        <f>unos!G110</f>
        <v>0</v>
      </c>
      <c r="AG216" s="1594"/>
      <c r="AH216" s="1594"/>
      <c r="AI216" s="1594"/>
      <c r="AJ216" s="1594"/>
      <c r="AK216" s="1594"/>
      <c r="AL216" s="1594"/>
      <c r="AM216" s="1594"/>
      <c r="AN216" s="1595"/>
      <c r="AO216" s="1184">
        <f t="shared" si="9"/>
        <v>0</v>
      </c>
    </row>
    <row r="217" spans="1:41">
      <c r="A217" s="1574" t="str">
        <f>unos!A111</f>
        <v>578</v>
      </c>
      <c r="B217" s="1575"/>
      <c r="C217" s="1575"/>
      <c r="D217" s="1576"/>
      <c r="E217" s="1558" t="str">
        <f>unos!B111</f>
        <v>Rashodi po osnovu isporavke vrijednosti i otpisa potraživanja</v>
      </c>
      <c r="F217" s="1559"/>
      <c r="G217" s="1559"/>
      <c r="H217" s="1559"/>
      <c r="I217" s="1559"/>
      <c r="J217" s="1559"/>
      <c r="K217" s="1559"/>
      <c r="L217" s="1559"/>
      <c r="M217" s="1559"/>
      <c r="N217" s="1559"/>
      <c r="O217" s="1559"/>
      <c r="P217" s="1559"/>
      <c r="Q217" s="1559"/>
      <c r="R217" s="1559"/>
      <c r="S217" s="1559"/>
      <c r="T217" s="1559"/>
      <c r="U217" s="1559"/>
      <c r="V217" s="1559"/>
      <c r="W217" s="1563">
        <f>unos!F111</f>
        <v>0</v>
      </c>
      <c r="X217" s="1594"/>
      <c r="Y217" s="1594"/>
      <c r="Z217" s="1594"/>
      <c r="AA217" s="1594"/>
      <c r="AB217" s="1594"/>
      <c r="AC217" s="1594"/>
      <c r="AD217" s="1594"/>
      <c r="AE217" s="1595"/>
      <c r="AF217" s="1563">
        <f>unos!G111</f>
        <v>0</v>
      </c>
      <c r="AG217" s="1594"/>
      <c r="AH217" s="1594"/>
      <c r="AI217" s="1594"/>
      <c r="AJ217" s="1594"/>
      <c r="AK217" s="1594"/>
      <c r="AL217" s="1594"/>
      <c r="AM217" s="1594"/>
      <c r="AN217" s="1595"/>
      <c r="AO217" s="1184">
        <f t="shared" si="9"/>
        <v>0</v>
      </c>
    </row>
    <row r="218" spans="1:41">
      <c r="A218" s="1574" t="str">
        <f>unos!A112</f>
        <v>579</v>
      </c>
      <c r="B218" s="1575"/>
      <c r="C218" s="1575"/>
      <c r="D218" s="1576"/>
      <c r="E218" s="1558" t="str">
        <f>unos!B112</f>
        <v>Rashodovanja i gubici na zalihama materijala i robe i ostali rashodi</v>
      </c>
      <c r="F218" s="1559"/>
      <c r="G218" s="1559"/>
      <c r="H218" s="1559"/>
      <c r="I218" s="1559"/>
      <c r="J218" s="1559"/>
      <c r="K218" s="1559"/>
      <c r="L218" s="1559"/>
      <c r="M218" s="1559"/>
      <c r="N218" s="1559"/>
      <c r="O218" s="1559"/>
      <c r="P218" s="1559"/>
      <c r="Q218" s="1559"/>
      <c r="R218" s="1559"/>
      <c r="S218" s="1559"/>
      <c r="T218" s="1559"/>
      <c r="U218" s="1559"/>
      <c r="V218" s="1559"/>
      <c r="W218" s="1563">
        <f>unos!F112</f>
        <v>0</v>
      </c>
      <c r="X218" s="1594"/>
      <c r="Y218" s="1594"/>
      <c r="Z218" s="1594"/>
      <c r="AA218" s="1594"/>
      <c r="AB218" s="1594"/>
      <c r="AC218" s="1594"/>
      <c r="AD218" s="1594"/>
      <c r="AE218" s="1595"/>
      <c r="AF218" s="1563">
        <f>unos!G112</f>
        <v>0</v>
      </c>
      <c r="AG218" s="1594"/>
      <c r="AH218" s="1594"/>
      <c r="AI218" s="1594"/>
      <c r="AJ218" s="1594"/>
      <c r="AK218" s="1594"/>
      <c r="AL218" s="1594"/>
      <c r="AM218" s="1594"/>
      <c r="AN218" s="1595"/>
      <c r="AO218" s="1184">
        <f t="shared" si="9"/>
        <v>0</v>
      </c>
    </row>
    <row r="219" spans="1:41">
      <c r="A219" s="1577"/>
      <c r="B219" s="1577"/>
      <c r="C219" s="1577"/>
      <c r="D219" s="1577"/>
      <c r="E219" s="1167"/>
      <c r="F219" s="1168"/>
      <c r="G219" s="1168"/>
      <c r="H219" s="1168"/>
      <c r="I219" s="1168"/>
      <c r="J219" s="1168"/>
      <c r="K219" s="1168"/>
      <c r="L219" s="1168"/>
      <c r="M219" s="1168"/>
      <c r="N219" s="1168"/>
      <c r="O219" s="1168"/>
      <c r="P219" s="1168"/>
      <c r="Q219" s="1168"/>
      <c r="R219" s="1168"/>
      <c r="S219" s="1167"/>
      <c r="T219" s="1167"/>
      <c r="U219" s="1167"/>
      <c r="V219" s="1169" t="s">
        <v>1997</v>
      </c>
      <c r="W219" s="1617">
        <f>SUM(W209:W218)</f>
        <v>0</v>
      </c>
      <c r="X219" s="1618"/>
      <c r="Y219" s="1618"/>
      <c r="Z219" s="1618"/>
      <c r="AA219" s="1618"/>
      <c r="AB219" s="1618"/>
      <c r="AC219" s="1618"/>
      <c r="AD219" s="1618"/>
      <c r="AE219" s="1619"/>
      <c r="AF219" s="1617">
        <f>SUM(AF209:AF218)</f>
        <v>0</v>
      </c>
      <c r="AG219" s="1618"/>
      <c r="AH219" s="1618"/>
      <c r="AI219" s="1618"/>
      <c r="AJ219" s="1618"/>
      <c r="AK219" s="1618"/>
      <c r="AL219" s="1618"/>
      <c r="AM219" s="1618"/>
      <c r="AN219" s="1619"/>
      <c r="AO219" s="1185">
        <f t="shared" si="9"/>
        <v>0</v>
      </c>
    </row>
    <row r="224" spans="1:41">
      <c r="A224" s="828" t="s">
        <v>1933</v>
      </c>
      <c r="B224" s="828" t="s">
        <v>2796</v>
      </c>
    </row>
    <row r="226" spans="1:41" ht="14.25" customHeight="1">
      <c r="W226" s="1170" t="s">
        <v>1995</v>
      </c>
      <c r="X226" s="1171"/>
      <c r="Y226" s="1171"/>
      <c r="Z226" s="1171"/>
      <c r="AA226" s="1171"/>
      <c r="AB226" s="1171"/>
      <c r="AC226" s="1171"/>
      <c r="AD226" s="1171"/>
      <c r="AE226" s="1171"/>
      <c r="AF226" s="1171"/>
      <c r="AG226" s="1171"/>
      <c r="AH226" s="1171"/>
      <c r="AI226" s="1171"/>
      <c r="AJ226" s="1171"/>
      <c r="AK226" s="1171"/>
      <c r="AL226" s="1171"/>
      <c r="AM226" s="1171"/>
      <c r="AN226" s="1172"/>
    </row>
    <row r="227" spans="1:41">
      <c r="A227" s="1582" t="s">
        <v>1996</v>
      </c>
      <c r="B227" s="1583"/>
      <c r="C227" s="1583"/>
      <c r="D227" s="1584"/>
      <c r="E227" s="1567" t="s">
        <v>796</v>
      </c>
      <c r="F227" s="1567"/>
      <c r="G227" s="1567"/>
      <c r="H227" s="1567"/>
      <c r="I227" s="1567"/>
      <c r="J227" s="1567"/>
      <c r="K227" s="1567"/>
      <c r="L227" s="1567"/>
      <c r="M227" s="1567"/>
      <c r="N227" s="1567"/>
      <c r="O227" s="1567"/>
      <c r="P227" s="1567"/>
      <c r="Q227" s="1567"/>
      <c r="R227" s="1567"/>
      <c r="S227" s="1567"/>
      <c r="T227" s="1567"/>
      <c r="U227" s="1567"/>
      <c r="V227" s="1567"/>
      <c r="W227" s="1568" t="s">
        <v>1039</v>
      </c>
      <c r="X227" s="1569"/>
      <c r="Y227" s="1569"/>
      <c r="Z227" s="1569"/>
      <c r="AA227" s="1569"/>
      <c r="AB227" s="1569"/>
      <c r="AC227" s="1569"/>
      <c r="AD227" s="1569"/>
      <c r="AE227" s="1570"/>
      <c r="AF227" s="1571" t="s">
        <v>278</v>
      </c>
      <c r="AG227" s="1572"/>
      <c r="AH227" s="1572"/>
      <c r="AI227" s="1572"/>
      <c r="AJ227" s="1572"/>
      <c r="AK227" s="1572"/>
      <c r="AL227" s="1572"/>
      <c r="AM227" s="1572"/>
      <c r="AN227" s="1573"/>
      <c r="AO227" s="1187" t="s">
        <v>2766</v>
      </c>
    </row>
    <row r="228" spans="1:41">
      <c r="A228" s="1574" t="str">
        <f>unos!A41</f>
        <v>680</v>
      </c>
      <c r="B228" s="1575"/>
      <c r="C228" s="1575"/>
      <c r="D228" s="1576"/>
      <c r="E228" s="1558" t="str">
        <f>unos!B41</f>
        <v>Prihodi od usklađivanja vrijednosti nematerijalnih sredstava</v>
      </c>
      <c r="F228" s="1559"/>
      <c r="G228" s="1559"/>
      <c r="H228" s="1559"/>
      <c r="I228" s="1559"/>
      <c r="J228" s="1559"/>
      <c r="K228" s="1559"/>
      <c r="L228" s="1559"/>
      <c r="M228" s="1559"/>
      <c r="N228" s="1559"/>
      <c r="O228" s="1559"/>
      <c r="P228" s="1559"/>
      <c r="Q228" s="1559"/>
      <c r="R228" s="1559"/>
      <c r="S228" s="1559"/>
      <c r="T228" s="1559"/>
      <c r="U228" s="1559"/>
      <c r="V228" s="1559"/>
      <c r="W228" s="1563">
        <f>unos!F41</f>
        <v>0</v>
      </c>
      <c r="X228" s="1594"/>
      <c r="Y228" s="1594"/>
      <c r="Z228" s="1594"/>
      <c r="AA228" s="1594"/>
      <c r="AB228" s="1594"/>
      <c r="AC228" s="1594"/>
      <c r="AD228" s="1594"/>
      <c r="AE228" s="1595"/>
      <c r="AF228" s="1563">
        <f>unos!G41</f>
        <v>0</v>
      </c>
      <c r="AG228" s="1594"/>
      <c r="AH228" s="1594"/>
      <c r="AI228" s="1594"/>
      <c r="AJ228" s="1594"/>
      <c r="AK228" s="1594"/>
      <c r="AL228" s="1594"/>
      <c r="AM228" s="1594"/>
      <c r="AN228" s="1595"/>
      <c r="AO228" s="1184">
        <f>IF(OR(W228=0,AF228=0),0,ROUND(AF228/W228,4))</f>
        <v>0</v>
      </c>
    </row>
    <row r="229" spans="1:41">
      <c r="A229" s="1574" t="str">
        <f>unos!A42</f>
        <v>681</v>
      </c>
      <c r="B229" s="1575"/>
      <c r="C229" s="1575"/>
      <c r="D229" s="1576"/>
      <c r="E229" s="1558" t="str">
        <f>unos!B42</f>
        <v>Prihodi od usklađivanja vrijednosti materijalnih sredstava</v>
      </c>
      <c r="F229" s="1559"/>
      <c r="G229" s="1559"/>
      <c r="H229" s="1559"/>
      <c r="I229" s="1559"/>
      <c r="J229" s="1559"/>
      <c r="K229" s="1559"/>
      <c r="L229" s="1559"/>
      <c r="M229" s="1559"/>
      <c r="N229" s="1559"/>
      <c r="O229" s="1559"/>
      <c r="P229" s="1559"/>
      <c r="Q229" s="1559"/>
      <c r="R229" s="1559"/>
      <c r="S229" s="1559"/>
      <c r="T229" s="1559"/>
      <c r="U229" s="1559"/>
      <c r="V229" s="1559"/>
      <c r="W229" s="1563">
        <f>unos!F42</f>
        <v>0</v>
      </c>
      <c r="X229" s="1594"/>
      <c r="Y229" s="1594"/>
      <c r="Z229" s="1594"/>
      <c r="AA229" s="1594"/>
      <c r="AB229" s="1594"/>
      <c r="AC229" s="1594"/>
      <c r="AD229" s="1594"/>
      <c r="AE229" s="1595"/>
      <c r="AF229" s="1563">
        <f>unos!G42</f>
        <v>0</v>
      </c>
      <c r="AG229" s="1594"/>
      <c r="AH229" s="1594"/>
      <c r="AI229" s="1594"/>
      <c r="AJ229" s="1594"/>
      <c r="AK229" s="1594"/>
      <c r="AL229" s="1594"/>
      <c r="AM229" s="1594"/>
      <c r="AN229" s="1595"/>
      <c r="AO229" s="1184">
        <f t="shared" ref="AO229:AO238" si="10">IF(OR(W229=0,AF229=0),0,ROUND(AF229/W229,4))</f>
        <v>0</v>
      </c>
    </row>
    <row r="230" spans="1:41">
      <c r="A230" s="1574" t="str">
        <f>unos!A43</f>
        <v>682</v>
      </c>
      <c r="B230" s="1575"/>
      <c r="C230" s="1575"/>
      <c r="D230" s="1576"/>
      <c r="E230" s="1558" t="str">
        <f>unos!B43</f>
        <v>Prihodi od usklađivanja vrijednosti investicijskih nekretnina</v>
      </c>
      <c r="F230" s="1559"/>
      <c r="G230" s="1559"/>
      <c r="H230" s="1559"/>
      <c r="I230" s="1559"/>
      <c r="J230" s="1559"/>
      <c r="K230" s="1559"/>
      <c r="L230" s="1559"/>
      <c r="M230" s="1559"/>
      <c r="N230" s="1559"/>
      <c r="O230" s="1559"/>
      <c r="P230" s="1559"/>
      <c r="Q230" s="1559"/>
      <c r="R230" s="1559"/>
      <c r="S230" s="1559"/>
      <c r="T230" s="1559"/>
      <c r="U230" s="1559"/>
      <c r="V230" s="1559"/>
      <c r="W230" s="1563">
        <f>unos!F43</f>
        <v>0</v>
      </c>
      <c r="X230" s="1594"/>
      <c r="Y230" s="1594"/>
      <c r="Z230" s="1594"/>
      <c r="AA230" s="1594"/>
      <c r="AB230" s="1594"/>
      <c r="AC230" s="1594"/>
      <c r="AD230" s="1594"/>
      <c r="AE230" s="1595"/>
      <c r="AF230" s="1563">
        <f>unos!G43</f>
        <v>0</v>
      </c>
      <c r="AG230" s="1594"/>
      <c r="AH230" s="1594"/>
      <c r="AI230" s="1594"/>
      <c r="AJ230" s="1594"/>
      <c r="AK230" s="1594"/>
      <c r="AL230" s="1594"/>
      <c r="AM230" s="1594"/>
      <c r="AN230" s="1595"/>
      <c r="AO230" s="1184">
        <f t="shared" si="10"/>
        <v>0</v>
      </c>
    </row>
    <row r="231" spans="1:41">
      <c r="A231" s="1574" t="str">
        <f>unos!A44</f>
        <v>683</v>
      </c>
      <c r="B231" s="1575"/>
      <c r="C231" s="1575"/>
      <c r="D231" s="1576"/>
      <c r="E231" s="1558" t="str">
        <f>unos!B44</f>
        <v>Prihodi od usklađivanja vrijednsoti bioloških sredstava za koja se obr.amort</v>
      </c>
      <c r="F231" s="1559"/>
      <c r="G231" s="1559"/>
      <c r="H231" s="1559"/>
      <c r="I231" s="1559"/>
      <c r="J231" s="1559"/>
      <c r="K231" s="1559"/>
      <c r="L231" s="1559"/>
      <c r="M231" s="1559"/>
      <c r="N231" s="1559"/>
      <c r="O231" s="1559"/>
      <c r="P231" s="1559"/>
      <c r="Q231" s="1559"/>
      <c r="R231" s="1559"/>
      <c r="S231" s="1559"/>
      <c r="T231" s="1559"/>
      <c r="U231" s="1559"/>
      <c r="V231" s="1559"/>
      <c r="W231" s="1563">
        <f>unos!F44</f>
        <v>0</v>
      </c>
      <c r="X231" s="1594"/>
      <c r="Y231" s="1594"/>
      <c r="Z231" s="1594"/>
      <c r="AA231" s="1594"/>
      <c r="AB231" s="1594"/>
      <c r="AC231" s="1594"/>
      <c r="AD231" s="1594"/>
      <c r="AE231" s="1595"/>
      <c r="AF231" s="1563">
        <f>unos!G44</f>
        <v>0</v>
      </c>
      <c r="AG231" s="1594"/>
      <c r="AH231" s="1594"/>
      <c r="AI231" s="1594"/>
      <c r="AJ231" s="1594"/>
      <c r="AK231" s="1594"/>
      <c r="AL231" s="1594"/>
      <c r="AM231" s="1594"/>
      <c r="AN231" s="1595"/>
      <c r="AO231" s="1184">
        <f t="shared" si="10"/>
        <v>0</v>
      </c>
    </row>
    <row r="232" spans="1:41">
      <c r="A232" s="1574" t="str">
        <f>unos!A45</f>
        <v>684</v>
      </c>
      <c r="B232" s="1575"/>
      <c r="C232" s="1575"/>
      <c r="D232" s="1576"/>
      <c r="E232" s="1558" t="str">
        <f>unos!B45</f>
        <v>Prihodi od usklađivanja vrijedn.dugor.finans.plasmana i finans. Sr.rasp.za pro</v>
      </c>
      <c r="F232" s="1559"/>
      <c r="G232" s="1559"/>
      <c r="H232" s="1559"/>
      <c r="I232" s="1559"/>
      <c r="J232" s="1559"/>
      <c r="K232" s="1559"/>
      <c r="L232" s="1559"/>
      <c r="M232" s="1559"/>
      <c r="N232" s="1559"/>
      <c r="O232" s="1559"/>
      <c r="P232" s="1559"/>
      <c r="Q232" s="1559"/>
      <c r="R232" s="1559"/>
      <c r="S232" s="1559"/>
      <c r="T232" s="1559"/>
      <c r="U232" s="1559"/>
      <c r="V232" s="1559"/>
      <c r="W232" s="1563">
        <f>unos!F45</f>
        <v>0</v>
      </c>
      <c r="X232" s="1594"/>
      <c r="Y232" s="1594"/>
      <c r="Z232" s="1594"/>
      <c r="AA232" s="1594"/>
      <c r="AB232" s="1594"/>
      <c r="AC232" s="1594"/>
      <c r="AD232" s="1594"/>
      <c r="AE232" s="1595"/>
      <c r="AF232" s="1563">
        <f>unos!G45</f>
        <v>0</v>
      </c>
      <c r="AG232" s="1594"/>
      <c r="AH232" s="1594"/>
      <c r="AI232" s="1594"/>
      <c r="AJ232" s="1594"/>
      <c r="AK232" s="1594"/>
      <c r="AL232" s="1594"/>
      <c r="AM232" s="1594"/>
      <c r="AN232" s="1595"/>
      <c r="AO232" s="1184">
        <f t="shared" si="10"/>
        <v>0</v>
      </c>
    </row>
    <row r="233" spans="1:41">
      <c r="A233" s="1574" t="str">
        <f>unos!A46</f>
        <v>685</v>
      </c>
      <c r="B233" s="1575"/>
      <c r="C233" s="1575"/>
      <c r="D233" s="1576"/>
      <c r="E233" s="1558" t="str">
        <f>unos!B46</f>
        <v>Prihodi od usklađivanja vrijednsoti zaliha</v>
      </c>
      <c r="F233" s="1559"/>
      <c r="G233" s="1559"/>
      <c r="H233" s="1559"/>
      <c r="I233" s="1559"/>
      <c r="J233" s="1559"/>
      <c r="K233" s="1559"/>
      <c r="L233" s="1559"/>
      <c r="M233" s="1559"/>
      <c r="N233" s="1559"/>
      <c r="O233" s="1559"/>
      <c r="P233" s="1559"/>
      <c r="Q233" s="1559"/>
      <c r="R233" s="1559"/>
      <c r="S233" s="1559"/>
      <c r="T233" s="1559"/>
      <c r="U233" s="1559"/>
      <c r="V233" s="1559"/>
      <c r="W233" s="1563">
        <f>unos!F46</f>
        <v>0</v>
      </c>
      <c r="X233" s="1594"/>
      <c r="Y233" s="1594"/>
      <c r="Z233" s="1594"/>
      <c r="AA233" s="1594"/>
      <c r="AB233" s="1594"/>
      <c r="AC233" s="1594"/>
      <c r="AD233" s="1594"/>
      <c r="AE233" s="1595"/>
      <c r="AF233" s="1563">
        <f>unos!G46</f>
        <v>0</v>
      </c>
      <c r="AG233" s="1594"/>
      <c r="AH233" s="1594"/>
      <c r="AI233" s="1594"/>
      <c r="AJ233" s="1594"/>
      <c r="AK233" s="1594"/>
      <c r="AL233" s="1594"/>
      <c r="AM233" s="1594"/>
      <c r="AN233" s="1595"/>
      <c r="AO233" s="1184">
        <f t="shared" si="10"/>
        <v>0</v>
      </c>
    </row>
    <row r="234" spans="1:41">
      <c r="A234" s="1574" t="str">
        <f>unos!A47</f>
        <v>686</v>
      </c>
      <c r="B234" s="1575"/>
      <c r="C234" s="1575"/>
      <c r="D234" s="1576"/>
      <c r="E234" s="1558" t="str">
        <f>unos!B47</f>
        <v>Prihodi od usklađ.vrijednosti kratk.finans.plasmana</v>
      </c>
      <c r="F234" s="1559"/>
      <c r="G234" s="1559"/>
      <c r="H234" s="1559"/>
      <c r="I234" s="1559"/>
      <c r="J234" s="1559"/>
      <c r="K234" s="1559"/>
      <c r="L234" s="1559"/>
      <c r="M234" s="1559"/>
      <c r="N234" s="1559"/>
      <c r="O234" s="1559"/>
      <c r="P234" s="1559"/>
      <c r="Q234" s="1559"/>
      <c r="R234" s="1559"/>
      <c r="S234" s="1559"/>
      <c r="T234" s="1559"/>
      <c r="U234" s="1559"/>
      <c r="V234" s="1559"/>
      <c r="W234" s="1563">
        <f>unos!F47</f>
        <v>0</v>
      </c>
      <c r="X234" s="1594"/>
      <c r="Y234" s="1594"/>
      <c r="Z234" s="1594"/>
      <c r="AA234" s="1594"/>
      <c r="AB234" s="1594"/>
      <c r="AC234" s="1594"/>
      <c r="AD234" s="1594"/>
      <c r="AE234" s="1595"/>
      <c r="AF234" s="1563">
        <f>unos!G47</f>
        <v>0</v>
      </c>
      <c r="AG234" s="1594"/>
      <c r="AH234" s="1594"/>
      <c r="AI234" s="1594"/>
      <c r="AJ234" s="1594"/>
      <c r="AK234" s="1594"/>
      <c r="AL234" s="1594"/>
      <c r="AM234" s="1594"/>
      <c r="AN234" s="1595"/>
      <c r="AO234" s="1184">
        <f t="shared" si="10"/>
        <v>0</v>
      </c>
    </row>
    <row r="235" spans="1:41">
      <c r="A235" s="1574" t="str">
        <f>unos!A48</f>
        <v>687</v>
      </c>
      <c r="B235" s="1575"/>
      <c r="C235" s="1575"/>
      <c r="D235" s="1576"/>
      <c r="E235" s="1558" t="str">
        <f>unos!B48</f>
        <v>Prihodi od usklađivanja vrijednsoti kapitala (negativni goodwill)</v>
      </c>
      <c r="F235" s="1559"/>
      <c r="G235" s="1559"/>
      <c r="H235" s="1559"/>
      <c r="I235" s="1559"/>
      <c r="J235" s="1559"/>
      <c r="K235" s="1559"/>
      <c r="L235" s="1559"/>
      <c r="M235" s="1559"/>
      <c r="N235" s="1559"/>
      <c r="O235" s="1559"/>
      <c r="P235" s="1559"/>
      <c r="Q235" s="1559"/>
      <c r="R235" s="1559"/>
      <c r="S235" s="1559"/>
      <c r="T235" s="1559"/>
      <c r="U235" s="1559"/>
      <c r="V235" s="1559"/>
      <c r="W235" s="1563">
        <f>unos!F48</f>
        <v>0</v>
      </c>
      <c r="X235" s="1594"/>
      <c r="Y235" s="1594"/>
      <c r="Z235" s="1594"/>
      <c r="AA235" s="1594"/>
      <c r="AB235" s="1594"/>
      <c r="AC235" s="1594"/>
      <c r="AD235" s="1594"/>
      <c r="AE235" s="1595"/>
      <c r="AF235" s="1563">
        <f>unos!G48</f>
        <v>0</v>
      </c>
      <c r="AG235" s="1594"/>
      <c r="AH235" s="1594"/>
      <c r="AI235" s="1594"/>
      <c r="AJ235" s="1594"/>
      <c r="AK235" s="1594"/>
      <c r="AL235" s="1594"/>
      <c r="AM235" s="1594"/>
      <c r="AN235" s="1595"/>
      <c r="AO235" s="1184">
        <f t="shared" si="10"/>
        <v>0</v>
      </c>
    </row>
    <row r="236" spans="1:41">
      <c r="A236" s="1574" t="str">
        <f>unos!A49</f>
        <v>688</v>
      </c>
      <c r="B236" s="1575"/>
      <c r="C236" s="1575"/>
      <c r="D236" s="1576"/>
      <c r="E236" s="1558" t="str">
        <f>unos!B49</f>
        <v>Prihodi od dusklađ.vrij.sred.namj.prodaji i obustavlj.poslovanja</v>
      </c>
      <c r="F236" s="1559"/>
      <c r="G236" s="1559"/>
      <c r="H236" s="1559"/>
      <c r="I236" s="1559"/>
      <c r="J236" s="1559"/>
      <c r="K236" s="1559"/>
      <c r="L236" s="1559"/>
      <c r="M236" s="1559"/>
      <c r="N236" s="1559"/>
      <c r="O236" s="1559"/>
      <c r="P236" s="1559"/>
      <c r="Q236" s="1559"/>
      <c r="R236" s="1559"/>
      <c r="S236" s="1559"/>
      <c r="T236" s="1559"/>
      <c r="U236" s="1559"/>
      <c r="V236" s="1559"/>
      <c r="W236" s="1563">
        <f>unos!F49</f>
        <v>0</v>
      </c>
      <c r="X236" s="1594"/>
      <c r="Y236" s="1594"/>
      <c r="Z236" s="1594"/>
      <c r="AA236" s="1594"/>
      <c r="AB236" s="1594"/>
      <c r="AC236" s="1594"/>
      <c r="AD236" s="1594"/>
      <c r="AE236" s="1595"/>
      <c r="AF236" s="1563">
        <f>unos!G49</f>
        <v>0</v>
      </c>
      <c r="AG236" s="1594"/>
      <c r="AH236" s="1594"/>
      <c r="AI236" s="1594"/>
      <c r="AJ236" s="1594"/>
      <c r="AK236" s="1594"/>
      <c r="AL236" s="1594"/>
      <c r="AM236" s="1594"/>
      <c r="AN236" s="1595"/>
      <c r="AO236" s="1184">
        <f t="shared" si="10"/>
        <v>0</v>
      </c>
    </row>
    <row r="237" spans="1:41">
      <c r="A237" s="1574" t="str">
        <f>unos!A50</f>
        <v>689</v>
      </c>
      <c r="B237" s="1575"/>
      <c r="C237" s="1575"/>
      <c r="D237" s="1576"/>
      <c r="E237" s="1558" t="str">
        <f>unos!B50</f>
        <v>Prihodi od usklađivanja vrijednosti ostalih sredstava</v>
      </c>
      <c r="F237" s="1559"/>
      <c r="G237" s="1559"/>
      <c r="H237" s="1559"/>
      <c r="I237" s="1559"/>
      <c r="J237" s="1559"/>
      <c r="K237" s="1559"/>
      <c r="L237" s="1559"/>
      <c r="M237" s="1559"/>
      <c r="N237" s="1559"/>
      <c r="O237" s="1559"/>
      <c r="P237" s="1559"/>
      <c r="Q237" s="1559"/>
      <c r="R237" s="1559"/>
      <c r="S237" s="1559"/>
      <c r="T237" s="1559"/>
      <c r="U237" s="1559"/>
      <c r="V237" s="1559"/>
      <c r="W237" s="1563">
        <f>unos!F50</f>
        <v>0</v>
      </c>
      <c r="X237" s="1594"/>
      <c r="Y237" s="1594"/>
      <c r="Z237" s="1594"/>
      <c r="AA237" s="1594"/>
      <c r="AB237" s="1594"/>
      <c r="AC237" s="1594"/>
      <c r="AD237" s="1594"/>
      <c r="AE237" s="1595"/>
      <c r="AF237" s="1563">
        <f>unos!G50</f>
        <v>0</v>
      </c>
      <c r="AG237" s="1594"/>
      <c r="AH237" s="1594"/>
      <c r="AI237" s="1594"/>
      <c r="AJ237" s="1594"/>
      <c r="AK237" s="1594"/>
      <c r="AL237" s="1594"/>
      <c r="AM237" s="1594"/>
      <c r="AN237" s="1595"/>
      <c r="AO237" s="1184">
        <f t="shared" si="10"/>
        <v>0</v>
      </c>
    </row>
    <row r="238" spans="1:41">
      <c r="A238" s="1180"/>
      <c r="B238" s="1180"/>
      <c r="C238" s="1180"/>
      <c r="D238" s="1180"/>
      <c r="E238" s="1180"/>
      <c r="F238" s="1180"/>
      <c r="G238" s="1180"/>
      <c r="H238" s="1180"/>
      <c r="I238" s="1180"/>
      <c r="J238" s="1180"/>
      <c r="K238" s="1180"/>
      <c r="L238" s="1180"/>
      <c r="M238" s="1180"/>
      <c r="N238" s="1180"/>
      <c r="O238" s="1180"/>
      <c r="P238" s="1180"/>
      <c r="Q238" s="1180"/>
      <c r="R238" s="1180"/>
      <c r="S238" s="1180"/>
      <c r="T238" s="1180"/>
      <c r="U238" s="1180"/>
      <c r="V238" s="1169" t="s">
        <v>1997</v>
      </c>
      <c r="W238" s="1617">
        <f>SUM(W228:W237)</f>
        <v>0</v>
      </c>
      <c r="X238" s="1618"/>
      <c r="Y238" s="1618"/>
      <c r="Z238" s="1618"/>
      <c r="AA238" s="1618"/>
      <c r="AB238" s="1618"/>
      <c r="AC238" s="1618"/>
      <c r="AD238" s="1618"/>
      <c r="AE238" s="1619"/>
      <c r="AF238" s="1617">
        <f>SUM(AF228:AF237)</f>
        <v>0</v>
      </c>
      <c r="AG238" s="1618"/>
      <c r="AH238" s="1618"/>
      <c r="AI238" s="1618"/>
      <c r="AJ238" s="1618"/>
      <c r="AK238" s="1618"/>
      <c r="AL238" s="1618"/>
      <c r="AM238" s="1618"/>
      <c r="AN238" s="1619"/>
      <c r="AO238" s="1184">
        <f t="shared" si="10"/>
        <v>0</v>
      </c>
    </row>
    <row r="239" spans="1:41">
      <c r="A239" s="1180"/>
      <c r="B239" s="1180"/>
      <c r="C239" s="1180"/>
      <c r="D239" s="1180"/>
      <c r="E239" s="1180"/>
      <c r="F239" s="1180"/>
      <c r="G239" s="1180"/>
      <c r="H239" s="1180"/>
      <c r="I239" s="1180"/>
      <c r="J239" s="1180"/>
      <c r="K239" s="1180"/>
      <c r="L239" s="1180"/>
      <c r="M239" s="1180"/>
      <c r="N239" s="1180"/>
      <c r="O239" s="1180"/>
      <c r="P239" s="1180"/>
      <c r="Q239" s="1180"/>
      <c r="R239" s="1180"/>
      <c r="S239" s="1180"/>
      <c r="T239" s="1180"/>
      <c r="U239" s="1180"/>
      <c r="V239" s="1180"/>
      <c r="W239" s="1180"/>
      <c r="X239" s="1180"/>
      <c r="Y239" s="1180"/>
      <c r="Z239" s="1180"/>
      <c r="AA239" s="1180"/>
      <c r="AB239" s="1180"/>
      <c r="AC239" s="1180"/>
      <c r="AD239" s="1180"/>
      <c r="AE239" s="1180"/>
      <c r="AF239" s="1180"/>
      <c r="AG239" s="1180"/>
      <c r="AH239" s="1180"/>
      <c r="AI239" s="1180"/>
      <c r="AJ239" s="1180"/>
      <c r="AK239" s="1180"/>
      <c r="AL239" s="1180"/>
      <c r="AM239" s="1180"/>
      <c r="AN239" s="1180"/>
    </row>
    <row r="240" spans="1:41">
      <c r="A240" s="1180"/>
      <c r="B240" s="1180"/>
      <c r="C240" s="1180"/>
      <c r="D240" s="1180"/>
      <c r="E240" s="1180"/>
      <c r="F240" s="1180"/>
      <c r="G240" s="1180"/>
      <c r="H240" s="1180"/>
      <c r="I240" s="1180"/>
      <c r="J240" s="1180"/>
      <c r="K240" s="1180"/>
      <c r="L240" s="1180"/>
      <c r="M240" s="1180"/>
      <c r="N240" s="1180"/>
      <c r="O240" s="1180"/>
      <c r="P240" s="1180"/>
      <c r="Q240" s="1180"/>
      <c r="R240" s="1180"/>
      <c r="S240" s="1180"/>
      <c r="T240" s="1180"/>
      <c r="U240" s="1180"/>
      <c r="V240" s="1180"/>
      <c r="W240" s="1180"/>
      <c r="X240" s="1180"/>
      <c r="Y240" s="1180"/>
      <c r="Z240" s="1180"/>
      <c r="AA240" s="1180"/>
      <c r="AB240" s="1180"/>
      <c r="AC240" s="1180"/>
      <c r="AD240" s="1180"/>
      <c r="AE240" s="1180"/>
      <c r="AF240" s="1180"/>
      <c r="AG240" s="1180"/>
      <c r="AH240" s="1180"/>
      <c r="AI240" s="1180"/>
      <c r="AJ240" s="1180"/>
      <c r="AK240" s="1180"/>
      <c r="AL240" s="1180"/>
      <c r="AM240" s="1180"/>
      <c r="AN240" s="1180"/>
    </row>
    <row r="241" spans="1:41">
      <c r="A241" s="1180"/>
      <c r="B241" s="1180"/>
      <c r="C241" s="1180"/>
      <c r="D241" s="1180"/>
      <c r="E241" s="1180"/>
      <c r="F241" s="1180"/>
      <c r="G241" s="1180"/>
      <c r="H241" s="1180"/>
      <c r="I241" s="1180"/>
      <c r="J241" s="1180"/>
      <c r="K241" s="1180"/>
      <c r="L241" s="1180"/>
      <c r="M241" s="1180"/>
      <c r="N241" s="1180"/>
      <c r="O241" s="1180"/>
      <c r="P241" s="1180"/>
      <c r="Q241" s="1180"/>
      <c r="R241" s="1180"/>
      <c r="S241" s="1180"/>
      <c r="T241" s="1180"/>
      <c r="U241" s="1180"/>
      <c r="V241" s="1180"/>
      <c r="W241" s="1180"/>
      <c r="X241" s="1180"/>
      <c r="Y241" s="1180"/>
      <c r="Z241" s="1180"/>
      <c r="AA241" s="1180"/>
      <c r="AB241" s="1180"/>
      <c r="AC241" s="1180"/>
      <c r="AD241" s="1180"/>
      <c r="AE241" s="1180"/>
      <c r="AF241" s="1180"/>
      <c r="AG241" s="1180"/>
      <c r="AH241" s="1180"/>
      <c r="AI241" s="1180"/>
      <c r="AJ241" s="1180"/>
      <c r="AK241" s="1180"/>
      <c r="AL241" s="1180"/>
      <c r="AM241" s="1180"/>
      <c r="AN241" s="1180"/>
    </row>
    <row r="242" spans="1:41">
      <c r="A242" s="1180"/>
      <c r="B242" s="1180"/>
      <c r="C242" s="1180"/>
      <c r="D242" s="1180"/>
      <c r="E242" s="1180"/>
      <c r="F242" s="1180"/>
      <c r="G242" s="1180"/>
      <c r="H242" s="1180"/>
      <c r="I242" s="1180"/>
      <c r="J242" s="1180"/>
      <c r="K242" s="1180"/>
      <c r="L242" s="1180"/>
      <c r="M242" s="1180"/>
      <c r="N242" s="1180"/>
      <c r="O242" s="1180"/>
      <c r="P242" s="1180"/>
      <c r="Q242" s="1180"/>
      <c r="R242" s="1180"/>
      <c r="S242" s="1180"/>
      <c r="T242" s="1180"/>
      <c r="U242" s="1180"/>
      <c r="V242" s="1180"/>
      <c r="W242" s="1180"/>
      <c r="X242" s="1180"/>
      <c r="Y242" s="1180"/>
      <c r="Z242" s="1180"/>
      <c r="AA242" s="1180"/>
      <c r="AB242" s="1180"/>
      <c r="AC242" s="1180"/>
      <c r="AD242" s="1180"/>
      <c r="AE242" s="1180"/>
      <c r="AF242" s="1180"/>
      <c r="AG242" s="1180"/>
      <c r="AH242" s="1180"/>
      <c r="AI242" s="1180"/>
      <c r="AJ242" s="1180"/>
      <c r="AK242" s="1180"/>
      <c r="AL242" s="1180"/>
      <c r="AM242" s="1180"/>
      <c r="AN242" s="1180"/>
    </row>
    <row r="244" spans="1:41">
      <c r="A244" s="828" t="s">
        <v>1933</v>
      </c>
      <c r="B244" s="828" t="s">
        <v>2797</v>
      </c>
    </row>
    <row r="246" spans="1:41" ht="14.25" customHeight="1">
      <c r="W246" s="1170" t="s">
        <v>1995</v>
      </c>
      <c r="X246" s="1171"/>
      <c r="Y246" s="1171"/>
      <c r="Z246" s="1171"/>
      <c r="AA246" s="1171"/>
      <c r="AB246" s="1171"/>
      <c r="AC246" s="1171"/>
      <c r="AD246" s="1171"/>
      <c r="AE246" s="1171"/>
      <c r="AF246" s="1171"/>
      <c r="AG246" s="1171"/>
      <c r="AH246" s="1171"/>
      <c r="AI246" s="1171"/>
      <c r="AJ246" s="1171"/>
      <c r="AK246" s="1171"/>
      <c r="AL246" s="1171"/>
      <c r="AM246" s="1171"/>
      <c r="AN246" s="1172"/>
    </row>
    <row r="247" spans="1:41">
      <c r="A247" s="1582" t="s">
        <v>1996</v>
      </c>
      <c r="B247" s="1583"/>
      <c r="C247" s="1583"/>
      <c r="D247" s="1584"/>
      <c r="E247" s="1567" t="s">
        <v>796</v>
      </c>
      <c r="F247" s="1567"/>
      <c r="G247" s="1567"/>
      <c r="H247" s="1567"/>
      <c r="I247" s="1567"/>
      <c r="J247" s="1567"/>
      <c r="K247" s="1567"/>
      <c r="L247" s="1567"/>
      <c r="M247" s="1567"/>
      <c r="N247" s="1567"/>
      <c r="O247" s="1567"/>
      <c r="P247" s="1567"/>
      <c r="Q247" s="1567"/>
      <c r="R247" s="1567"/>
      <c r="S247" s="1567"/>
      <c r="T247" s="1567"/>
      <c r="U247" s="1567"/>
      <c r="V247" s="1567"/>
      <c r="W247" s="1568" t="s">
        <v>1039</v>
      </c>
      <c r="X247" s="1569"/>
      <c r="Y247" s="1569"/>
      <c r="Z247" s="1569"/>
      <c r="AA247" s="1569"/>
      <c r="AB247" s="1569"/>
      <c r="AC247" s="1569"/>
      <c r="AD247" s="1569"/>
      <c r="AE247" s="1570"/>
      <c r="AF247" s="1571" t="s">
        <v>278</v>
      </c>
      <c r="AG247" s="1572"/>
      <c r="AH247" s="1572"/>
      <c r="AI247" s="1572"/>
      <c r="AJ247" s="1572"/>
      <c r="AK247" s="1572"/>
      <c r="AL247" s="1572"/>
      <c r="AM247" s="1572"/>
      <c r="AN247" s="1573"/>
      <c r="AO247" s="1187" t="s">
        <v>2766</v>
      </c>
    </row>
    <row r="248" spans="1:41">
      <c r="A248" s="1574" t="str">
        <f>unos!A113</f>
        <v>580</v>
      </c>
      <c r="B248" s="1575"/>
      <c r="C248" s="1575"/>
      <c r="D248" s="1576"/>
      <c r="E248" s="1558" t="str">
        <f>unos!B113</f>
        <v>Umanjenje vrijednsoti nematerijalnih sredstava</v>
      </c>
      <c r="F248" s="1559"/>
      <c r="G248" s="1559"/>
      <c r="H248" s="1559"/>
      <c r="I248" s="1559"/>
      <c r="J248" s="1559"/>
      <c r="K248" s="1559"/>
      <c r="L248" s="1559"/>
      <c r="M248" s="1559"/>
      <c r="N248" s="1559"/>
      <c r="O248" s="1559"/>
      <c r="P248" s="1559"/>
      <c r="Q248" s="1559"/>
      <c r="R248" s="1559"/>
      <c r="S248" s="1559"/>
      <c r="T248" s="1559"/>
      <c r="U248" s="1559"/>
      <c r="V248" s="1559"/>
      <c r="W248" s="1563">
        <f>unos!F113</f>
        <v>0</v>
      </c>
      <c r="X248" s="1594"/>
      <c r="Y248" s="1594"/>
      <c r="Z248" s="1594"/>
      <c r="AA248" s="1594"/>
      <c r="AB248" s="1594"/>
      <c r="AC248" s="1594"/>
      <c r="AD248" s="1594"/>
      <c r="AE248" s="1595"/>
      <c r="AF248" s="1563">
        <f>unos!G113</f>
        <v>0</v>
      </c>
      <c r="AG248" s="1594"/>
      <c r="AH248" s="1594"/>
      <c r="AI248" s="1594"/>
      <c r="AJ248" s="1594"/>
      <c r="AK248" s="1594"/>
      <c r="AL248" s="1594"/>
      <c r="AM248" s="1594"/>
      <c r="AN248" s="1595"/>
      <c r="AO248" s="1184">
        <f>IF(OR(W248=0,AF248=0),0,ROUND(AF248/W248,4))</f>
        <v>0</v>
      </c>
    </row>
    <row r="249" spans="1:41">
      <c r="A249" s="1574" t="str">
        <f>unos!A114</f>
        <v>581</v>
      </c>
      <c r="B249" s="1575"/>
      <c r="C249" s="1575"/>
      <c r="D249" s="1576"/>
      <c r="E249" s="1558" t="str">
        <f>unos!B114</f>
        <v>Umanjenje vrijednosti materijalnih sredstava</v>
      </c>
      <c r="F249" s="1559"/>
      <c r="G249" s="1559"/>
      <c r="H249" s="1559"/>
      <c r="I249" s="1559"/>
      <c r="J249" s="1559"/>
      <c r="K249" s="1559"/>
      <c r="L249" s="1559"/>
      <c r="M249" s="1559"/>
      <c r="N249" s="1559"/>
      <c r="O249" s="1559"/>
      <c r="P249" s="1559"/>
      <c r="Q249" s="1559"/>
      <c r="R249" s="1559"/>
      <c r="S249" s="1559"/>
      <c r="T249" s="1559"/>
      <c r="U249" s="1559"/>
      <c r="V249" s="1559"/>
      <c r="W249" s="1563">
        <f>unos!F114</f>
        <v>0</v>
      </c>
      <c r="X249" s="1594"/>
      <c r="Y249" s="1594"/>
      <c r="Z249" s="1594"/>
      <c r="AA249" s="1594"/>
      <c r="AB249" s="1594"/>
      <c r="AC249" s="1594"/>
      <c r="AD249" s="1594"/>
      <c r="AE249" s="1595"/>
      <c r="AF249" s="1563">
        <f>unos!G114</f>
        <v>0</v>
      </c>
      <c r="AG249" s="1594"/>
      <c r="AH249" s="1594"/>
      <c r="AI249" s="1594"/>
      <c r="AJ249" s="1594"/>
      <c r="AK249" s="1594"/>
      <c r="AL249" s="1594"/>
      <c r="AM249" s="1594"/>
      <c r="AN249" s="1595"/>
      <c r="AO249" s="1184">
        <f t="shared" ref="AO249:AO257" si="11">IF(OR(W249=0,AF249=0),0,ROUND(AF249/W249,4))</f>
        <v>0</v>
      </c>
    </row>
    <row r="250" spans="1:41">
      <c r="A250" s="1574" t="str">
        <f>unos!A115</f>
        <v>582</v>
      </c>
      <c r="B250" s="1575"/>
      <c r="C250" s="1575"/>
      <c r="D250" s="1576"/>
      <c r="E250" s="1558" t="str">
        <f>unos!B115</f>
        <v>Umanjenje vrijednosti investicijskih nekretnina za koje se obračun.amort.</v>
      </c>
      <c r="F250" s="1559"/>
      <c r="G250" s="1559"/>
      <c r="H250" s="1559"/>
      <c r="I250" s="1559"/>
      <c r="J250" s="1559"/>
      <c r="K250" s="1559"/>
      <c r="L250" s="1559"/>
      <c r="M250" s="1559"/>
      <c r="N250" s="1559"/>
      <c r="O250" s="1559"/>
      <c r="P250" s="1559"/>
      <c r="Q250" s="1559"/>
      <c r="R250" s="1559"/>
      <c r="S250" s="1559"/>
      <c r="T250" s="1559"/>
      <c r="U250" s="1559"/>
      <c r="V250" s="1559"/>
      <c r="W250" s="1563">
        <f>unos!F115</f>
        <v>0</v>
      </c>
      <c r="X250" s="1594"/>
      <c r="Y250" s="1594"/>
      <c r="Z250" s="1594"/>
      <c r="AA250" s="1594"/>
      <c r="AB250" s="1594"/>
      <c r="AC250" s="1594"/>
      <c r="AD250" s="1594"/>
      <c r="AE250" s="1595"/>
      <c r="AF250" s="1563">
        <f>unos!G115</f>
        <v>0</v>
      </c>
      <c r="AG250" s="1594"/>
      <c r="AH250" s="1594"/>
      <c r="AI250" s="1594"/>
      <c r="AJ250" s="1594"/>
      <c r="AK250" s="1594"/>
      <c r="AL250" s="1594"/>
      <c r="AM250" s="1594"/>
      <c r="AN250" s="1595"/>
      <c r="AO250" s="1184">
        <f t="shared" si="11"/>
        <v>0</v>
      </c>
    </row>
    <row r="251" spans="1:41">
      <c r="A251" s="1574" t="str">
        <f>unos!A116</f>
        <v>583</v>
      </c>
      <c r="B251" s="1575"/>
      <c r="C251" s="1575"/>
      <c r="D251" s="1576"/>
      <c r="E251" s="1558" t="str">
        <f>unos!B116</f>
        <v>Umanj.vrij.biloških sred.za koje se obračunava amortizacija</v>
      </c>
      <c r="F251" s="1559"/>
      <c r="G251" s="1559"/>
      <c r="H251" s="1559"/>
      <c r="I251" s="1559"/>
      <c r="J251" s="1559"/>
      <c r="K251" s="1559"/>
      <c r="L251" s="1559"/>
      <c r="M251" s="1559"/>
      <c r="N251" s="1559"/>
      <c r="O251" s="1559"/>
      <c r="P251" s="1559"/>
      <c r="Q251" s="1559"/>
      <c r="R251" s="1559"/>
      <c r="S251" s="1559"/>
      <c r="T251" s="1559"/>
      <c r="U251" s="1559"/>
      <c r="V251" s="1559"/>
      <c r="W251" s="1563">
        <f>unos!F116</f>
        <v>0</v>
      </c>
      <c r="X251" s="1594"/>
      <c r="Y251" s="1594"/>
      <c r="Z251" s="1594"/>
      <c r="AA251" s="1594"/>
      <c r="AB251" s="1594"/>
      <c r="AC251" s="1594"/>
      <c r="AD251" s="1594"/>
      <c r="AE251" s="1595"/>
      <c r="AF251" s="1563">
        <f>unos!G116</f>
        <v>0</v>
      </c>
      <c r="AG251" s="1594"/>
      <c r="AH251" s="1594"/>
      <c r="AI251" s="1594"/>
      <c r="AJ251" s="1594"/>
      <c r="AK251" s="1594"/>
      <c r="AL251" s="1594"/>
      <c r="AM251" s="1594"/>
      <c r="AN251" s="1595"/>
      <c r="AO251" s="1184">
        <f t="shared" si="11"/>
        <v>0</v>
      </c>
    </row>
    <row r="252" spans="1:41">
      <c r="A252" s="1574" t="str">
        <f>unos!A117</f>
        <v>584</v>
      </c>
      <c r="B252" s="1575"/>
      <c r="C252" s="1575"/>
      <c r="D252" s="1576"/>
      <c r="E252" s="1558" t="str">
        <f>unos!B117</f>
        <v>Umanj.vrij.dug.finans.plasmana i finan.sred.raspol.za prodaju</v>
      </c>
      <c r="F252" s="1559"/>
      <c r="G252" s="1559"/>
      <c r="H252" s="1559"/>
      <c r="I252" s="1559"/>
      <c r="J252" s="1559"/>
      <c r="K252" s="1559"/>
      <c r="L252" s="1559"/>
      <c r="M252" s="1559"/>
      <c r="N252" s="1559"/>
      <c r="O252" s="1559"/>
      <c r="P252" s="1559"/>
      <c r="Q252" s="1559"/>
      <c r="R252" s="1559"/>
      <c r="S252" s="1559"/>
      <c r="T252" s="1559"/>
      <c r="U252" s="1559"/>
      <c r="V252" s="1559"/>
      <c r="W252" s="1563">
        <f>unos!F117</f>
        <v>0</v>
      </c>
      <c r="X252" s="1594"/>
      <c r="Y252" s="1594"/>
      <c r="Z252" s="1594"/>
      <c r="AA252" s="1594"/>
      <c r="AB252" s="1594"/>
      <c r="AC252" s="1594"/>
      <c r="AD252" s="1594"/>
      <c r="AE252" s="1595"/>
      <c r="AF252" s="1563">
        <f>unos!G117</f>
        <v>0</v>
      </c>
      <c r="AG252" s="1594"/>
      <c r="AH252" s="1594"/>
      <c r="AI252" s="1594"/>
      <c r="AJ252" s="1594"/>
      <c r="AK252" s="1594"/>
      <c r="AL252" s="1594"/>
      <c r="AM252" s="1594"/>
      <c r="AN252" s="1595"/>
      <c r="AO252" s="1184">
        <f t="shared" si="11"/>
        <v>0</v>
      </c>
    </row>
    <row r="253" spans="1:41">
      <c r="A253" s="1574" t="str">
        <f>unos!A118</f>
        <v>585</v>
      </c>
      <c r="B253" s="1575"/>
      <c r="C253" s="1575"/>
      <c r="D253" s="1576"/>
      <c r="E253" s="1558" t="str">
        <f>unos!B118</f>
        <v>Umanjenje vrijednosti zaliha</v>
      </c>
      <c r="F253" s="1559"/>
      <c r="G253" s="1559"/>
      <c r="H253" s="1559"/>
      <c r="I253" s="1559"/>
      <c r="J253" s="1559"/>
      <c r="K253" s="1559"/>
      <c r="L253" s="1559"/>
      <c r="M253" s="1559"/>
      <c r="N253" s="1559"/>
      <c r="O253" s="1559"/>
      <c r="P253" s="1559"/>
      <c r="Q253" s="1559"/>
      <c r="R253" s="1559"/>
      <c r="S253" s="1559"/>
      <c r="T253" s="1559"/>
      <c r="U253" s="1559"/>
      <c r="V253" s="1559"/>
      <c r="W253" s="1563">
        <f>unos!F118</f>
        <v>0</v>
      </c>
      <c r="X253" s="1594"/>
      <c r="Y253" s="1594"/>
      <c r="Z253" s="1594"/>
      <c r="AA253" s="1594"/>
      <c r="AB253" s="1594"/>
      <c r="AC253" s="1594"/>
      <c r="AD253" s="1594"/>
      <c r="AE253" s="1595"/>
      <c r="AF253" s="1563">
        <f>unos!G118</f>
        <v>0</v>
      </c>
      <c r="AG253" s="1594"/>
      <c r="AH253" s="1594"/>
      <c r="AI253" s="1594"/>
      <c r="AJ253" s="1594"/>
      <c r="AK253" s="1594"/>
      <c r="AL253" s="1594"/>
      <c r="AM253" s="1594"/>
      <c r="AN253" s="1595"/>
      <c r="AO253" s="1184">
        <f t="shared" si="11"/>
        <v>0</v>
      </c>
    </row>
    <row r="254" spans="1:41">
      <c r="A254" s="1574" t="str">
        <f>unos!A119</f>
        <v>586</v>
      </c>
      <c r="B254" s="1575"/>
      <c r="C254" s="1575"/>
      <c r="D254" s="1576"/>
      <c r="E254" s="1558" t="str">
        <f>unos!B119</f>
        <v>Umanj.vrijedn.kratk.finans.plasmana</v>
      </c>
      <c r="F254" s="1559"/>
      <c r="G254" s="1559"/>
      <c r="H254" s="1559"/>
      <c r="I254" s="1559"/>
      <c r="J254" s="1559"/>
      <c r="K254" s="1559"/>
      <c r="L254" s="1559"/>
      <c r="M254" s="1559"/>
      <c r="N254" s="1559"/>
      <c r="O254" s="1559"/>
      <c r="P254" s="1559"/>
      <c r="Q254" s="1559"/>
      <c r="R254" s="1559"/>
      <c r="S254" s="1559"/>
      <c r="T254" s="1559"/>
      <c r="U254" s="1559"/>
      <c r="V254" s="1559"/>
      <c r="W254" s="1563">
        <f>unos!F119</f>
        <v>0</v>
      </c>
      <c r="X254" s="1594"/>
      <c r="Y254" s="1594"/>
      <c r="Z254" s="1594"/>
      <c r="AA254" s="1594"/>
      <c r="AB254" s="1594"/>
      <c r="AC254" s="1594"/>
      <c r="AD254" s="1594"/>
      <c r="AE254" s="1595"/>
      <c r="AF254" s="1563">
        <f>unos!G119</f>
        <v>0</v>
      </c>
      <c r="AG254" s="1594"/>
      <c r="AH254" s="1594"/>
      <c r="AI254" s="1594"/>
      <c r="AJ254" s="1594"/>
      <c r="AK254" s="1594"/>
      <c r="AL254" s="1594"/>
      <c r="AM254" s="1594"/>
      <c r="AN254" s="1595"/>
      <c r="AO254" s="1184">
        <f t="shared" si="11"/>
        <v>0</v>
      </c>
    </row>
    <row r="255" spans="1:41">
      <c r="A255" s="1574" t="str">
        <f>unos!A120</f>
        <v>588</v>
      </c>
      <c r="B255" s="1575"/>
      <c r="C255" s="1575"/>
      <c r="D255" s="1576"/>
      <c r="E255" s="1558" t="str">
        <f>unos!B120</f>
        <v>Umanj.vrijedn.sredst.namijenj.prodaji i obustavlj.poslovanja</v>
      </c>
      <c r="F255" s="1559"/>
      <c r="G255" s="1559"/>
      <c r="H255" s="1559"/>
      <c r="I255" s="1559"/>
      <c r="J255" s="1559"/>
      <c r="K255" s="1559"/>
      <c r="L255" s="1559"/>
      <c r="M255" s="1559"/>
      <c r="N255" s="1559"/>
      <c r="O255" s="1559"/>
      <c r="P255" s="1559"/>
      <c r="Q255" s="1559"/>
      <c r="R255" s="1559"/>
      <c r="S255" s="1559"/>
      <c r="T255" s="1559"/>
      <c r="U255" s="1559"/>
      <c r="V255" s="1559"/>
      <c r="W255" s="1563">
        <f>unos!F120</f>
        <v>0</v>
      </c>
      <c r="X255" s="1594"/>
      <c r="Y255" s="1594"/>
      <c r="Z255" s="1594"/>
      <c r="AA255" s="1594"/>
      <c r="AB255" s="1594"/>
      <c r="AC255" s="1594"/>
      <c r="AD255" s="1594"/>
      <c r="AE255" s="1595"/>
      <c r="AF255" s="1563">
        <f>unos!G120</f>
        <v>0</v>
      </c>
      <c r="AG255" s="1594"/>
      <c r="AH255" s="1594"/>
      <c r="AI255" s="1594"/>
      <c r="AJ255" s="1594"/>
      <c r="AK255" s="1594"/>
      <c r="AL255" s="1594"/>
      <c r="AM255" s="1594"/>
      <c r="AN255" s="1595"/>
      <c r="AO255" s="1184">
        <f t="shared" si="11"/>
        <v>0</v>
      </c>
    </row>
    <row r="256" spans="1:41">
      <c r="A256" s="1574" t="str">
        <f>unos!A121</f>
        <v>589</v>
      </c>
      <c r="B256" s="1575"/>
      <c r="C256" s="1575"/>
      <c r="D256" s="1576"/>
      <c r="E256" s="1558" t="str">
        <f>unos!B121</f>
        <v>Umanjenje vrijedn.ostalih sredstava</v>
      </c>
      <c r="F256" s="1559"/>
      <c r="G256" s="1559"/>
      <c r="H256" s="1559"/>
      <c r="I256" s="1559"/>
      <c r="J256" s="1559"/>
      <c r="K256" s="1559"/>
      <c r="L256" s="1559"/>
      <c r="M256" s="1559"/>
      <c r="N256" s="1559"/>
      <c r="O256" s="1559"/>
      <c r="P256" s="1559"/>
      <c r="Q256" s="1559"/>
      <c r="R256" s="1559"/>
      <c r="S256" s="1559"/>
      <c r="T256" s="1559"/>
      <c r="U256" s="1559"/>
      <c r="V256" s="1559"/>
      <c r="W256" s="1563">
        <f>unos!F121</f>
        <v>0</v>
      </c>
      <c r="X256" s="1594"/>
      <c r="Y256" s="1594"/>
      <c r="Z256" s="1594"/>
      <c r="AA256" s="1594"/>
      <c r="AB256" s="1594"/>
      <c r="AC256" s="1594"/>
      <c r="AD256" s="1594"/>
      <c r="AE256" s="1595"/>
      <c r="AF256" s="1563">
        <f>unos!G121</f>
        <v>0</v>
      </c>
      <c r="AG256" s="1594"/>
      <c r="AH256" s="1594"/>
      <c r="AI256" s="1594"/>
      <c r="AJ256" s="1594"/>
      <c r="AK256" s="1594"/>
      <c r="AL256" s="1594"/>
      <c r="AM256" s="1594"/>
      <c r="AN256" s="1595"/>
      <c r="AO256" s="1184">
        <f t="shared" si="11"/>
        <v>0</v>
      </c>
    </row>
    <row r="257" spans="1:41">
      <c r="A257" s="1577"/>
      <c r="B257" s="1577"/>
      <c r="C257" s="1577"/>
      <c r="D257" s="1577"/>
      <c r="E257" s="1167"/>
      <c r="F257" s="1168"/>
      <c r="G257" s="1168"/>
      <c r="H257" s="1168"/>
      <c r="I257" s="1168"/>
      <c r="J257" s="1168"/>
      <c r="K257" s="1168"/>
      <c r="L257" s="1168"/>
      <c r="M257" s="1168"/>
      <c r="N257" s="1168"/>
      <c r="O257" s="1168"/>
      <c r="P257" s="1168"/>
      <c r="Q257" s="1168"/>
      <c r="R257" s="1168"/>
      <c r="S257" s="1167"/>
      <c r="T257" s="1167"/>
      <c r="U257" s="1167"/>
      <c r="V257" s="1169" t="s">
        <v>1997</v>
      </c>
      <c r="W257" s="1617">
        <f>SUM(W248:W256)</f>
        <v>0</v>
      </c>
      <c r="X257" s="1618"/>
      <c r="Y257" s="1618"/>
      <c r="Z257" s="1618"/>
      <c r="AA257" s="1618"/>
      <c r="AB257" s="1618"/>
      <c r="AC257" s="1618"/>
      <c r="AD257" s="1618"/>
      <c r="AE257" s="1619"/>
      <c r="AF257" s="1617">
        <f>SUM(AF248:AF256)</f>
        <v>0</v>
      </c>
      <c r="AG257" s="1618"/>
      <c r="AH257" s="1618"/>
      <c r="AI257" s="1618"/>
      <c r="AJ257" s="1618"/>
      <c r="AK257" s="1618"/>
      <c r="AL257" s="1618"/>
      <c r="AM257" s="1618"/>
      <c r="AN257" s="1619"/>
      <c r="AO257" s="1185">
        <f t="shared" si="11"/>
        <v>0</v>
      </c>
    </row>
    <row r="259" spans="1:41">
      <c r="A259" s="1581"/>
      <c r="B259" s="1581"/>
      <c r="C259" s="1581"/>
      <c r="D259" s="1581"/>
      <c r="E259" s="1581"/>
      <c r="F259" s="1581"/>
      <c r="G259" s="1581"/>
      <c r="H259" s="1581"/>
      <c r="I259" s="1581"/>
      <c r="J259" s="1581"/>
      <c r="K259" s="1581"/>
      <c r="L259" s="1581"/>
      <c r="M259" s="1581"/>
      <c r="N259" s="1581"/>
      <c r="O259" s="1581"/>
      <c r="P259" s="1581"/>
      <c r="Q259" s="1581"/>
      <c r="R259" s="1581"/>
      <c r="S259" s="1581"/>
      <c r="T259" s="1581"/>
      <c r="U259" s="1581"/>
      <c r="V259" s="1581"/>
      <c r="W259" s="1581"/>
      <c r="X259" s="1581"/>
      <c r="Y259" s="1581"/>
      <c r="Z259" s="1581"/>
      <c r="AA259" s="1581"/>
      <c r="AB259" s="1581"/>
      <c r="AC259" s="1581"/>
      <c r="AD259" s="1581"/>
      <c r="AE259" s="1581"/>
      <c r="AF259" s="1581"/>
      <c r="AG259" s="1581"/>
      <c r="AH259" s="1581"/>
      <c r="AI259" s="1581"/>
      <c r="AJ259" s="1581"/>
      <c r="AK259" s="1581"/>
      <c r="AL259" s="1581"/>
      <c r="AM259" s="1581"/>
      <c r="AN259" s="1581"/>
    </row>
    <row r="260" spans="1:41">
      <c r="A260" s="1581"/>
      <c r="B260" s="1581"/>
      <c r="C260" s="1581"/>
      <c r="D260" s="1581"/>
      <c r="E260" s="1581"/>
      <c r="F260" s="1581"/>
      <c r="G260" s="1581"/>
      <c r="H260" s="1581"/>
      <c r="I260" s="1581"/>
      <c r="J260" s="1581"/>
      <c r="K260" s="1581"/>
      <c r="L260" s="1581"/>
      <c r="M260" s="1581"/>
      <c r="N260" s="1581"/>
      <c r="O260" s="1581"/>
      <c r="P260" s="1581"/>
      <c r="Q260" s="1581"/>
      <c r="R260" s="1581"/>
      <c r="S260" s="1581"/>
      <c r="T260" s="1581"/>
      <c r="U260" s="1581"/>
      <c r="V260" s="1581"/>
      <c r="W260" s="1581"/>
      <c r="X260" s="1581"/>
      <c r="Y260" s="1581"/>
      <c r="Z260" s="1581"/>
      <c r="AA260" s="1581"/>
      <c r="AB260" s="1581"/>
      <c r="AC260" s="1581"/>
      <c r="AD260" s="1581"/>
      <c r="AE260" s="1581"/>
      <c r="AF260" s="1581"/>
      <c r="AG260" s="1581"/>
      <c r="AH260" s="1581"/>
      <c r="AI260" s="1581"/>
      <c r="AJ260" s="1581"/>
      <c r="AK260" s="1581"/>
      <c r="AL260" s="1581"/>
      <c r="AM260" s="1581"/>
      <c r="AN260" s="1581"/>
    </row>
    <row r="261" spans="1:41">
      <c r="A261" s="1581"/>
      <c r="B261" s="1581"/>
      <c r="C261" s="1581"/>
      <c r="D261" s="1581"/>
      <c r="E261" s="1581"/>
      <c r="F261" s="1581"/>
      <c r="G261" s="1581"/>
      <c r="H261" s="1581"/>
      <c r="I261" s="1581"/>
      <c r="J261" s="1581"/>
      <c r="K261" s="1581"/>
      <c r="L261" s="1581"/>
      <c r="M261" s="1581"/>
      <c r="N261" s="1581"/>
      <c r="O261" s="1581"/>
      <c r="P261" s="1581"/>
      <c r="Q261" s="1581"/>
      <c r="R261" s="1581"/>
      <c r="S261" s="1581"/>
      <c r="T261" s="1581"/>
      <c r="U261" s="1581"/>
      <c r="V261" s="1581"/>
      <c r="W261" s="1581"/>
      <c r="X261" s="1581"/>
      <c r="Y261" s="1581"/>
      <c r="Z261" s="1581"/>
      <c r="AA261" s="1581"/>
      <c r="AB261" s="1581"/>
      <c r="AC261" s="1581"/>
      <c r="AD261" s="1581"/>
      <c r="AE261" s="1581"/>
      <c r="AF261" s="1581"/>
      <c r="AG261" s="1581"/>
      <c r="AH261" s="1581"/>
      <c r="AI261" s="1581"/>
      <c r="AJ261" s="1581"/>
      <c r="AK261" s="1581"/>
      <c r="AL261" s="1581"/>
      <c r="AM261" s="1581"/>
      <c r="AN261" s="1581"/>
    </row>
    <row r="262" spans="1:41">
      <c r="A262" s="1581"/>
      <c r="B262" s="1581"/>
      <c r="C262" s="1581"/>
      <c r="D262" s="1581"/>
      <c r="E262" s="1581"/>
      <c r="F262" s="1581"/>
      <c r="G262" s="1581"/>
      <c r="H262" s="1581"/>
      <c r="I262" s="1581"/>
      <c r="J262" s="1581"/>
      <c r="K262" s="1581"/>
      <c r="L262" s="1581"/>
      <c r="M262" s="1581"/>
      <c r="N262" s="1581"/>
      <c r="O262" s="1581"/>
      <c r="P262" s="1581"/>
      <c r="Q262" s="1581"/>
      <c r="R262" s="1581"/>
      <c r="S262" s="1581"/>
      <c r="T262" s="1581"/>
      <c r="U262" s="1581"/>
      <c r="V262" s="1581"/>
      <c r="W262" s="1581"/>
      <c r="X262" s="1581"/>
      <c r="Y262" s="1581"/>
      <c r="Z262" s="1581"/>
      <c r="AA262" s="1581"/>
      <c r="AB262" s="1581"/>
      <c r="AC262" s="1581"/>
      <c r="AD262" s="1581"/>
      <c r="AE262" s="1581"/>
      <c r="AF262" s="1581"/>
      <c r="AG262" s="1581"/>
      <c r="AH262" s="1581"/>
      <c r="AI262" s="1581"/>
      <c r="AJ262" s="1581"/>
      <c r="AK262" s="1581"/>
      <c r="AL262" s="1581"/>
      <c r="AM262" s="1581"/>
      <c r="AN262" s="1581"/>
    </row>
    <row r="264" spans="1:41">
      <c r="A264" s="828" t="s">
        <v>1933</v>
      </c>
      <c r="B264" s="828" t="s">
        <v>1940</v>
      </c>
    </row>
    <row r="265" spans="1:41">
      <c r="B265" s="828" t="s">
        <v>1941</v>
      </c>
    </row>
    <row r="266" spans="1:41" ht="14.25" customHeight="1">
      <c r="W266" s="1170" t="s">
        <v>1995</v>
      </c>
      <c r="X266" s="1171"/>
      <c r="Y266" s="1171"/>
      <c r="Z266" s="1171"/>
      <c r="AA266" s="1171"/>
      <c r="AB266" s="1171"/>
      <c r="AC266" s="1171"/>
      <c r="AD266" s="1171"/>
      <c r="AE266" s="1171"/>
      <c r="AF266" s="1171"/>
      <c r="AG266" s="1171"/>
      <c r="AH266" s="1171"/>
      <c r="AI266" s="1171"/>
      <c r="AJ266" s="1171"/>
      <c r="AK266" s="1171"/>
      <c r="AL266" s="1171"/>
      <c r="AM266" s="1171"/>
      <c r="AN266" s="1172"/>
    </row>
    <row r="267" spans="1:41">
      <c r="A267" s="1582" t="s">
        <v>1996</v>
      </c>
      <c r="B267" s="1583"/>
      <c r="C267" s="1583"/>
      <c r="D267" s="1584"/>
      <c r="E267" s="1567" t="s">
        <v>796</v>
      </c>
      <c r="F267" s="1567"/>
      <c r="G267" s="1567"/>
      <c r="H267" s="1567"/>
      <c r="I267" s="1567"/>
      <c r="J267" s="1567"/>
      <c r="K267" s="1567"/>
      <c r="L267" s="1567"/>
      <c r="M267" s="1567"/>
      <c r="N267" s="1567"/>
      <c r="O267" s="1567"/>
      <c r="P267" s="1567"/>
      <c r="Q267" s="1567"/>
      <c r="R267" s="1567"/>
      <c r="S267" s="1567"/>
      <c r="T267" s="1567"/>
      <c r="U267" s="1567"/>
      <c r="V267" s="1567"/>
      <c r="W267" s="1568" t="s">
        <v>1039</v>
      </c>
      <c r="X267" s="1569"/>
      <c r="Y267" s="1569"/>
      <c r="Z267" s="1569"/>
      <c r="AA267" s="1569"/>
      <c r="AB267" s="1569"/>
      <c r="AC267" s="1569"/>
      <c r="AD267" s="1569"/>
      <c r="AE267" s="1570"/>
      <c r="AF267" s="1571" t="s">
        <v>278</v>
      </c>
      <c r="AG267" s="1572"/>
      <c r="AH267" s="1572"/>
      <c r="AI267" s="1572"/>
      <c r="AJ267" s="1572"/>
      <c r="AK267" s="1572"/>
      <c r="AL267" s="1572"/>
      <c r="AM267" s="1572"/>
      <c r="AN267" s="1573"/>
      <c r="AO267" s="1187" t="s">
        <v>2766</v>
      </c>
    </row>
    <row r="268" spans="1:41">
      <c r="A268" s="1574" t="str">
        <f>unos!A122</f>
        <v>590</v>
      </c>
      <c r="B268" s="1575"/>
      <c r="C268" s="1575"/>
      <c r="D268" s="1576"/>
      <c r="E268" s="1558" t="str">
        <f>unos!B122</f>
        <v>Rashodi iz osnova promj.računov.politika</v>
      </c>
      <c r="F268" s="1559"/>
      <c r="G268" s="1559"/>
      <c r="H268" s="1559"/>
      <c r="I268" s="1559"/>
      <c r="J268" s="1559"/>
      <c r="K268" s="1559"/>
      <c r="L268" s="1559"/>
      <c r="M268" s="1559"/>
      <c r="N268" s="1559"/>
      <c r="O268" s="1559"/>
      <c r="P268" s="1559"/>
      <c r="Q268" s="1559"/>
      <c r="R268" s="1559"/>
      <c r="S268" s="1559"/>
      <c r="T268" s="1559"/>
      <c r="U268" s="1559"/>
      <c r="V268" s="1559"/>
      <c r="W268" s="1563">
        <f>unos!F122</f>
        <v>0</v>
      </c>
      <c r="X268" s="1594"/>
      <c r="Y268" s="1594"/>
      <c r="Z268" s="1594"/>
      <c r="AA268" s="1594"/>
      <c r="AB268" s="1594"/>
      <c r="AC268" s="1594"/>
      <c r="AD268" s="1594"/>
      <c r="AE268" s="1595"/>
      <c r="AF268" s="1563">
        <f>unos!G122</f>
        <v>0</v>
      </c>
      <c r="AG268" s="1594"/>
      <c r="AH268" s="1594"/>
      <c r="AI268" s="1594"/>
      <c r="AJ268" s="1594"/>
      <c r="AK268" s="1594"/>
      <c r="AL268" s="1594"/>
      <c r="AM268" s="1594"/>
      <c r="AN268" s="1595"/>
      <c r="AO268" s="1184">
        <f>IF(OR(W268=0,AF268=0),0,ROUND(AF268/W268,4))</f>
        <v>0</v>
      </c>
    </row>
    <row r="269" spans="1:41">
      <c r="A269" s="1574" t="str">
        <f>unos!A123</f>
        <v>591</v>
      </c>
      <c r="B269" s="1575"/>
      <c r="C269" s="1575"/>
      <c r="D269" s="1576"/>
      <c r="E269" s="1558" t="str">
        <f>unos!B123</f>
        <v>Rashodi iz osnova ispravke grešaka iz ranijeg perioda</v>
      </c>
      <c r="F269" s="1559"/>
      <c r="G269" s="1559"/>
      <c r="H269" s="1559"/>
      <c r="I269" s="1559"/>
      <c r="J269" s="1559"/>
      <c r="K269" s="1559"/>
      <c r="L269" s="1559"/>
      <c r="M269" s="1559"/>
      <c r="N269" s="1559"/>
      <c r="O269" s="1559"/>
      <c r="P269" s="1559"/>
      <c r="Q269" s="1559"/>
      <c r="R269" s="1559"/>
      <c r="S269" s="1559"/>
      <c r="T269" s="1559"/>
      <c r="U269" s="1559"/>
      <c r="V269" s="1559"/>
      <c r="W269" s="1563">
        <f>unos!F123</f>
        <v>0</v>
      </c>
      <c r="X269" s="1594"/>
      <c r="Y269" s="1594"/>
      <c r="Z269" s="1594"/>
      <c r="AA269" s="1594"/>
      <c r="AB269" s="1594"/>
      <c r="AC269" s="1594"/>
      <c r="AD269" s="1594"/>
      <c r="AE269" s="1595"/>
      <c r="AF269" s="1563">
        <f>unos!G123</f>
        <v>0</v>
      </c>
      <c r="AG269" s="1594"/>
      <c r="AH269" s="1594"/>
      <c r="AI269" s="1594"/>
      <c r="AJ269" s="1594"/>
      <c r="AK269" s="1594"/>
      <c r="AL269" s="1594"/>
      <c r="AM269" s="1594"/>
      <c r="AN269" s="1595"/>
      <c r="AO269" s="1184">
        <f>IF(OR(W269=0,AF269=0),0,ROUND(AF269/W269,4))</f>
        <v>0</v>
      </c>
    </row>
    <row r="270" spans="1:41">
      <c r="A270" s="1574" t="str">
        <f>unos!A124</f>
        <v>595</v>
      </c>
      <c r="B270" s="1575"/>
      <c r="C270" s="1575"/>
      <c r="D270" s="1576"/>
      <c r="E270" s="1558" t="str">
        <f>unos!B124</f>
        <v>Povećanje vrijednsoti zaliha učinaka</v>
      </c>
      <c r="F270" s="1559"/>
      <c r="G270" s="1559"/>
      <c r="H270" s="1559"/>
      <c r="I270" s="1559"/>
      <c r="J270" s="1559"/>
      <c r="K270" s="1559"/>
      <c r="L270" s="1559"/>
      <c r="M270" s="1559"/>
      <c r="N270" s="1559"/>
      <c r="O270" s="1559"/>
      <c r="P270" s="1559"/>
      <c r="Q270" s="1559"/>
      <c r="R270" s="1559"/>
      <c r="S270" s="1559"/>
      <c r="T270" s="1559"/>
      <c r="U270" s="1559"/>
      <c r="V270" s="1559"/>
      <c r="W270" s="1563">
        <f>unos!F124</f>
        <v>0</v>
      </c>
      <c r="X270" s="1594"/>
      <c r="Y270" s="1594"/>
      <c r="Z270" s="1594"/>
      <c r="AA270" s="1594"/>
      <c r="AB270" s="1594"/>
      <c r="AC270" s="1594"/>
      <c r="AD270" s="1594"/>
      <c r="AE270" s="1595"/>
      <c r="AF270" s="1563">
        <f>unos!G124</f>
        <v>0</v>
      </c>
      <c r="AG270" s="1594"/>
      <c r="AH270" s="1594"/>
      <c r="AI270" s="1594"/>
      <c r="AJ270" s="1594"/>
      <c r="AK270" s="1594"/>
      <c r="AL270" s="1594"/>
      <c r="AM270" s="1594"/>
      <c r="AN270" s="1595"/>
      <c r="AO270" s="1184">
        <f>IF(OR(W270=0,AF270=0),0,ROUND(AF270/W270,4))</f>
        <v>0</v>
      </c>
    </row>
    <row r="271" spans="1:41">
      <c r="A271" s="1574" t="str">
        <f>unos!A125</f>
        <v>596</v>
      </c>
      <c r="B271" s="1575"/>
      <c r="C271" s="1575"/>
      <c r="D271" s="1576"/>
      <c r="E271" s="1558" t="str">
        <f>unos!B125</f>
        <v>Smanjenje vrijednosti zaliha učinaka</v>
      </c>
      <c r="F271" s="1559"/>
      <c r="G271" s="1559"/>
      <c r="H271" s="1559"/>
      <c r="I271" s="1559"/>
      <c r="J271" s="1559"/>
      <c r="K271" s="1559"/>
      <c r="L271" s="1559"/>
      <c r="M271" s="1559"/>
      <c r="N271" s="1559"/>
      <c r="O271" s="1559"/>
      <c r="P271" s="1559"/>
      <c r="Q271" s="1559"/>
      <c r="R271" s="1559"/>
      <c r="S271" s="1559"/>
      <c r="T271" s="1559"/>
      <c r="U271" s="1559"/>
      <c r="V271" s="1559"/>
      <c r="W271" s="1563">
        <f>unos!F125</f>
        <v>0</v>
      </c>
      <c r="X271" s="1594"/>
      <c r="Y271" s="1594"/>
      <c r="Z271" s="1594"/>
      <c r="AA271" s="1594"/>
      <c r="AB271" s="1594"/>
      <c r="AC271" s="1594"/>
      <c r="AD271" s="1594"/>
      <c r="AE271" s="1595"/>
      <c r="AF271" s="1563">
        <f>unos!G125</f>
        <v>0</v>
      </c>
      <c r="AG271" s="1594"/>
      <c r="AH271" s="1594"/>
      <c r="AI271" s="1594"/>
      <c r="AJ271" s="1594"/>
      <c r="AK271" s="1594"/>
      <c r="AL271" s="1594"/>
      <c r="AM271" s="1594"/>
      <c r="AN271" s="1595"/>
      <c r="AO271" s="1184">
        <f>IF(OR(W271=0,AF271=0),0,ROUND(AF271/W271,4))</f>
        <v>0</v>
      </c>
    </row>
    <row r="272" spans="1:41">
      <c r="A272" s="1577"/>
      <c r="B272" s="1577"/>
      <c r="C272" s="1577"/>
      <c r="D272" s="1577"/>
      <c r="E272" s="1167"/>
      <c r="F272" s="1168"/>
      <c r="G272" s="1168"/>
      <c r="H272" s="1168"/>
      <c r="I272" s="1168"/>
      <c r="J272" s="1168"/>
      <c r="K272" s="1168"/>
      <c r="L272" s="1168"/>
      <c r="M272" s="1168"/>
      <c r="N272" s="1168"/>
      <c r="O272" s="1168"/>
      <c r="P272" s="1168"/>
      <c r="Q272" s="1168"/>
      <c r="R272" s="1168"/>
      <c r="S272" s="1167"/>
      <c r="T272" s="1167"/>
      <c r="U272" s="1167"/>
      <c r="V272" s="1169" t="s">
        <v>1997</v>
      </c>
      <c r="W272" s="1617">
        <f>SUM(W268:W271)</f>
        <v>0</v>
      </c>
      <c r="X272" s="1618"/>
      <c r="Y272" s="1618"/>
      <c r="Z272" s="1618"/>
      <c r="AA272" s="1618"/>
      <c r="AB272" s="1618"/>
      <c r="AC272" s="1618"/>
      <c r="AD272" s="1618"/>
      <c r="AE272" s="1619"/>
      <c r="AF272" s="1617">
        <f>SUM(AF268:AF271)</f>
        <v>0</v>
      </c>
      <c r="AG272" s="1618"/>
      <c r="AH272" s="1618"/>
      <c r="AI272" s="1618"/>
      <c r="AJ272" s="1618"/>
      <c r="AK272" s="1618"/>
      <c r="AL272" s="1618"/>
      <c r="AM272" s="1618"/>
      <c r="AN272" s="1619"/>
      <c r="AO272" s="1185">
        <f>IF(OR(W272=0,AF272=0),0,ROUND(AF272/W272,4))</f>
        <v>0</v>
      </c>
    </row>
    <row r="274" spans="1:40">
      <c r="A274" s="1581"/>
      <c r="B274" s="1581"/>
      <c r="C274" s="1581"/>
      <c r="D274" s="1581"/>
      <c r="E274" s="1581"/>
      <c r="F274" s="1581"/>
      <c r="G274" s="1581"/>
      <c r="H274" s="1581"/>
      <c r="I274" s="1581"/>
      <c r="J274" s="1581"/>
      <c r="K274" s="1581"/>
      <c r="L274" s="1581"/>
      <c r="M274" s="1581"/>
      <c r="N274" s="1581"/>
      <c r="O274" s="1581"/>
      <c r="P274" s="1581"/>
      <c r="Q274" s="1581"/>
      <c r="R274" s="1581"/>
      <c r="S274" s="1581"/>
      <c r="T274" s="1581"/>
      <c r="U274" s="1581"/>
      <c r="V274" s="1581"/>
      <c r="W274" s="1581"/>
      <c r="X274" s="1581"/>
      <c r="Y274" s="1581"/>
      <c r="Z274" s="1581"/>
      <c r="AA274" s="1581"/>
      <c r="AB274" s="1581"/>
      <c r="AC274" s="1581"/>
      <c r="AD274" s="1581"/>
      <c r="AE274" s="1581"/>
      <c r="AF274" s="1581"/>
      <c r="AG274" s="1581"/>
      <c r="AH274" s="1581"/>
      <c r="AI274" s="1581"/>
      <c r="AJ274" s="1581"/>
      <c r="AK274" s="1581"/>
      <c r="AL274" s="1581"/>
      <c r="AM274" s="1581"/>
      <c r="AN274" s="1581"/>
    </row>
    <row r="275" spans="1:40">
      <c r="A275" s="1581"/>
      <c r="B275" s="1581"/>
      <c r="C275" s="1581"/>
      <c r="D275" s="1581"/>
      <c r="E275" s="1581"/>
      <c r="F275" s="1581"/>
      <c r="G275" s="1581"/>
      <c r="H275" s="1581"/>
      <c r="I275" s="1581"/>
      <c r="J275" s="1581"/>
      <c r="K275" s="1581"/>
      <c r="L275" s="1581"/>
      <c r="M275" s="1581"/>
      <c r="N275" s="1581"/>
      <c r="O275" s="1581"/>
      <c r="P275" s="1581"/>
      <c r="Q275" s="1581"/>
      <c r="R275" s="1581"/>
      <c r="S275" s="1581"/>
      <c r="T275" s="1581"/>
      <c r="U275" s="1581"/>
      <c r="V275" s="1581"/>
      <c r="W275" s="1581"/>
      <c r="X275" s="1581"/>
      <c r="Y275" s="1581"/>
      <c r="Z275" s="1581"/>
      <c r="AA275" s="1581"/>
      <c r="AB275" s="1581"/>
      <c r="AC275" s="1581"/>
      <c r="AD275" s="1581"/>
      <c r="AE275" s="1581"/>
      <c r="AF275" s="1581"/>
      <c r="AG275" s="1581"/>
      <c r="AH275" s="1581"/>
      <c r="AI275" s="1581"/>
      <c r="AJ275" s="1581"/>
      <c r="AK275" s="1581"/>
      <c r="AL275" s="1581"/>
      <c r="AM275" s="1581"/>
      <c r="AN275" s="1581"/>
    </row>
    <row r="276" spans="1:40">
      <c r="A276" s="1581"/>
      <c r="B276" s="1581"/>
      <c r="C276" s="1581"/>
      <c r="D276" s="1581"/>
      <c r="E276" s="1581"/>
      <c r="F276" s="1581"/>
      <c r="G276" s="1581"/>
      <c r="H276" s="1581"/>
      <c r="I276" s="1581"/>
      <c r="J276" s="1581"/>
      <c r="K276" s="1581"/>
      <c r="L276" s="1581"/>
      <c r="M276" s="1581"/>
      <c r="N276" s="1581"/>
      <c r="O276" s="1581"/>
      <c r="P276" s="1581"/>
      <c r="Q276" s="1581"/>
      <c r="R276" s="1581"/>
      <c r="S276" s="1581"/>
      <c r="T276" s="1581"/>
      <c r="U276" s="1581"/>
      <c r="V276" s="1581"/>
      <c r="W276" s="1581"/>
      <c r="X276" s="1581"/>
      <c r="Y276" s="1581"/>
      <c r="Z276" s="1581"/>
      <c r="AA276" s="1581"/>
      <c r="AB276" s="1581"/>
      <c r="AC276" s="1581"/>
      <c r="AD276" s="1581"/>
      <c r="AE276" s="1581"/>
      <c r="AF276" s="1581"/>
      <c r="AG276" s="1581"/>
      <c r="AH276" s="1581"/>
      <c r="AI276" s="1581"/>
      <c r="AJ276" s="1581"/>
      <c r="AK276" s="1581"/>
      <c r="AL276" s="1581"/>
      <c r="AM276" s="1581"/>
      <c r="AN276" s="1581"/>
    </row>
    <row r="277" spans="1:40">
      <c r="A277" s="1581"/>
      <c r="B277" s="1581"/>
      <c r="C277" s="1581"/>
      <c r="D277" s="1581"/>
      <c r="E277" s="1581"/>
      <c r="F277" s="1581"/>
      <c r="G277" s="1581"/>
      <c r="H277" s="1581"/>
      <c r="I277" s="1581"/>
      <c r="J277" s="1581"/>
      <c r="K277" s="1581"/>
      <c r="L277" s="1581"/>
      <c r="M277" s="1581"/>
      <c r="N277" s="1581"/>
      <c r="O277" s="1581"/>
      <c r="P277" s="1581"/>
      <c r="Q277" s="1581"/>
      <c r="R277" s="1581"/>
      <c r="S277" s="1581"/>
      <c r="T277" s="1581"/>
      <c r="U277" s="1581"/>
      <c r="V277" s="1581"/>
      <c r="W277" s="1581"/>
      <c r="X277" s="1581"/>
      <c r="Y277" s="1581"/>
      <c r="Z277" s="1581"/>
      <c r="AA277" s="1581"/>
      <c r="AB277" s="1581"/>
      <c r="AC277" s="1581"/>
      <c r="AD277" s="1581"/>
      <c r="AE277" s="1581"/>
      <c r="AF277" s="1581"/>
      <c r="AG277" s="1581"/>
      <c r="AH277" s="1581"/>
      <c r="AI277" s="1581"/>
      <c r="AJ277" s="1581"/>
      <c r="AK277" s="1581"/>
      <c r="AL277" s="1581"/>
      <c r="AM277" s="1581"/>
      <c r="AN277" s="1581"/>
    </row>
    <row r="278" spans="1:40">
      <c r="Q278" s="1179" t="s">
        <v>1942</v>
      </c>
    </row>
    <row r="279" spans="1:40">
      <c r="B279" s="1179" t="s">
        <v>71</v>
      </c>
      <c r="J279" s="1160"/>
    </row>
    <row r="281" spans="1:40">
      <c r="A281" s="828" t="s">
        <v>1933</v>
      </c>
      <c r="B281" s="828" t="s">
        <v>303</v>
      </c>
    </row>
    <row r="282" spans="1:40">
      <c r="B282" s="828" t="s">
        <v>2163</v>
      </c>
      <c r="M282" s="1596" t="s">
        <v>1952</v>
      </c>
      <c r="N282" s="1596"/>
      <c r="O282" s="1596"/>
      <c r="P282" s="1596"/>
      <c r="Q282" s="1596"/>
      <c r="R282" s="1596"/>
      <c r="S282" s="1596"/>
      <c r="T282" s="1596"/>
      <c r="U282" s="1596"/>
      <c r="V282" s="1596"/>
      <c r="W282" s="1596"/>
      <c r="X282" s="1596"/>
      <c r="Y282" s="1596"/>
      <c r="Z282" s="1596"/>
      <c r="AA282" s="1596"/>
      <c r="AB282" s="1596"/>
      <c r="AC282" s="1596"/>
      <c r="AD282" s="1596"/>
      <c r="AE282" s="1596"/>
      <c r="AF282" s="1596"/>
      <c r="AG282" s="1596"/>
      <c r="AH282" s="1596"/>
      <c r="AI282" s="1596"/>
      <c r="AJ282" s="1596"/>
      <c r="AK282" s="1596"/>
      <c r="AL282" s="1596"/>
      <c r="AM282" s="1596"/>
      <c r="AN282" s="1596"/>
    </row>
    <row r="283" spans="1:40">
      <c r="A283" s="1567" t="s">
        <v>1948</v>
      </c>
      <c r="B283" s="1567"/>
      <c r="C283" s="1597" t="s">
        <v>1947</v>
      </c>
      <c r="D283" s="1597"/>
      <c r="E283" s="1597"/>
      <c r="F283" s="1597"/>
      <c r="G283" s="1597"/>
      <c r="H283" s="1597"/>
      <c r="I283" s="1597"/>
      <c r="J283" s="1597"/>
      <c r="K283" s="1597"/>
      <c r="L283" s="1597"/>
      <c r="M283" s="1567" t="s">
        <v>1943</v>
      </c>
      <c r="N283" s="1567"/>
      <c r="O283" s="1567"/>
      <c r="P283" s="1567"/>
      <c r="Q283" s="1567"/>
      <c r="R283" s="1567"/>
      <c r="S283" s="1567"/>
      <c r="T283" s="1567" t="s">
        <v>1944</v>
      </c>
      <c r="U283" s="1567"/>
      <c r="V283" s="1567"/>
      <c r="W283" s="1567"/>
      <c r="X283" s="1567"/>
      <c r="Y283" s="1567"/>
      <c r="Z283" s="1567"/>
      <c r="AA283" s="1567" t="s">
        <v>1945</v>
      </c>
      <c r="AB283" s="1567"/>
      <c r="AC283" s="1567"/>
      <c r="AD283" s="1567"/>
      <c r="AE283" s="1567"/>
      <c r="AF283" s="1567"/>
      <c r="AG283" s="1567"/>
      <c r="AH283" s="1597" t="s">
        <v>1946</v>
      </c>
      <c r="AI283" s="1597"/>
      <c r="AJ283" s="1597"/>
      <c r="AK283" s="1597"/>
      <c r="AL283" s="1597"/>
      <c r="AM283" s="1597"/>
      <c r="AN283" s="1597"/>
    </row>
    <row r="284" spans="1:40">
      <c r="A284" s="1590" t="str">
        <f>unos!A171</f>
        <v>010</v>
      </c>
      <c r="B284" s="1624"/>
      <c r="C284" s="1592" t="str">
        <f>unos!B171</f>
        <v>Kapitalizirana ulaganja u razvoj</v>
      </c>
      <c r="D284" s="1625"/>
      <c r="E284" s="1625"/>
      <c r="F284" s="1625"/>
      <c r="G284" s="1625"/>
      <c r="H284" s="1625"/>
      <c r="I284" s="1625"/>
      <c r="J284" s="1625"/>
      <c r="K284" s="1625"/>
      <c r="L284" s="1625"/>
      <c r="M284" s="1589">
        <f>unos!C171</f>
        <v>0</v>
      </c>
      <c r="N284" s="1589"/>
      <c r="O284" s="1589"/>
      <c r="P284" s="1589"/>
      <c r="Q284" s="1589"/>
      <c r="R284" s="1589"/>
      <c r="S284" s="1589"/>
      <c r="T284" s="1589"/>
      <c r="U284" s="1589"/>
      <c r="V284" s="1589"/>
      <c r="W284" s="1589"/>
      <c r="X284" s="1589"/>
      <c r="Y284" s="1589"/>
      <c r="Z284" s="1589"/>
      <c r="AA284" s="1589"/>
      <c r="AB284" s="1589"/>
      <c r="AC284" s="1589"/>
      <c r="AD284" s="1589"/>
      <c r="AE284" s="1589"/>
      <c r="AF284" s="1589"/>
      <c r="AG284" s="1589"/>
      <c r="AH284" s="1589">
        <f>M284+T284-AA284</f>
        <v>0</v>
      </c>
      <c r="AI284" s="1589"/>
      <c r="AJ284" s="1589"/>
      <c r="AK284" s="1589"/>
      <c r="AL284" s="1589"/>
      <c r="AM284" s="1589"/>
      <c r="AN284" s="1589"/>
    </row>
    <row r="285" spans="1:40">
      <c r="A285" s="1590" t="str">
        <f>unos!A172</f>
        <v>011</v>
      </c>
      <c r="B285" s="1624"/>
      <c r="C285" s="1592" t="str">
        <f>unos!B172</f>
        <v>Koncesije, patenti,licence, zašt.znakovi i dr</v>
      </c>
      <c r="D285" s="1625"/>
      <c r="E285" s="1625"/>
      <c r="F285" s="1625"/>
      <c r="G285" s="1625"/>
      <c r="H285" s="1625"/>
      <c r="I285" s="1625"/>
      <c r="J285" s="1625"/>
      <c r="K285" s="1625"/>
      <c r="L285" s="1625"/>
      <c r="M285" s="1589">
        <f>unos!C172</f>
        <v>0</v>
      </c>
      <c r="N285" s="1589"/>
      <c r="O285" s="1589"/>
      <c r="P285" s="1589"/>
      <c r="Q285" s="1589"/>
      <c r="R285" s="1589"/>
      <c r="S285" s="1589"/>
      <c r="T285" s="1589"/>
      <c r="U285" s="1589"/>
      <c r="V285" s="1589"/>
      <c r="W285" s="1589"/>
      <c r="X285" s="1589"/>
      <c r="Y285" s="1589"/>
      <c r="Z285" s="1589"/>
      <c r="AA285" s="1589"/>
      <c r="AB285" s="1589"/>
      <c r="AC285" s="1589"/>
      <c r="AD285" s="1589"/>
      <c r="AE285" s="1589"/>
      <c r="AF285" s="1589"/>
      <c r="AG285" s="1589"/>
      <c r="AH285" s="1589">
        <f t="shared" ref="AH285:AH290" si="12">M285+T285-AA285</f>
        <v>0</v>
      </c>
      <c r="AI285" s="1589"/>
      <c r="AJ285" s="1589"/>
      <c r="AK285" s="1589"/>
      <c r="AL285" s="1589"/>
      <c r="AM285" s="1589"/>
      <c r="AN285" s="1589"/>
    </row>
    <row r="286" spans="1:40">
      <c r="A286" s="1590" t="str">
        <f>unos!A173</f>
        <v>012</v>
      </c>
      <c r="B286" s="1624"/>
      <c r="C286" s="1592" t="str">
        <f>unos!B173</f>
        <v>Goodwill</v>
      </c>
      <c r="D286" s="1625"/>
      <c r="E286" s="1625"/>
      <c r="F286" s="1625"/>
      <c r="G286" s="1625"/>
      <c r="H286" s="1625"/>
      <c r="I286" s="1625"/>
      <c r="J286" s="1625"/>
      <c r="K286" s="1625"/>
      <c r="L286" s="1625"/>
      <c r="M286" s="1589">
        <f>unos!C173</f>
        <v>0</v>
      </c>
      <c r="N286" s="1589"/>
      <c r="O286" s="1589"/>
      <c r="P286" s="1589"/>
      <c r="Q286" s="1589"/>
      <c r="R286" s="1589"/>
      <c r="S286" s="1589"/>
      <c r="T286" s="1589"/>
      <c r="U286" s="1589"/>
      <c r="V286" s="1589"/>
      <c r="W286" s="1589"/>
      <c r="X286" s="1589"/>
      <c r="Y286" s="1589"/>
      <c r="Z286" s="1589"/>
      <c r="AA286" s="1589"/>
      <c r="AB286" s="1589"/>
      <c r="AC286" s="1589"/>
      <c r="AD286" s="1589"/>
      <c r="AE286" s="1589"/>
      <c r="AF286" s="1589"/>
      <c r="AG286" s="1589"/>
      <c r="AH286" s="1589">
        <f t="shared" si="12"/>
        <v>0</v>
      </c>
      <c r="AI286" s="1589"/>
      <c r="AJ286" s="1589"/>
      <c r="AK286" s="1589"/>
      <c r="AL286" s="1589"/>
      <c r="AM286" s="1589"/>
      <c r="AN286" s="1589"/>
    </row>
    <row r="287" spans="1:40">
      <c r="A287" s="1590" t="str">
        <f>unos!A174</f>
        <v>013</v>
      </c>
      <c r="B287" s="1624"/>
      <c r="C287" s="1592" t="str">
        <f>unos!B174</f>
        <v>Ulaganja na tiđim sredstvima</v>
      </c>
      <c r="D287" s="1625"/>
      <c r="E287" s="1625"/>
      <c r="F287" s="1625"/>
      <c r="G287" s="1625"/>
      <c r="H287" s="1625"/>
      <c r="I287" s="1625"/>
      <c r="J287" s="1625"/>
      <c r="K287" s="1625"/>
      <c r="L287" s="1625"/>
      <c r="M287" s="1589">
        <f>unos!C174</f>
        <v>0</v>
      </c>
      <c r="N287" s="1589"/>
      <c r="O287" s="1589"/>
      <c r="P287" s="1589"/>
      <c r="Q287" s="1589"/>
      <c r="R287" s="1589"/>
      <c r="S287" s="1589"/>
      <c r="T287" s="1589"/>
      <c r="U287" s="1589"/>
      <c r="V287" s="1589"/>
      <c r="W287" s="1589"/>
      <c r="X287" s="1589"/>
      <c r="Y287" s="1589"/>
      <c r="Z287" s="1589"/>
      <c r="AA287" s="1589"/>
      <c r="AB287" s="1589"/>
      <c r="AC287" s="1589"/>
      <c r="AD287" s="1589"/>
      <c r="AE287" s="1589"/>
      <c r="AF287" s="1589"/>
      <c r="AG287" s="1589"/>
      <c r="AH287" s="1589">
        <f t="shared" si="12"/>
        <v>0</v>
      </c>
      <c r="AI287" s="1589"/>
      <c r="AJ287" s="1589"/>
      <c r="AK287" s="1589"/>
      <c r="AL287" s="1589"/>
      <c r="AM287" s="1589"/>
      <c r="AN287" s="1589"/>
    </row>
    <row r="288" spans="1:40">
      <c r="A288" s="1590" t="str">
        <f>unos!A175</f>
        <v>014</v>
      </c>
      <c r="B288" s="1624"/>
      <c r="C288" s="1592" t="str">
        <f>unos!B175</f>
        <v>Ostala nematerijalna sredstva</v>
      </c>
      <c r="D288" s="1625"/>
      <c r="E288" s="1625"/>
      <c r="F288" s="1625"/>
      <c r="G288" s="1625"/>
      <c r="H288" s="1625"/>
      <c r="I288" s="1625"/>
      <c r="J288" s="1625"/>
      <c r="K288" s="1625"/>
      <c r="L288" s="1625"/>
      <c r="M288" s="1589">
        <f>unos!C175</f>
        <v>0</v>
      </c>
      <c r="N288" s="1589"/>
      <c r="O288" s="1589"/>
      <c r="P288" s="1589"/>
      <c r="Q288" s="1589"/>
      <c r="R288" s="1589"/>
      <c r="S288" s="1589"/>
      <c r="T288" s="1589"/>
      <c r="U288" s="1589"/>
      <c r="V288" s="1589"/>
      <c r="W288" s="1589"/>
      <c r="X288" s="1589"/>
      <c r="Y288" s="1589"/>
      <c r="Z288" s="1589"/>
      <c r="AA288" s="1589"/>
      <c r="AB288" s="1589"/>
      <c r="AC288" s="1589"/>
      <c r="AD288" s="1589"/>
      <c r="AE288" s="1589"/>
      <c r="AF288" s="1589"/>
      <c r="AG288" s="1589"/>
      <c r="AH288" s="1589">
        <f t="shared" si="12"/>
        <v>0</v>
      </c>
      <c r="AI288" s="1589"/>
      <c r="AJ288" s="1589"/>
      <c r="AK288" s="1589"/>
      <c r="AL288" s="1589"/>
      <c r="AM288" s="1589"/>
      <c r="AN288" s="1589"/>
    </row>
    <row r="289" spans="1:41">
      <c r="A289" s="1590" t="str">
        <f>unos!A176</f>
        <v>015</v>
      </c>
      <c r="B289" s="1624"/>
      <c r="C289" s="1592" t="str">
        <f>unos!B176</f>
        <v>Nematerijalna sredstva u pripremi</v>
      </c>
      <c r="D289" s="1625"/>
      <c r="E289" s="1625"/>
      <c r="F289" s="1625"/>
      <c r="G289" s="1625"/>
      <c r="H289" s="1625"/>
      <c r="I289" s="1625"/>
      <c r="J289" s="1625"/>
      <c r="K289" s="1625"/>
      <c r="L289" s="1625"/>
      <c r="M289" s="1589">
        <f>unos!C176</f>
        <v>0</v>
      </c>
      <c r="N289" s="1589"/>
      <c r="O289" s="1589"/>
      <c r="P289" s="1589"/>
      <c r="Q289" s="1589"/>
      <c r="R289" s="1589"/>
      <c r="S289" s="1589"/>
      <c r="T289" s="1589"/>
      <c r="U289" s="1589"/>
      <c r="V289" s="1589"/>
      <c r="W289" s="1589"/>
      <c r="X289" s="1589"/>
      <c r="Y289" s="1589"/>
      <c r="Z289" s="1589"/>
      <c r="AA289" s="1589"/>
      <c r="AB289" s="1589"/>
      <c r="AC289" s="1589"/>
      <c r="AD289" s="1589"/>
      <c r="AE289" s="1589"/>
      <c r="AF289" s="1589"/>
      <c r="AG289" s="1589"/>
      <c r="AH289" s="1589">
        <f t="shared" si="12"/>
        <v>0</v>
      </c>
      <c r="AI289" s="1589"/>
      <c r="AJ289" s="1589"/>
      <c r="AK289" s="1589"/>
      <c r="AL289" s="1589"/>
      <c r="AM289" s="1589"/>
      <c r="AN289" s="1589"/>
    </row>
    <row r="290" spans="1:41">
      <c r="A290" s="1590" t="str">
        <f>unos!A177</f>
        <v>017</v>
      </c>
      <c r="B290" s="1624"/>
      <c r="C290" s="1592" t="str">
        <f>unos!B177</f>
        <v>Avansi za nematerijalna sredstva</v>
      </c>
      <c r="D290" s="1625"/>
      <c r="E290" s="1625"/>
      <c r="F290" s="1625"/>
      <c r="G290" s="1625"/>
      <c r="H290" s="1625"/>
      <c r="I290" s="1625"/>
      <c r="J290" s="1625"/>
      <c r="K290" s="1625"/>
      <c r="L290" s="1625"/>
      <c r="M290" s="1589">
        <f>unos!C177</f>
        <v>0</v>
      </c>
      <c r="N290" s="1589"/>
      <c r="O290" s="1589"/>
      <c r="P290" s="1589"/>
      <c r="Q290" s="1589"/>
      <c r="R290" s="1589"/>
      <c r="S290" s="1589"/>
      <c r="T290" s="1589"/>
      <c r="U290" s="1589"/>
      <c r="V290" s="1589"/>
      <c r="W290" s="1589"/>
      <c r="X290" s="1589"/>
      <c r="Y290" s="1589"/>
      <c r="Z290" s="1589"/>
      <c r="AA290" s="1589"/>
      <c r="AB290" s="1589"/>
      <c r="AC290" s="1589"/>
      <c r="AD290" s="1589"/>
      <c r="AE290" s="1589"/>
      <c r="AF290" s="1589"/>
      <c r="AG290" s="1589"/>
      <c r="AH290" s="1589">
        <f t="shared" si="12"/>
        <v>0</v>
      </c>
      <c r="AI290" s="1589"/>
      <c r="AJ290" s="1589"/>
      <c r="AK290" s="1589"/>
      <c r="AL290" s="1589"/>
      <c r="AM290" s="1589"/>
      <c r="AN290" s="1589"/>
    </row>
    <row r="291" spans="1:41">
      <c r="A291" s="1173"/>
      <c r="B291" s="1174"/>
      <c r="D291" s="1175"/>
      <c r="E291" s="1175"/>
      <c r="F291" s="1175"/>
      <c r="G291" s="1175"/>
      <c r="H291" s="1175"/>
      <c r="I291" s="1175"/>
      <c r="J291" s="1175"/>
      <c r="K291" s="1175"/>
      <c r="L291" s="1165" t="s">
        <v>222</v>
      </c>
      <c r="M291" s="1588">
        <f>SUM(M284:S290)</f>
        <v>0</v>
      </c>
      <c r="N291" s="1588"/>
      <c r="O291" s="1588"/>
      <c r="P291" s="1588"/>
      <c r="Q291" s="1588"/>
      <c r="R291" s="1588"/>
      <c r="S291" s="1588"/>
      <c r="T291" s="1588">
        <f>SUM(T284:Z290)</f>
        <v>0</v>
      </c>
      <c r="U291" s="1588"/>
      <c r="V291" s="1588"/>
      <c r="W291" s="1588"/>
      <c r="X291" s="1588"/>
      <c r="Y291" s="1588"/>
      <c r="Z291" s="1588"/>
      <c r="AA291" s="1588">
        <f>SUM(AA284:AG290)</f>
        <v>0</v>
      </c>
      <c r="AB291" s="1588"/>
      <c r="AC291" s="1588"/>
      <c r="AD291" s="1588"/>
      <c r="AE291" s="1588"/>
      <c r="AF291" s="1588"/>
      <c r="AG291" s="1588"/>
      <c r="AH291" s="1588">
        <f>SUM(AH284:AN290)</f>
        <v>0</v>
      </c>
      <c r="AI291" s="1588"/>
      <c r="AJ291" s="1588"/>
      <c r="AK291" s="1588"/>
      <c r="AL291" s="1588"/>
      <c r="AM291" s="1588"/>
      <c r="AN291" s="1588"/>
      <c r="AO291" s="1278">
        <f>IF(AH291-'bilans-stanja'!Z27&lt;&gt;0,"GRESKA",AH291-'bilans-stanja'!Z27)</f>
        <v>0</v>
      </c>
    </row>
    <row r="293" spans="1:41">
      <c r="B293" s="828" t="s">
        <v>2015</v>
      </c>
      <c r="M293" s="1596" t="s">
        <v>1952</v>
      </c>
      <c r="N293" s="1596"/>
      <c r="O293" s="1596"/>
      <c r="P293" s="1596"/>
      <c r="Q293" s="1596"/>
      <c r="R293" s="1596"/>
      <c r="S293" s="1596"/>
      <c r="T293" s="1596"/>
      <c r="U293" s="1596"/>
      <c r="V293" s="1596"/>
      <c r="W293" s="1596"/>
      <c r="X293" s="1596"/>
      <c r="Y293" s="1596"/>
      <c r="Z293" s="1596"/>
      <c r="AA293" s="1596"/>
      <c r="AB293" s="1596"/>
      <c r="AC293" s="1596"/>
      <c r="AD293" s="1596"/>
      <c r="AE293" s="1596"/>
      <c r="AF293" s="1596"/>
      <c r="AG293" s="1596"/>
      <c r="AH293" s="1596"/>
      <c r="AI293" s="1596"/>
      <c r="AJ293" s="1596"/>
      <c r="AK293" s="1596"/>
      <c r="AL293" s="1596"/>
      <c r="AM293" s="1596"/>
      <c r="AN293" s="1596"/>
    </row>
    <row r="294" spans="1:41">
      <c r="A294" s="1567" t="s">
        <v>1948</v>
      </c>
      <c r="B294" s="1567"/>
      <c r="C294" s="1597" t="s">
        <v>1947</v>
      </c>
      <c r="D294" s="1597"/>
      <c r="E294" s="1597"/>
      <c r="F294" s="1597"/>
      <c r="G294" s="1597"/>
      <c r="H294" s="1597"/>
      <c r="I294" s="1597"/>
      <c r="J294" s="1597"/>
      <c r="K294" s="1597"/>
      <c r="L294" s="1597"/>
      <c r="M294" s="1567" t="s">
        <v>1943</v>
      </c>
      <c r="N294" s="1567"/>
      <c r="O294" s="1567"/>
      <c r="P294" s="1567"/>
      <c r="Q294" s="1567"/>
      <c r="R294" s="1567"/>
      <c r="S294" s="1567"/>
      <c r="T294" s="1567" t="s">
        <v>1945</v>
      </c>
      <c r="U294" s="1567"/>
      <c r="V294" s="1567"/>
      <c r="W294" s="1567"/>
      <c r="X294" s="1567"/>
      <c r="Y294" s="1567"/>
      <c r="Z294" s="1567"/>
      <c r="AA294" s="1601" t="s">
        <v>198</v>
      </c>
      <c r="AB294" s="1602"/>
      <c r="AC294" s="1602"/>
      <c r="AD294" s="1602"/>
      <c r="AE294" s="1602"/>
      <c r="AF294" s="1602"/>
      <c r="AG294" s="1603"/>
      <c r="AH294" s="1597" t="s">
        <v>1946</v>
      </c>
      <c r="AI294" s="1597"/>
      <c r="AJ294" s="1597"/>
      <c r="AK294" s="1597"/>
      <c r="AL294" s="1597"/>
      <c r="AM294" s="1597"/>
      <c r="AN294" s="1597"/>
    </row>
    <row r="295" spans="1:41">
      <c r="A295" s="1626" t="str">
        <f>unos!A171</f>
        <v>010</v>
      </c>
      <c r="B295" s="1591"/>
      <c r="C295" s="1592" t="str">
        <f>unos!B171</f>
        <v>Kapitalizirana ulaganja u razvoj</v>
      </c>
      <c r="D295" s="1593"/>
      <c r="E295" s="1593"/>
      <c r="F295" s="1593"/>
      <c r="G295" s="1593"/>
      <c r="H295" s="1593"/>
      <c r="I295" s="1593"/>
      <c r="J295" s="1593"/>
      <c r="K295" s="1593"/>
      <c r="L295" s="1593"/>
      <c r="M295" s="1589">
        <f>unos!D171</f>
        <v>0</v>
      </c>
      <c r="N295" s="1589"/>
      <c r="O295" s="1589"/>
      <c r="P295" s="1589"/>
      <c r="Q295" s="1589"/>
      <c r="R295" s="1589"/>
      <c r="S295" s="1589"/>
      <c r="T295" s="1589"/>
      <c r="U295" s="1589"/>
      <c r="V295" s="1589"/>
      <c r="W295" s="1589"/>
      <c r="X295" s="1589"/>
      <c r="Y295" s="1589"/>
      <c r="Z295" s="1589"/>
      <c r="AA295" s="1589"/>
      <c r="AB295" s="1589"/>
      <c r="AC295" s="1589"/>
      <c r="AD295" s="1589"/>
      <c r="AE295" s="1589"/>
      <c r="AF295" s="1589"/>
      <c r="AG295" s="1589"/>
      <c r="AH295" s="1589">
        <f>M295+AA295-T295</f>
        <v>0</v>
      </c>
      <c r="AI295" s="1589"/>
      <c r="AJ295" s="1589"/>
      <c r="AK295" s="1589"/>
      <c r="AL295" s="1589"/>
      <c r="AM295" s="1589"/>
      <c r="AN295" s="1589"/>
    </row>
    <row r="296" spans="1:41">
      <c r="A296" s="1626" t="str">
        <f>unos!A172</f>
        <v>011</v>
      </c>
      <c r="B296" s="1591"/>
      <c r="C296" s="1592" t="str">
        <f>unos!B172</f>
        <v>Koncesije, patenti,licence, zašt.znakovi i dr</v>
      </c>
      <c r="D296" s="1593"/>
      <c r="E296" s="1593"/>
      <c r="F296" s="1593"/>
      <c r="G296" s="1593"/>
      <c r="H296" s="1593"/>
      <c r="I296" s="1593"/>
      <c r="J296" s="1593"/>
      <c r="K296" s="1593"/>
      <c r="L296" s="1593"/>
      <c r="M296" s="1589">
        <f>unos!D172</f>
        <v>0</v>
      </c>
      <c r="N296" s="1589"/>
      <c r="O296" s="1589"/>
      <c r="P296" s="1589"/>
      <c r="Q296" s="1589"/>
      <c r="R296" s="1589"/>
      <c r="S296" s="1589"/>
      <c r="T296" s="1589"/>
      <c r="U296" s="1589"/>
      <c r="V296" s="1589"/>
      <c r="W296" s="1589"/>
      <c r="X296" s="1589"/>
      <c r="Y296" s="1589"/>
      <c r="Z296" s="1589"/>
      <c r="AA296" s="1589"/>
      <c r="AB296" s="1589"/>
      <c r="AC296" s="1589"/>
      <c r="AD296" s="1589"/>
      <c r="AE296" s="1589"/>
      <c r="AF296" s="1589"/>
      <c r="AG296" s="1589"/>
      <c r="AH296" s="1589">
        <f t="shared" ref="AH296:AH301" si="13">M296+AA296-T296</f>
        <v>0</v>
      </c>
      <c r="AI296" s="1589"/>
      <c r="AJ296" s="1589"/>
      <c r="AK296" s="1589"/>
      <c r="AL296" s="1589"/>
      <c r="AM296" s="1589"/>
      <c r="AN296" s="1589"/>
    </row>
    <row r="297" spans="1:41">
      <c r="A297" s="1626" t="str">
        <f>unos!A173</f>
        <v>012</v>
      </c>
      <c r="B297" s="1591"/>
      <c r="C297" s="1592" t="str">
        <f>unos!B173</f>
        <v>Goodwill</v>
      </c>
      <c r="D297" s="1593"/>
      <c r="E297" s="1593"/>
      <c r="F297" s="1593"/>
      <c r="G297" s="1593"/>
      <c r="H297" s="1593"/>
      <c r="I297" s="1593"/>
      <c r="J297" s="1593"/>
      <c r="K297" s="1593"/>
      <c r="L297" s="1593"/>
      <c r="M297" s="1589">
        <f>unos!D173</f>
        <v>0</v>
      </c>
      <c r="N297" s="1589"/>
      <c r="O297" s="1589"/>
      <c r="P297" s="1589"/>
      <c r="Q297" s="1589"/>
      <c r="R297" s="1589"/>
      <c r="S297" s="1589"/>
      <c r="T297" s="1589"/>
      <c r="U297" s="1589"/>
      <c r="V297" s="1589"/>
      <c r="W297" s="1589"/>
      <c r="X297" s="1589"/>
      <c r="Y297" s="1589"/>
      <c r="Z297" s="1589"/>
      <c r="AA297" s="1589"/>
      <c r="AB297" s="1589"/>
      <c r="AC297" s="1589"/>
      <c r="AD297" s="1589"/>
      <c r="AE297" s="1589"/>
      <c r="AF297" s="1589"/>
      <c r="AG297" s="1589"/>
      <c r="AH297" s="1589">
        <f t="shared" si="13"/>
        <v>0</v>
      </c>
      <c r="AI297" s="1589"/>
      <c r="AJ297" s="1589"/>
      <c r="AK297" s="1589"/>
      <c r="AL297" s="1589"/>
      <c r="AM297" s="1589"/>
      <c r="AN297" s="1589"/>
    </row>
    <row r="298" spans="1:41">
      <c r="A298" s="1626" t="str">
        <f>unos!A174</f>
        <v>013</v>
      </c>
      <c r="B298" s="1591"/>
      <c r="C298" s="1592" t="str">
        <f>unos!B174</f>
        <v>Ulaganja na tiđim sredstvima</v>
      </c>
      <c r="D298" s="1593"/>
      <c r="E298" s="1593"/>
      <c r="F298" s="1593"/>
      <c r="G298" s="1593"/>
      <c r="H298" s="1593"/>
      <c r="I298" s="1593"/>
      <c r="J298" s="1593"/>
      <c r="K298" s="1593"/>
      <c r="L298" s="1593"/>
      <c r="M298" s="1589">
        <f>unos!D174</f>
        <v>0</v>
      </c>
      <c r="N298" s="1589"/>
      <c r="O298" s="1589"/>
      <c r="P298" s="1589"/>
      <c r="Q298" s="1589"/>
      <c r="R298" s="1589"/>
      <c r="S298" s="1589"/>
      <c r="T298" s="1589"/>
      <c r="U298" s="1589"/>
      <c r="V298" s="1589"/>
      <c r="W298" s="1589"/>
      <c r="X298" s="1589"/>
      <c r="Y298" s="1589"/>
      <c r="Z298" s="1589"/>
      <c r="AA298" s="1589"/>
      <c r="AB298" s="1589"/>
      <c r="AC298" s="1589"/>
      <c r="AD298" s="1589"/>
      <c r="AE298" s="1589"/>
      <c r="AF298" s="1589"/>
      <c r="AG298" s="1589"/>
      <c r="AH298" s="1589">
        <f t="shared" si="13"/>
        <v>0</v>
      </c>
      <c r="AI298" s="1589"/>
      <c r="AJ298" s="1589"/>
      <c r="AK298" s="1589"/>
      <c r="AL298" s="1589"/>
      <c r="AM298" s="1589"/>
      <c r="AN298" s="1589"/>
    </row>
    <row r="299" spans="1:41">
      <c r="A299" s="1626" t="str">
        <f>unos!A175</f>
        <v>014</v>
      </c>
      <c r="B299" s="1591"/>
      <c r="C299" s="1592" t="str">
        <f>unos!B175</f>
        <v>Ostala nematerijalna sredstva</v>
      </c>
      <c r="D299" s="1593"/>
      <c r="E299" s="1593"/>
      <c r="F299" s="1593"/>
      <c r="G299" s="1593"/>
      <c r="H299" s="1593"/>
      <c r="I299" s="1593"/>
      <c r="J299" s="1593"/>
      <c r="K299" s="1593"/>
      <c r="L299" s="1593"/>
      <c r="M299" s="1589">
        <f>unos!D175</f>
        <v>0</v>
      </c>
      <c r="N299" s="1589"/>
      <c r="O299" s="1589"/>
      <c r="P299" s="1589"/>
      <c r="Q299" s="1589"/>
      <c r="R299" s="1589"/>
      <c r="S299" s="1589"/>
      <c r="T299" s="1589"/>
      <c r="U299" s="1589"/>
      <c r="V299" s="1589"/>
      <c r="W299" s="1589"/>
      <c r="X299" s="1589"/>
      <c r="Y299" s="1589"/>
      <c r="Z299" s="1589"/>
      <c r="AA299" s="1589"/>
      <c r="AB299" s="1589"/>
      <c r="AC299" s="1589"/>
      <c r="AD299" s="1589"/>
      <c r="AE299" s="1589"/>
      <c r="AF299" s="1589"/>
      <c r="AG299" s="1589"/>
      <c r="AH299" s="1589">
        <f t="shared" si="13"/>
        <v>0</v>
      </c>
      <c r="AI299" s="1589"/>
      <c r="AJ299" s="1589"/>
      <c r="AK299" s="1589"/>
      <c r="AL299" s="1589"/>
      <c r="AM299" s="1589"/>
      <c r="AN299" s="1589"/>
    </row>
    <row r="300" spans="1:41">
      <c r="A300" s="1626" t="str">
        <f>unos!A176</f>
        <v>015</v>
      </c>
      <c r="B300" s="1591"/>
      <c r="C300" s="1592" t="str">
        <f>unos!B176</f>
        <v>Nematerijalna sredstva u pripremi</v>
      </c>
      <c r="D300" s="1593"/>
      <c r="E300" s="1593"/>
      <c r="F300" s="1593"/>
      <c r="G300" s="1593"/>
      <c r="H300" s="1593"/>
      <c r="I300" s="1593"/>
      <c r="J300" s="1593"/>
      <c r="K300" s="1593"/>
      <c r="L300" s="1593"/>
      <c r="M300" s="1589">
        <f>unos!D176</f>
        <v>0</v>
      </c>
      <c r="N300" s="1589"/>
      <c r="O300" s="1589"/>
      <c r="P300" s="1589"/>
      <c r="Q300" s="1589"/>
      <c r="R300" s="1589"/>
      <c r="S300" s="1589"/>
      <c r="T300" s="1589"/>
      <c r="U300" s="1589"/>
      <c r="V300" s="1589"/>
      <c r="W300" s="1589"/>
      <c r="X300" s="1589"/>
      <c r="Y300" s="1589"/>
      <c r="Z300" s="1589"/>
      <c r="AA300" s="1589"/>
      <c r="AB300" s="1589"/>
      <c r="AC300" s="1589"/>
      <c r="AD300" s="1589"/>
      <c r="AE300" s="1589"/>
      <c r="AF300" s="1589"/>
      <c r="AG300" s="1589"/>
      <c r="AH300" s="1589">
        <f t="shared" si="13"/>
        <v>0</v>
      </c>
      <c r="AI300" s="1589"/>
      <c r="AJ300" s="1589"/>
      <c r="AK300" s="1589"/>
      <c r="AL300" s="1589"/>
      <c r="AM300" s="1589"/>
      <c r="AN300" s="1589"/>
    </row>
    <row r="301" spans="1:41">
      <c r="A301" s="1626" t="str">
        <f>unos!A177</f>
        <v>017</v>
      </c>
      <c r="B301" s="1591"/>
      <c r="C301" s="1592" t="str">
        <f>unos!B177</f>
        <v>Avansi za nematerijalna sredstva</v>
      </c>
      <c r="D301" s="1593"/>
      <c r="E301" s="1593"/>
      <c r="F301" s="1593"/>
      <c r="G301" s="1593"/>
      <c r="H301" s="1593"/>
      <c r="I301" s="1593"/>
      <c r="J301" s="1593"/>
      <c r="K301" s="1593"/>
      <c r="L301" s="1593"/>
      <c r="M301" s="1589">
        <f>unos!D177</f>
        <v>0</v>
      </c>
      <c r="N301" s="1589"/>
      <c r="O301" s="1589"/>
      <c r="P301" s="1589"/>
      <c r="Q301" s="1589"/>
      <c r="R301" s="1589"/>
      <c r="S301" s="1589"/>
      <c r="T301" s="1589"/>
      <c r="U301" s="1589"/>
      <c r="V301" s="1589"/>
      <c r="W301" s="1589"/>
      <c r="X301" s="1589"/>
      <c r="Y301" s="1589"/>
      <c r="Z301" s="1589"/>
      <c r="AA301" s="1589"/>
      <c r="AB301" s="1589"/>
      <c r="AC301" s="1589"/>
      <c r="AD301" s="1589"/>
      <c r="AE301" s="1589"/>
      <c r="AF301" s="1589"/>
      <c r="AG301" s="1589"/>
      <c r="AH301" s="1589">
        <f t="shared" si="13"/>
        <v>0</v>
      </c>
      <c r="AI301" s="1589"/>
      <c r="AJ301" s="1589"/>
      <c r="AK301" s="1589"/>
      <c r="AL301" s="1589"/>
      <c r="AM301" s="1589"/>
      <c r="AN301" s="1589"/>
    </row>
    <row r="302" spans="1:41">
      <c r="A302" s="1173"/>
      <c r="B302" s="1174"/>
      <c r="D302" s="1175"/>
      <c r="E302" s="1175"/>
      <c r="F302" s="1175"/>
      <c r="G302" s="1175"/>
      <c r="H302" s="1175"/>
      <c r="I302" s="1175"/>
      <c r="J302" s="1175"/>
      <c r="K302" s="1175"/>
      <c r="L302" s="1165" t="s">
        <v>222</v>
      </c>
      <c r="M302" s="1600">
        <f>SUM(M295:S301)</f>
        <v>0</v>
      </c>
      <c r="N302" s="1600"/>
      <c r="O302" s="1600"/>
      <c r="P302" s="1600"/>
      <c r="Q302" s="1600"/>
      <c r="R302" s="1600"/>
      <c r="S302" s="1600"/>
      <c r="T302" s="1600">
        <f>SUM(T295:Z301)</f>
        <v>0</v>
      </c>
      <c r="U302" s="1600"/>
      <c r="V302" s="1600"/>
      <c r="W302" s="1600"/>
      <c r="X302" s="1600"/>
      <c r="Y302" s="1600"/>
      <c r="Z302" s="1600"/>
      <c r="AA302" s="1600">
        <f>SUM(AA295:AG301)</f>
        <v>0</v>
      </c>
      <c r="AB302" s="1600"/>
      <c r="AC302" s="1600"/>
      <c r="AD302" s="1600"/>
      <c r="AE302" s="1600"/>
      <c r="AF302" s="1600"/>
      <c r="AG302" s="1600"/>
      <c r="AH302" s="1600">
        <f>SUM(AH295:AN301)</f>
        <v>0</v>
      </c>
      <c r="AI302" s="1600"/>
      <c r="AJ302" s="1600"/>
      <c r="AK302" s="1600"/>
      <c r="AL302" s="1600"/>
      <c r="AM302" s="1600"/>
      <c r="AN302" s="1600"/>
      <c r="AO302" s="1278">
        <f>IF(AH302-'bilans-stanja'!AG27&lt;&gt;0,"GRESKA",AH302-'bilans-stanja'!AG27)</f>
        <v>0</v>
      </c>
    </row>
    <row r="303" spans="1:41">
      <c r="A303" s="1173"/>
      <c r="B303" s="1174"/>
      <c r="D303" s="1175"/>
      <c r="E303" s="1175"/>
      <c r="F303" s="1175"/>
      <c r="G303" s="1175"/>
      <c r="H303" s="1175"/>
      <c r="I303" s="1175"/>
      <c r="J303" s="1175"/>
      <c r="K303" s="1175"/>
      <c r="L303" s="1165"/>
      <c r="M303" s="1176"/>
      <c r="N303" s="1166"/>
      <c r="O303" s="1166"/>
      <c r="P303" s="1166"/>
      <c r="Q303" s="1166"/>
      <c r="R303" s="1166"/>
      <c r="S303" s="1166"/>
      <c r="T303" s="1176"/>
      <c r="U303" s="1166"/>
      <c r="V303" s="1166"/>
      <c r="W303" s="1166"/>
      <c r="X303" s="1166"/>
      <c r="Y303" s="1166"/>
      <c r="Z303" s="1166"/>
      <c r="AA303" s="1176"/>
      <c r="AB303" s="1166"/>
      <c r="AC303" s="1166"/>
      <c r="AD303" s="1166"/>
      <c r="AE303" s="1166"/>
      <c r="AF303" s="1166"/>
      <c r="AG303" s="1166"/>
      <c r="AH303" s="1176"/>
      <c r="AI303" s="1166"/>
      <c r="AJ303" s="1166"/>
      <c r="AK303" s="1166"/>
      <c r="AL303" s="1166"/>
      <c r="AM303" s="1166"/>
      <c r="AN303" s="1166"/>
    </row>
    <row r="304" spans="1:41">
      <c r="A304" s="1173"/>
      <c r="B304" s="1174"/>
      <c r="D304" s="1175"/>
      <c r="E304" s="1175"/>
      <c r="F304" s="1175"/>
      <c r="G304" s="1175"/>
      <c r="H304" s="1175"/>
      <c r="I304" s="1175"/>
      <c r="J304" s="1175"/>
      <c r="K304" s="1175"/>
      <c r="L304" s="1165"/>
      <c r="M304" s="1176"/>
      <c r="N304" s="1166"/>
      <c r="O304" s="1166"/>
      <c r="P304" s="1166"/>
      <c r="Q304" s="1166"/>
      <c r="R304" s="1166"/>
      <c r="S304" s="1166"/>
      <c r="T304" s="1176"/>
      <c r="U304" s="1166"/>
      <c r="V304" s="1166"/>
      <c r="W304" s="1166"/>
      <c r="X304" s="1166"/>
      <c r="Y304" s="1166"/>
      <c r="Z304" s="1166"/>
      <c r="AA304" s="1176"/>
      <c r="AB304" s="1166"/>
      <c r="AC304" s="1166"/>
      <c r="AD304" s="1166"/>
      <c r="AE304" s="1166"/>
      <c r="AF304" s="1166"/>
      <c r="AG304" s="1166"/>
      <c r="AH304" s="1176"/>
      <c r="AI304" s="1166"/>
      <c r="AJ304" s="1166"/>
      <c r="AK304" s="1166"/>
      <c r="AL304" s="1166"/>
      <c r="AM304" s="1166"/>
      <c r="AN304" s="1166"/>
    </row>
    <row r="305" spans="1:40">
      <c r="E305" s="1177" t="s">
        <v>1949</v>
      </c>
      <c r="F305" s="1178"/>
      <c r="G305" s="1178"/>
      <c r="H305" s="1178"/>
      <c r="I305" s="1178"/>
      <c r="J305" s="1178"/>
      <c r="K305" s="1178"/>
      <c r="L305" s="1178"/>
      <c r="M305" s="1178"/>
      <c r="N305" s="1178"/>
      <c r="O305" s="1178"/>
      <c r="P305" s="1178"/>
      <c r="Q305" s="1178"/>
      <c r="R305" s="1178"/>
      <c r="S305" s="1178"/>
      <c r="T305" s="1560">
        <f>M291-M302</f>
        <v>0</v>
      </c>
      <c r="U305" s="1598"/>
      <c r="V305" s="1598"/>
      <c r="W305" s="1598"/>
      <c r="X305" s="1598"/>
      <c r="Y305" s="1598"/>
      <c r="Z305" s="1599"/>
    </row>
    <row r="306" spans="1:40">
      <c r="E306" s="1177" t="s">
        <v>1950</v>
      </c>
      <c r="F306" s="1178"/>
      <c r="G306" s="1178"/>
      <c r="H306" s="1178"/>
      <c r="I306" s="1178"/>
      <c r="J306" s="1178"/>
      <c r="K306" s="1178"/>
      <c r="L306" s="1178"/>
      <c r="M306" s="1178"/>
      <c r="N306" s="1178"/>
      <c r="O306" s="1178"/>
      <c r="P306" s="1178"/>
      <c r="Q306" s="1178"/>
      <c r="R306" s="1178"/>
      <c r="S306" s="1178"/>
      <c r="T306" s="1560">
        <f>AH291-AH302</f>
        <v>0</v>
      </c>
      <c r="U306" s="1598"/>
      <c r="V306" s="1598"/>
      <c r="W306" s="1598"/>
      <c r="X306" s="1598"/>
      <c r="Y306" s="1598"/>
      <c r="Z306" s="1599"/>
    </row>
    <row r="308" spans="1:40">
      <c r="A308" s="1581"/>
      <c r="B308" s="1581"/>
      <c r="C308" s="1581"/>
      <c r="D308" s="1581"/>
      <c r="E308" s="1581"/>
      <c r="F308" s="1581"/>
      <c r="G308" s="1581"/>
      <c r="H308" s="1581"/>
      <c r="I308" s="1581"/>
      <c r="J308" s="1581"/>
      <c r="K308" s="1581"/>
      <c r="L308" s="1581"/>
      <c r="M308" s="1581"/>
      <c r="N308" s="1581"/>
      <c r="O308" s="1581"/>
      <c r="P308" s="1581"/>
      <c r="Q308" s="1581"/>
      <c r="R308" s="1581"/>
      <c r="S308" s="1581"/>
      <c r="T308" s="1581"/>
      <c r="U308" s="1581"/>
      <c r="V308" s="1581"/>
      <c r="W308" s="1581"/>
      <c r="X308" s="1581"/>
      <c r="Y308" s="1581"/>
      <c r="Z308" s="1581"/>
      <c r="AA308" s="1581"/>
      <c r="AB308" s="1581"/>
      <c r="AC308" s="1581"/>
      <c r="AD308" s="1581"/>
      <c r="AE308" s="1581"/>
      <c r="AF308" s="1581"/>
      <c r="AG308" s="1581"/>
      <c r="AH308" s="1581"/>
      <c r="AI308" s="1581"/>
      <c r="AJ308" s="1581"/>
      <c r="AK308" s="1581"/>
      <c r="AL308" s="1581"/>
      <c r="AM308" s="1581"/>
      <c r="AN308" s="1581"/>
    </row>
    <row r="309" spans="1:40">
      <c r="A309" s="1581"/>
      <c r="B309" s="1581"/>
      <c r="C309" s="1581"/>
      <c r="D309" s="1581"/>
      <c r="E309" s="1581"/>
      <c r="F309" s="1581"/>
      <c r="G309" s="1581"/>
      <c r="H309" s="1581"/>
      <c r="I309" s="1581"/>
      <c r="J309" s="1581"/>
      <c r="K309" s="1581"/>
      <c r="L309" s="1581"/>
      <c r="M309" s="1581"/>
      <c r="N309" s="1581"/>
      <c r="O309" s="1581"/>
      <c r="P309" s="1581"/>
      <c r="Q309" s="1581"/>
      <c r="R309" s="1581"/>
      <c r="S309" s="1581"/>
      <c r="T309" s="1581"/>
      <c r="U309" s="1581"/>
      <c r="V309" s="1581"/>
      <c r="W309" s="1581"/>
      <c r="X309" s="1581"/>
      <c r="Y309" s="1581"/>
      <c r="Z309" s="1581"/>
      <c r="AA309" s="1581"/>
      <c r="AB309" s="1581"/>
      <c r="AC309" s="1581"/>
      <c r="AD309" s="1581"/>
      <c r="AE309" s="1581"/>
      <c r="AF309" s="1581"/>
      <c r="AG309" s="1581"/>
      <c r="AH309" s="1581"/>
      <c r="AI309" s="1581"/>
      <c r="AJ309" s="1581"/>
      <c r="AK309" s="1581"/>
      <c r="AL309" s="1581"/>
      <c r="AM309" s="1581"/>
      <c r="AN309" s="1581"/>
    </row>
    <row r="310" spans="1:40">
      <c r="A310" s="1581"/>
      <c r="B310" s="1581"/>
      <c r="C310" s="1581"/>
      <c r="D310" s="1581"/>
      <c r="E310" s="1581"/>
      <c r="F310" s="1581"/>
      <c r="G310" s="1581"/>
      <c r="H310" s="1581"/>
      <c r="I310" s="1581"/>
      <c r="J310" s="1581"/>
      <c r="K310" s="1581"/>
      <c r="L310" s="1581"/>
      <c r="M310" s="1581"/>
      <c r="N310" s="1581"/>
      <c r="O310" s="1581"/>
      <c r="P310" s="1581"/>
      <c r="Q310" s="1581"/>
      <c r="R310" s="1581"/>
      <c r="S310" s="1581"/>
      <c r="T310" s="1581"/>
      <c r="U310" s="1581"/>
      <c r="V310" s="1581"/>
      <c r="W310" s="1581"/>
      <c r="X310" s="1581"/>
      <c r="Y310" s="1581"/>
      <c r="Z310" s="1581"/>
      <c r="AA310" s="1581"/>
      <c r="AB310" s="1581"/>
      <c r="AC310" s="1581"/>
      <c r="AD310" s="1581"/>
      <c r="AE310" s="1581"/>
      <c r="AF310" s="1581"/>
      <c r="AG310" s="1581"/>
      <c r="AH310" s="1581"/>
      <c r="AI310" s="1581"/>
      <c r="AJ310" s="1581"/>
      <c r="AK310" s="1581"/>
      <c r="AL310" s="1581"/>
      <c r="AM310" s="1581"/>
      <c r="AN310" s="1581"/>
    </row>
    <row r="311" spans="1:40">
      <c r="A311" s="1581"/>
      <c r="B311" s="1581"/>
      <c r="C311" s="1581"/>
      <c r="D311" s="1581"/>
      <c r="E311" s="1581"/>
      <c r="F311" s="1581"/>
      <c r="G311" s="1581"/>
      <c r="H311" s="1581"/>
      <c r="I311" s="1581"/>
      <c r="J311" s="1581"/>
      <c r="K311" s="1581"/>
      <c r="L311" s="1581"/>
      <c r="M311" s="1581"/>
      <c r="N311" s="1581"/>
      <c r="O311" s="1581"/>
      <c r="P311" s="1581"/>
      <c r="Q311" s="1581"/>
      <c r="R311" s="1581"/>
      <c r="S311" s="1581"/>
      <c r="T311" s="1581"/>
      <c r="U311" s="1581"/>
      <c r="V311" s="1581"/>
      <c r="W311" s="1581"/>
      <c r="X311" s="1581"/>
      <c r="Y311" s="1581"/>
      <c r="Z311" s="1581"/>
      <c r="AA311" s="1581"/>
      <c r="AB311" s="1581"/>
      <c r="AC311" s="1581"/>
      <c r="AD311" s="1581"/>
      <c r="AE311" s="1581"/>
      <c r="AF311" s="1581"/>
      <c r="AG311" s="1581"/>
      <c r="AH311" s="1581"/>
      <c r="AI311" s="1581"/>
      <c r="AJ311" s="1581"/>
      <c r="AK311" s="1581"/>
      <c r="AL311" s="1581"/>
      <c r="AM311" s="1581"/>
      <c r="AN311" s="1581"/>
    </row>
    <row r="312" spans="1:40">
      <c r="A312" s="828" t="s">
        <v>1933</v>
      </c>
      <c r="B312" s="828" t="s">
        <v>1951</v>
      </c>
    </row>
    <row r="314" spans="1:40">
      <c r="C314" s="828" t="s">
        <v>2163</v>
      </c>
      <c r="M314" s="1596" t="s">
        <v>1952</v>
      </c>
      <c r="N314" s="1596"/>
      <c r="O314" s="1596"/>
      <c r="P314" s="1596"/>
      <c r="Q314" s="1596"/>
      <c r="R314" s="1596"/>
      <c r="S314" s="1596"/>
      <c r="T314" s="1596"/>
      <c r="U314" s="1596"/>
      <c r="V314" s="1596"/>
      <c r="W314" s="1596"/>
      <c r="X314" s="1596"/>
      <c r="Y314" s="1596"/>
      <c r="Z314" s="1596"/>
      <c r="AA314" s="1596"/>
      <c r="AB314" s="1596"/>
      <c r="AC314" s="1596"/>
      <c r="AD314" s="1596"/>
      <c r="AE314" s="1596"/>
      <c r="AF314" s="1596"/>
      <c r="AG314" s="1596"/>
      <c r="AH314" s="1596"/>
      <c r="AI314" s="1596"/>
      <c r="AJ314" s="1596"/>
      <c r="AK314" s="1596"/>
      <c r="AL314" s="1596"/>
      <c r="AM314" s="1596"/>
      <c r="AN314" s="1596"/>
    </row>
    <row r="315" spans="1:40">
      <c r="A315" s="1567" t="s">
        <v>1948</v>
      </c>
      <c r="B315" s="1567"/>
      <c r="C315" s="1597" t="s">
        <v>1947</v>
      </c>
      <c r="D315" s="1597"/>
      <c r="E315" s="1597"/>
      <c r="F315" s="1597"/>
      <c r="G315" s="1597"/>
      <c r="H315" s="1597"/>
      <c r="I315" s="1597"/>
      <c r="J315" s="1597"/>
      <c r="K315" s="1597"/>
      <c r="L315" s="1597"/>
      <c r="M315" s="1567" t="s">
        <v>1943</v>
      </c>
      <c r="N315" s="1567"/>
      <c r="O315" s="1567"/>
      <c r="P315" s="1567"/>
      <c r="Q315" s="1567"/>
      <c r="R315" s="1567"/>
      <c r="S315" s="1567"/>
      <c r="T315" s="1567" t="s">
        <v>1944</v>
      </c>
      <c r="U315" s="1567"/>
      <c r="V315" s="1567"/>
      <c r="W315" s="1567"/>
      <c r="X315" s="1567"/>
      <c r="Y315" s="1567"/>
      <c r="Z315" s="1567"/>
      <c r="AA315" s="1567" t="s">
        <v>1945</v>
      </c>
      <c r="AB315" s="1567"/>
      <c r="AC315" s="1567"/>
      <c r="AD315" s="1567"/>
      <c r="AE315" s="1567"/>
      <c r="AF315" s="1567"/>
      <c r="AG315" s="1567"/>
      <c r="AH315" s="1597" t="s">
        <v>1946</v>
      </c>
      <c r="AI315" s="1597"/>
      <c r="AJ315" s="1597"/>
      <c r="AK315" s="1597"/>
      <c r="AL315" s="1597"/>
      <c r="AM315" s="1597"/>
      <c r="AN315" s="1597"/>
    </row>
    <row r="316" spans="1:40">
      <c r="A316" s="1590" t="str">
        <f>unos!A178</f>
        <v>020</v>
      </c>
      <c r="B316" s="1591"/>
      <c r="C316" s="1592" t="str">
        <f>unos!B178</f>
        <v>zemljište</v>
      </c>
      <c r="D316" s="1593"/>
      <c r="E316" s="1593"/>
      <c r="F316" s="1593"/>
      <c r="G316" s="1593"/>
      <c r="H316" s="1593"/>
      <c r="I316" s="1593"/>
      <c r="J316" s="1593"/>
      <c r="K316" s="1593"/>
      <c r="L316" s="1593"/>
      <c r="M316" s="1589">
        <f>unos!C178</f>
        <v>0</v>
      </c>
      <c r="N316" s="1589"/>
      <c r="O316" s="1589"/>
      <c r="P316" s="1589"/>
      <c r="Q316" s="1589"/>
      <c r="R316" s="1589"/>
      <c r="S316" s="1589"/>
      <c r="T316" s="1589"/>
      <c r="U316" s="1589"/>
      <c r="V316" s="1589"/>
      <c r="W316" s="1589"/>
      <c r="X316" s="1589"/>
      <c r="Y316" s="1589"/>
      <c r="Z316" s="1589"/>
      <c r="AA316" s="1589"/>
      <c r="AB316" s="1589"/>
      <c r="AC316" s="1589"/>
      <c r="AD316" s="1589"/>
      <c r="AE316" s="1589"/>
      <c r="AF316" s="1589"/>
      <c r="AG316" s="1589"/>
      <c r="AH316" s="1589">
        <f>M316+T316-AA316</f>
        <v>0</v>
      </c>
      <c r="AI316" s="1589"/>
      <c r="AJ316" s="1589"/>
      <c r="AK316" s="1589"/>
      <c r="AL316" s="1589"/>
      <c r="AM316" s="1589"/>
      <c r="AN316" s="1589"/>
    </row>
    <row r="317" spans="1:40">
      <c r="A317" s="1590" t="str">
        <f>unos!A179</f>
        <v>021</v>
      </c>
      <c r="B317" s="1591"/>
      <c r="C317" s="1592" t="str">
        <f>unos!B179</f>
        <v>Građevinski objekti</v>
      </c>
      <c r="D317" s="1593"/>
      <c r="E317" s="1593"/>
      <c r="F317" s="1593"/>
      <c r="G317" s="1593"/>
      <c r="H317" s="1593"/>
      <c r="I317" s="1593"/>
      <c r="J317" s="1593"/>
      <c r="K317" s="1593"/>
      <c r="L317" s="1593"/>
      <c r="M317" s="1589">
        <f>unos!C179</f>
        <v>0</v>
      </c>
      <c r="N317" s="1589"/>
      <c r="O317" s="1589"/>
      <c r="P317" s="1589"/>
      <c r="Q317" s="1589"/>
      <c r="R317" s="1589"/>
      <c r="S317" s="1589"/>
      <c r="T317" s="1589"/>
      <c r="U317" s="1589"/>
      <c r="V317" s="1589"/>
      <c r="W317" s="1589"/>
      <c r="X317" s="1589"/>
      <c r="Y317" s="1589"/>
      <c r="Z317" s="1589"/>
      <c r="AA317" s="1589"/>
      <c r="AB317" s="1589"/>
      <c r="AC317" s="1589"/>
      <c r="AD317" s="1589"/>
      <c r="AE317" s="1589"/>
      <c r="AF317" s="1589"/>
      <c r="AG317" s="1589"/>
      <c r="AH317" s="1589">
        <f t="shared" ref="AH317:AH323" si="14">M317+T317-AA317</f>
        <v>0</v>
      </c>
      <c r="AI317" s="1589"/>
      <c r="AJ317" s="1589"/>
      <c r="AK317" s="1589"/>
      <c r="AL317" s="1589"/>
      <c r="AM317" s="1589"/>
      <c r="AN317" s="1589"/>
    </row>
    <row r="318" spans="1:40">
      <c r="A318" s="1590" t="str">
        <f>unos!A180</f>
        <v>022</v>
      </c>
      <c r="B318" s="1591"/>
      <c r="C318" s="1592" t="str">
        <f>unos!B180</f>
        <v>Postrojenja i oprema (mašine)</v>
      </c>
      <c r="D318" s="1593"/>
      <c r="E318" s="1593"/>
      <c r="F318" s="1593"/>
      <c r="G318" s="1593"/>
      <c r="H318" s="1593"/>
      <c r="I318" s="1593"/>
      <c r="J318" s="1593"/>
      <c r="K318" s="1593"/>
      <c r="L318" s="1593"/>
      <c r="M318" s="1589">
        <f>unos!C180</f>
        <v>0</v>
      </c>
      <c r="N318" s="1589"/>
      <c r="O318" s="1589"/>
      <c r="P318" s="1589"/>
      <c r="Q318" s="1589"/>
      <c r="R318" s="1589"/>
      <c r="S318" s="1589"/>
      <c r="T318" s="1589"/>
      <c r="U318" s="1589"/>
      <c r="V318" s="1589"/>
      <c r="W318" s="1589"/>
      <c r="X318" s="1589"/>
      <c r="Y318" s="1589"/>
      <c r="Z318" s="1589"/>
      <c r="AA318" s="1589"/>
      <c r="AB318" s="1589"/>
      <c r="AC318" s="1589"/>
      <c r="AD318" s="1589"/>
      <c r="AE318" s="1589"/>
      <c r="AF318" s="1589"/>
      <c r="AG318" s="1589"/>
      <c r="AH318" s="1589">
        <f t="shared" si="14"/>
        <v>0</v>
      </c>
      <c r="AI318" s="1589"/>
      <c r="AJ318" s="1589"/>
      <c r="AK318" s="1589"/>
      <c r="AL318" s="1589"/>
      <c r="AM318" s="1589"/>
      <c r="AN318" s="1589"/>
    </row>
    <row r="319" spans="1:40">
      <c r="A319" s="1590" t="str">
        <f>unos!A181</f>
        <v>023</v>
      </c>
      <c r="B319" s="1591"/>
      <c r="C319" s="1592" t="str">
        <f>unos!B181</f>
        <v>Alati, pogonski i kancelarijski namještaj</v>
      </c>
      <c r="D319" s="1593"/>
      <c r="E319" s="1593"/>
      <c r="F319" s="1593"/>
      <c r="G319" s="1593"/>
      <c r="H319" s="1593"/>
      <c r="I319" s="1593"/>
      <c r="J319" s="1593"/>
      <c r="K319" s="1593"/>
      <c r="L319" s="1593"/>
      <c r="M319" s="1589">
        <f>unos!C181</f>
        <v>0</v>
      </c>
      <c r="N319" s="1589"/>
      <c r="O319" s="1589"/>
      <c r="P319" s="1589"/>
      <c r="Q319" s="1589"/>
      <c r="R319" s="1589"/>
      <c r="S319" s="1589"/>
      <c r="T319" s="1589"/>
      <c r="U319" s="1589"/>
      <c r="V319" s="1589"/>
      <c r="W319" s="1589"/>
      <c r="X319" s="1589"/>
      <c r="Y319" s="1589"/>
      <c r="Z319" s="1589"/>
      <c r="AA319" s="1589"/>
      <c r="AB319" s="1589"/>
      <c r="AC319" s="1589"/>
      <c r="AD319" s="1589"/>
      <c r="AE319" s="1589"/>
      <c r="AF319" s="1589"/>
      <c r="AG319" s="1589"/>
      <c r="AH319" s="1589">
        <f t="shared" si="14"/>
        <v>0</v>
      </c>
      <c r="AI319" s="1589"/>
      <c r="AJ319" s="1589"/>
      <c r="AK319" s="1589"/>
      <c r="AL319" s="1589"/>
      <c r="AM319" s="1589"/>
      <c r="AN319" s="1589"/>
    </row>
    <row r="320" spans="1:40">
      <c r="A320" s="1590" t="str">
        <f>unos!A182</f>
        <v>024</v>
      </c>
      <c r="B320" s="1591"/>
      <c r="C320" s="1592" t="str">
        <f>unos!B182</f>
        <v>Transportna sredstva</v>
      </c>
      <c r="D320" s="1593"/>
      <c r="E320" s="1593"/>
      <c r="F320" s="1593"/>
      <c r="G320" s="1593"/>
      <c r="H320" s="1593"/>
      <c r="I320" s="1593"/>
      <c r="J320" s="1593"/>
      <c r="K320" s="1593"/>
      <c r="L320" s="1593"/>
      <c r="M320" s="1589">
        <f>unos!C182</f>
        <v>0</v>
      </c>
      <c r="N320" s="1589"/>
      <c r="O320" s="1589"/>
      <c r="P320" s="1589"/>
      <c r="Q320" s="1589"/>
      <c r="R320" s="1589"/>
      <c r="S320" s="1589"/>
      <c r="T320" s="1589"/>
      <c r="U320" s="1589"/>
      <c r="V320" s="1589"/>
      <c r="W320" s="1589"/>
      <c r="X320" s="1589"/>
      <c r="Y320" s="1589"/>
      <c r="Z320" s="1589"/>
      <c r="AA320" s="1589"/>
      <c r="AB320" s="1589"/>
      <c r="AC320" s="1589"/>
      <c r="AD320" s="1589"/>
      <c r="AE320" s="1589"/>
      <c r="AF320" s="1589"/>
      <c r="AG320" s="1589"/>
      <c r="AH320" s="1589">
        <f t="shared" si="14"/>
        <v>0</v>
      </c>
      <c r="AI320" s="1589"/>
      <c r="AJ320" s="1589"/>
      <c r="AK320" s="1589"/>
      <c r="AL320" s="1589"/>
      <c r="AM320" s="1589"/>
      <c r="AN320" s="1589"/>
    </row>
    <row r="321" spans="1:41">
      <c r="A321" s="1590" t="str">
        <f>unos!A183</f>
        <v>025</v>
      </c>
      <c r="B321" s="1591"/>
      <c r="C321" s="1592" t="str">
        <f>unos!B183</f>
        <v>Nekretnine, postrojenja i oprema u pripremi</v>
      </c>
      <c r="D321" s="1593"/>
      <c r="E321" s="1593"/>
      <c r="F321" s="1593"/>
      <c r="G321" s="1593"/>
      <c r="H321" s="1593"/>
      <c r="I321" s="1593"/>
      <c r="J321" s="1593"/>
      <c r="K321" s="1593"/>
      <c r="L321" s="1593"/>
      <c r="M321" s="1589">
        <f>unos!C183</f>
        <v>0</v>
      </c>
      <c r="N321" s="1589"/>
      <c r="O321" s="1589"/>
      <c r="P321" s="1589"/>
      <c r="Q321" s="1589"/>
      <c r="R321" s="1589"/>
      <c r="S321" s="1589"/>
      <c r="T321" s="1589"/>
      <c r="U321" s="1589"/>
      <c r="V321" s="1589"/>
      <c r="W321" s="1589"/>
      <c r="X321" s="1589"/>
      <c r="Y321" s="1589"/>
      <c r="Z321" s="1589"/>
      <c r="AA321" s="1589"/>
      <c r="AB321" s="1589"/>
      <c r="AC321" s="1589"/>
      <c r="AD321" s="1589"/>
      <c r="AE321" s="1589"/>
      <c r="AF321" s="1589"/>
      <c r="AG321" s="1589"/>
      <c r="AH321" s="1589">
        <f t="shared" si="14"/>
        <v>0</v>
      </c>
      <c r="AI321" s="1589"/>
      <c r="AJ321" s="1589"/>
      <c r="AK321" s="1589"/>
      <c r="AL321" s="1589"/>
      <c r="AM321" s="1589"/>
      <c r="AN321" s="1589"/>
    </row>
    <row r="322" spans="1:41">
      <c r="A322" s="1590" t="str">
        <f>unos!A184</f>
        <v>026</v>
      </c>
      <c r="B322" s="1591"/>
      <c r="C322" s="1592" t="str">
        <f>unos!B184</f>
        <v>Stambene zgrade i stanovi</v>
      </c>
      <c r="D322" s="1593"/>
      <c r="E322" s="1593"/>
      <c r="F322" s="1593"/>
      <c r="G322" s="1593"/>
      <c r="H322" s="1593"/>
      <c r="I322" s="1593"/>
      <c r="J322" s="1593"/>
      <c r="K322" s="1593"/>
      <c r="L322" s="1593"/>
      <c r="M322" s="1589">
        <f>unos!C184</f>
        <v>0</v>
      </c>
      <c r="N322" s="1589"/>
      <c r="O322" s="1589"/>
      <c r="P322" s="1589"/>
      <c r="Q322" s="1589"/>
      <c r="R322" s="1589"/>
      <c r="S322" s="1589"/>
      <c r="T322" s="1589"/>
      <c r="U322" s="1589"/>
      <c r="V322" s="1589"/>
      <c r="W322" s="1589"/>
      <c r="X322" s="1589"/>
      <c r="Y322" s="1589"/>
      <c r="Z322" s="1589"/>
      <c r="AA322" s="1589"/>
      <c r="AB322" s="1589"/>
      <c r="AC322" s="1589"/>
      <c r="AD322" s="1589"/>
      <c r="AE322" s="1589"/>
      <c r="AF322" s="1589"/>
      <c r="AG322" s="1589"/>
      <c r="AH322" s="1589">
        <f t="shared" si="14"/>
        <v>0</v>
      </c>
      <c r="AI322" s="1589"/>
      <c r="AJ322" s="1589"/>
      <c r="AK322" s="1589"/>
      <c r="AL322" s="1589"/>
      <c r="AM322" s="1589"/>
      <c r="AN322" s="1589"/>
    </row>
    <row r="323" spans="1:41">
      <c r="A323" s="1590" t="str">
        <f>unos!A185</f>
        <v>027</v>
      </c>
      <c r="B323" s="1591"/>
      <c r="C323" s="1592" t="str">
        <f>unos!B185</f>
        <v>Avansi za nekretnine, postrojenja i opremu</v>
      </c>
      <c r="D323" s="1593"/>
      <c r="E323" s="1593"/>
      <c r="F323" s="1593"/>
      <c r="G323" s="1593"/>
      <c r="H323" s="1593"/>
      <c r="I323" s="1593"/>
      <c r="J323" s="1593"/>
      <c r="K323" s="1593"/>
      <c r="L323" s="1593"/>
      <c r="M323" s="1589">
        <f>unos!C185</f>
        <v>0</v>
      </c>
      <c r="N323" s="1589"/>
      <c r="O323" s="1589"/>
      <c r="P323" s="1589"/>
      <c r="Q323" s="1589"/>
      <c r="R323" s="1589"/>
      <c r="S323" s="1589"/>
      <c r="T323" s="1589"/>
      <c r="U323" s="1589"/>
      <c r="V323" s="1589"/>
      <c r="W323" s="1589"/>
      <c r="X323" s="1589"/>
      <c r="Y323" s="1589"/>
      <c r="Z323" s="1589"/>
      <c r="AA323" s="1589"/>
      <c r="AB323" s="1589"/>
      <c r="AC323" s="1589"/>
      <c r="AD323" s="1589"/>
      <c r="AE323" s="1589"/>
      <c r="AF323" s="1589"/>
      <c r="AG323" s="1589"/>
      <c r="AH323" s="1589">
        <f t="shared" si="14"/>
        <v>0</v>
      </c>
      <c r="AI323" s="1589"/>
      <c r="AJ323" s="1589"/>
      <c r="AK323" s="1589"/>
      <c r="AL323" s="1589"/>
      <c r="AM323" s="1589"/>
      <c r="AN323" s="1589"/>
    </row>
    <row r="324" spans="1:41">
      <c r="A324" s="1173"/>
      <c r="B324" s="1174"/>
      <c r="D324" s="1175"/>
      <c r="E324" s="1175"/>
      <c r="F324" s="1175"/>
      <c r="G324" s="1175"/>
      <c r="H324" s="1175"/>
      <c r="I324" s="1175"/>
      <c r="J324" s="1175"/>
      <c r="K324" s="1175"/>
      <c r="L324" s="1165" t="s">
        <v>222</v>
      </c>
      <c r="M324" s="1588">
        <f>SUM(M316:S323)</f>
        <v>0</v>
      </c>
      <c r="N324" s="1588"/>
      <c r="O324" s="1588"/>
      <c r="P324" s="1588"/>
      <c r="Q324" s="1588"/>
      <c r="R324" s="1588"/>
      <c r="S324" s="1588"/>
      <c r="T324" s="1588">
        <f>SUM(T316:Z323)</f>
        <v>0</v>
      </c>
      <c r="U324" s="1588"/>
      <c r="V324" s="1588"/>
      <c r="W324" s="1588"/>
      <c r="X324" s="1588"/>
      <c r="Y324" s="1588"/>
      <c r="Z324" s="1588"/>
      <c r="AA324" s="1588">
        <f>SUM(AA316:AG323)</f>
        <v>0</v>
      </c>
      <c r="AB324" s="1588"/>
      <c r="AC324" s="1588"/>
      <c r="AD324" s="1588"/>
      <c r="AE324" s="1588"/>
      <c r="AF324" s="1588"/>
      <c r="AG324" s="1588"/>
      <c r="AH324" s="1588">
        <f>SUM(AH316:AN323)</f>
        <v>0</v>
      </c>
      <c r="AI324" s="1588"/>
      <c r="AJ324" s="1588"/>
      <c r="AK324" s="1588"/>
      <c r="AL324" s="1588"/>
      <c r="AM324" s="1588"/>
      <c r="AN324" s="1588"/>
      <c r="AO324" s="1278">
        <f>IF(AH324-'bilans-stanja'!Z33&lt;&gt;0,"GRESKA",AH324-'bilans-stanja'!Z33)</f>
        <v>0</v>
      </c>
    </row>
    <row r="327" spans="1:41">
      <c r="B327" s="828" t="s">
        <v>2015</v>
      </c>
      <c r="M327" s="1596" t="s">
        <v>1952</v>
      </c>
      <c r="N327" s="1596"/>
      <c r="O327" s="1596"/>
      <c r="P327" s="1596"/>
      <c r="Q327" s="1596"/>
      <c r="R327" s="1596"/>
      <c r="S327" s="1596"/>
      <c r="T327" s="1596"/>
      <c r="U327" s="1596"/>
      <c r="V327" s="1596"/>
      <c r="W327" s="1596"/>
      <c r="X327" s="1596"/>
      <c r="Y327" s="1596"/>
      <c r="Z327" s="1596"/>
      <c r="AA327" s="1596"/>
      <c r="AB327" s="1596"/>
      <c r="AC327" s="1596"/>
      <c r="AD327" s="1596"/>
      <c r="AE327" s="1596"/>
      <c r="AF327" s="1596"/>
      <c r="AG327" s="1596"/>
      <c r="AH327" s="1596"/>
      <c r="AI327" s="1596"/>
      <c r="AJ327" s="1596"/>
      <c r="AK327" s="1596"/>
      <c r="AL327" s="1596"/>
      <c r="AM327" s="1596"/>
      <c r="AN327" s="1596"/>
    </row>
    <row r="328" spans="1:41">
      <c r="A328" s="1567" t="s">
        <v>1948</v>
      </c>
      <c r="B328" s="1567"/>
      <c r="C328" s="1597" t="s">
        <v>1947</v>
      </c>
      <c r="D328" s="1597"/>
      <c r="E328" s="1597"/>
      <c r="F328" s="1597"/>
      <c r="G328" s="1597"/>
      <c r="H328" s="1597"/>
      <c r="I328" s="1597"/>
      <c r="J328" s="1597"/>
      <c r="K328" s="1597"/>
      <c r="L328" s="1597"/>
      <c r="M328" s="1567" t="s">
        <v>1943</v>
      </c>
      <c r="N328" s="1567"/>
      <c r="O328" s="1567"/>
      <c r="P328" s="1567"/>
      <c r="Q328" s="1567"/>
      <c r="R328" s="1567"/>
      <c r="S328" s="1567"/>
      <c r="T328" s="1567" t="s">
        <v>1945</v>
      </c>
      <c r="U328" s="1567"/>
      <c r="V328" s="1567"/>
      <c r="W328" s="1567"/>
      <c r="X328" s="1567"/>
      <c r="Y328" s="1567"/>
      <c r="Z328" s="1567"/>
      <c r="AA328" s="1601" t="s">
        <v>198</v>
      </c>
      <c r="AB328" s="1602"/>
      <c r="AC328" s="1602"/>
      <c r="AD328" s="1602"/>
      <c r="AE328" s="1602"/>
      <c r="AF328" s="1602"/>
      <c r="AG328" s="1603"/>
      <c r="AH328" s="1597" t="s">
        <v>1946</v>
      </c>
      <c r="AI328" s="1597"/>
      <c r="AJ328" s="1597"/>
      <c r="AK328" s="1597"/>
      <c r="AL328" s="1597"/>
      <c r="AM328" s="1597"/>
      <c r="AN328" s="1597"/>
    </row>
    <row r="329" spans="1:41">
      <c r="A329" s="1590" t="str">
        <f>unos!A178</f>
        <v>020</v>
      </c>
      <c r="B329" s="1591"/>
      <c r="C329" s="1592" t="str">
        <f>unos!B178</f>
        <v>zemljište</v>
      </c>
      <c r="D329" s="1593"/>
      <c r="E329" s="1593"/>
      <c r="F329" s="1593"/>
      <c r="G329" s="1593"/>
      <c r="H329" s="1593"/>
      <c r="I329" s="1593"/>
      <c r="J329" s="1593"/>
      <c r="K329" s="1593"/>
      <c r="L329" s="1593"/>
      <c r="M329" s="1589">
        <f>unos!D178</f>
        <v>0</v>
      </c>
      <c r="N329" s="1589"/>
      <c r="O329" s="1589"/>
      <c r="P329" s="1589"/>
      <c r="Q329" s="1589"/>
      <c r="R329" s="1589"/>
      <c r="S329" s="1589"/>
      <c r="T329" s="1589"/>
      <c r="U329" s="1589"/>
      <c r="V329" s="1589"/>
      <c r="W329" s="1589"/>
      <c r="X329" s="1589"/>
      <c r="Y329" s="1589"/>
      <c r="Z329" s="1589"/>
      <c r="AA329" s="1589"/>
      <c r="AB329" s="1589"/>
      <c r="AC329" s="1589"/>
      <c r="AD329" s="1589"/>
      <c r="AE329" s="1589"/>
      <c r="AF329" s="1589"/>
      <c r="AG329" s="1589"/>
      <c r="AH329" s="1589">
        <f>M329+AA329-T329</f>
        <v>0</v>
      </c>
      <c r="AI329" s="1589"/>
      <c r="AJ329" s="1589"/>
      <c r="AK329" s="1589"/>
      <c r="AL329" s="1589"/>
      <c r="AM329" s="1589"/>
      <c r="AN329" s="1589"/>
    </row>
    <row r="330" spans="1:41">
      <c r="A330" s="1590" t="str">
        <f>unos!A179</f>
        <v>021</v>
      </c>
      <c r="B330" s="1591"/>
      <c r="C330" s="1592" t="str">
        <f>unos!B179</f>
        <v>Građevinski objekti</v>
      </c>
      <c r="D330" s="1593"/>
      <c r="E330" s="1593"/>
      <c r="F330" s="1593"/>
      <c r="G330" s="1593"/>
      <c r="H330" s="1593"/>
      <c r="I330" s="1593"/>
      <c r="J330" s="1593"/>
      <c r="K330" s="1593"/>
      <c r="L330" s="1593"/>
      <c r="M330" s="1589">
        <f>unos!D179</f>
        <v>0</v>
      </c>
      <c r="N330" s="1589"/>
      <c r="O330" s="1589"/>
      <c r="P330" s="1589"/>
      <c r="Q330" s="1589"/>
      <c r="R330" s="1589"/>
      <c r="S330" s="1589"/>
      <c r="T330" s="1589"/>
      <c r="U330" s="1589"/>
      <c r="V330" s="1589"/>
      <c r="W330" s="1589"/>
      <c r="X330" s="1589"/>
      <c r="Y330" s="1589"/>
      <c r="Z330" s="1589"/>
      <c r="AA330" s="1589"/>
      <c r="AB330" s="1589"/>
      <c r="AC330" s="1589"/>
      <c r="AD330" s="1589"/>
      <c r="AE330" s="1589"/>
      <c r="AF330" s="1589"/>
      <c r="AG330" s="1589"/>
      <c r="AH330" s="1589">
        <f t="shared" ref="AH330:AH336" si="15">M330+AA330-T330</f>
        <v>0</v>
      </c>
      <c r="AI330" s="1589"/>
      <c r="AJ330" s="1589"/>
      <c r="AK330" s="1589"/>
      <c r="AL330" s="1589"/>
      <c r="AM330" s="1589"/>
      <c r="AN330" s="1589"/>
    </row>
    <row r="331" spans="1:41">
      <c r="A331" s="1590" t="str">
        <f>unos!A180</f>
        <v>022</v>
      </c>
      <c r="B331" s="1591"/>
      <c r="C331" s="1592" t="str">
        <f>unos!B180</f>
        <v>Postrojenja i oprema (mašine)</v>
      </c>
      <c r="D331" s="1593"/>
      <c r="E331" s="1593"/>
      <c r="F331" s="1593"/>
      <c r="G331" s="1593"/>
      <c r="H331" s="1593"/>
      <c r="I331" s="1593"/>
      <c r="J331" s="1593"/>
      <c r="K331" s="1593"/>
      <c r="L331" s="1593"/>
      <c r="M331" s="1589">
        <f>unos!D180</f>
        <v>0</v>
      </c>
      <c r="N331" s="1589"/>
      <c r="O331" s="1589"/>
      <c r="P331" s="1589"/>
      <c r="Q331" s="1589"/>
      <c r="R331" s="1589"/>
      <c r="S331" s="1589"/>
      <c r="T331" s="1589"/>
      <c r="U331" s="1589"/>
      <c r="V331" s="1589"/>
      <c r="W331" s="1589"/>
      <c r="X331" s="1589"/>
      <c r="Y331" s="1589"/>
      <c r="Z331" s="1589"/>
      <c r="AA331" s="1589"/>
      <c r="AB331" s="1589"/>
      <c r="AC331" s="1589"/>
      <c r="AD331" s="1589"/>
      <c r="AE331" s="1589"/>
      <c r="AF331" s="1589"/>
      <c r="AG331" s="1589"/>
      <c r="AH331" s="1589">
        <f t="shared" si="15"/>
        <v>0</v>
      </c>
      <c r="AI331" s="1589"/>
      <c r="AJ331" s="1589"/>
      <c r="AK331" s="1589"/>
      <c r="AL331" s="1589"/>
      <c r="AM331" s="1589"/>
      <c r="AN331" s="1589"/>
    </row>
    <row r="332" spans="1:41">
      <c r="A332" s="1590" t="str">
        <f>unos!A181</f>
        <v>023</v>
      </c>
      <c r="B332" s="1591"/>
      <c r="C332" s="1592" t="str">
        <f>unos!B181</f>
        <v>Alati, pogonski i kancelarijski namještaj</v>
      </c>
      <c r="D332" s="1593"/>
      <c r="E332" s="1593"/>
      <c r="F332" s="1593"/>
      <c r="G332" s="1593"/>
      <c r="H332" s="1593"/>
      <c r="I332" s="1593"/>
      <c r="J332" s="1593"/>
      <c r="K332" s="1593"/>
      <c r="L332" s="1593"/>
      <c r="M332" s="1589">
        <f>unos!D181</f>
        <v>0</v>
      </c>
      <c r="N332" s="1589"/>
      <c r="O332" s="1589"/>
      <c r="P332" s="1589"/>
      <c r="Q332" s="1589"/>
      <c r="R332" s="1589"/>
      <c r="S332" s="1589"/>
      <c r="T332" s="1589"/>
      <c r="U332" s="1589"/>
      <c r="V332" s="1589"/>
      <c r="W332" s="1589"/>
      <c r="X332" s="1589"/>
      <c r="Y332" s="1589"/>
      <c r="Z332" s="1589"/>
      <c r="AA332" s="1589"/>
      <c r="AB332" s="1589"/>
      <c r="AC332" s="1589"/>
      <c r="AD332" s="1589"/>
      <c r="AE332" s="1589"/>
      <c r="AF332" s="1589"/>
      <c r="AG332" s="1589"/>
      <c r="AH332" s="1589">
        <f t="shared" si="15"/>
        <v>0</v>
      </c>
      <c r="AI332" s="1589"/>
      <c r="AJ332" s="1589"/>
      <c r="AK332" s="1589"/>
      <c r="AL332" s="1589"/>
      <c r="AM332" s="1589"/>
      <c r="AN332" s="1589"/>
    </row>
    <row r="333" spans="1:41">
      <c r="A333" s="1590" t="str">
        <f>unos!A182</f>
        <v>024</v>
      </c>
      <c r="B333" s="1591"/>
      <c r="C333" s="1592" t="str">
        <f>unos!B182</f>
        <v>Transportna sredstva</v>
      </c>
      <c r="D333" s="1593"/>
      <c r="E333" s="1593"/>
      <c r="F333" s="1593"/>
      <c r="G333" s="1593"/>
      <c r="H333" s="1593"/>
      <c r="I333" s="1593"/>
      <c r="J333" s="1593"/>
      <c r="K333" s="1593"/>
      <c r="L333" s="1593"/>
      <c r="M333" s="1589">
        <f>unos!D182</f>
        <v>0</v>
      </c>
      <c r="N333" s="1589"/>
      <c r="O333" s="1589"/>
      <c r="P333" s="1589"/>
      <c r="Q333" s="1589"/>
      <c r="R333" s="1589"/>
      <c r="S333" s="1589"/>
      <c r="T333" s="1589"/>
      <c r="U333" s="1589"/>
      <c r="V333" s="1589"/>
      <c r="W333" s="1589"/>
      <c r="X333" s="1589"/>
      <c r="Y333" s="1589"/>
      <c r="Z333" s="1589"/>
      <c r="AA333" s="1589"/>
      <c r="AB333" s="1589"/>
      <c r="AC333" s="1589"/>
      <c r="AD333" s="1589"/>
      <c r="AE333" s="1589"/>
      <c r="AF333" s="1589"/>
      <c r="AG333" s="1589"/>
      <c r="AH333" s="1589">
        <f t="shared" si="15"/>
        <v>0</v>
      </c>
      <c r="AI333" s="1589"/>
      <c r="AJ333" s="1589"/>
      <c r="AK333" s="1589"/>
      <c r="AL333" s="1589"/>
      <c r="AM333" s="1589"/>
      <c r="AN333" s="1589"/>
    </row>
    <row r="334" spans="1:41">
      <c r="A334" s="1590" t="str">
        <f>unos!A183</f>
        <v>025</v>
      </c>
      <c r="B334" s="1591"/>
      <c r="C334" s="1592" t="str">
        <f>unos!B183</f>
        <v>Nekretnine, postrojenja i oprema u pripremi</v>
      </c>
      <c r="D334" s="1593"/>
      <c r="E334" s="1593"/>
      <c r="F334" s="1593"/>
      <c r="G334" s="1593"/>
      <c r="H334" s="1593"/>
      <c r="I334" s="1593"/>
      <c r="J334" s="1593"/>
      <c r="K334" s="1593"/>
      <c r="L334" s="1593"/>
      <c r="M334" s="1589">
        <f>unos!D183</f>
        <v>0</v>
      </c>
      <c r="N334" s="1589"/>
      <c r="O334" s="1589"/>
      <c r="P334" s="1589"/>
      <c r="Q334" s="1589"/>
      <c r="R334" s="1589"/>
      <c r="S334" s="1589"/>
      <c r="T334" s="1589"/>
      <c r="U334" s="1589"/>
      <c r="V334" s="1589"/>
      <c r="W334" s="1589"/>
      <c r="X334" s="1589"/>
      <c r="Y334" s="1589"/>
      <c r="Z334" s="1589"/>
      <c r="AA334" s="1589"/>
      <c r="AB334" s="1589"/>
      <c r="AC334" s="1589"/>
      <c r="AD334" s="1589"/>
      <c r="AE334" s="1589"/>
      <c r="AF334" s="1589"/>
      <c r="AG334" s="1589"/>
      <c r="AH334" s="1589">
        <f t="shared" si="15"/>
        <v>0</v>
      </c>
      <c r="AI334" s="1589"/>
      <c r="AJ334" s="1589"/>
      <c r="AK334" s="1589"/>
      <c r="AL334" s="1589"/>
      <c r="AM334" s="1589"/>
      <c r="AN334" s="1589"/>
    </row>
    <row r="335" spans="1:41">
      <c r="A335" s="1590" t="str">
        <f>unos!A184</f>
        <v>026</v>
      </c>
      <c r="B335" s="1591"/>
      <c r="C335" s="1592" t="str">
        <f>unos!B184</f>
        <v>Stambene zgrade i stanovi</v>
      </c>
      <c r="D335" s="1593"/>
      <c r="E335" s="1593"/>
      <c r="F335" s="1593"/>
      <c r="G335" s="1593"/>
      <c r="H335" s="1593"/>
      <c r="I335" s="1593"/>
      <c r="J335" s="1593"/>
      <c r="K335" s="1593"/>
      <c r="L335" s="1593"/>
      <c r="M335" s="1589">
        <f>unos!D184</f>
        <v>0</v>
      </c>
      <c r="N335" s="1589"/>
      <c r="O335" s="1589"/>
      <c r="P335" s="1589"/>
      <c r="Q335" s="1589"/>
      <c r="R335" s="1589"/>
      <c r="S335" s="1589"/>
      <c r="T335" s="1589"/>
      <c r="U335" s="1589"/>
      <c r="V335" s="1589"/>
      <c r="W335" s="1589"/>
      <c r="X335" s="1589"/>
      <c r="Y335" s="1589"/>
      <c r="Z335" s="1589"/>
      <c r="AA335" s="1589"/>
      <c r="AB335" s="1589"/>
      <c r="AC335" s="1589"/>
      <c r="AD335" s="1589"/>
      <c r="AE335" s="1589"/>
      <c r="AF335" s="1589"/>
      <c r="AG335" s="1589"/>
      <c r="AH335" s="1589">
        <f t="shared" si="15"/>
        <v>0</v>
      </c>
      <c r="AI335" s="1589"/>
      <c r="AJ335" s="1589"/>
      <c r="AK335" s="1589"/>
      <c r="AL335" s="1589"/>
      <c r="AM335" s="1589"/>
      <c r="AN335" s="1589"/>
    </row>
    <row r="336" spans="1:41">
      <c r="A336" s="1590" t="str">
        <f>unos!A185</f>
        <v>027</v>
      </c>
      <c r="B336" s="1591"/>
      <c r="C336" s="1592" t="str">
        <f>unos!B185</f>
        <v>Avansi za nekretnine, postrojenja i opremu</v>
      </c>
      <c r="D336" s="1593"/>
      <c r="E336" s="1593"/>
      <c r="F336" s="1593"/>
      <c r="G336" s="1593"/>
      <c r="H336" s="1593"/>
      <c r="I336" s="1593"/>
      <c r="J336" s="1593"/>
      <c r="K336" s="1593"/>
      <c r="L336" s="1593"/>
      <c r="M336" s="1589">
        <f>unos!D185</f>
        <v>0</v>
      </c>
      <c r="N336" s="1589"/>
      <c r="O336" s="1589"/>
      <c r="P336" s="1589"/>
      <c r="Q336" s="1589"/>
      <c r="R336" s="1589"/>
      <c r="S336" s="1589"/>
      <c r="T336" s="1589"/>
      <c r="U336" s="1589"/>
      <c r="V336" s="1589"/>
      <c r="W336" s="1589"/>
      <c r="X336" s="1589"/>
      <c r="Y336" s="1589"/>
      <c r="Z336" s="1589"/>
      <c r="AA336" s="1589"/>
      <c r="AB336" s="1589"/>
      <c r="AC336" s="1589"/>
      <c r="AD336" s="1589"/>
      <c r="AE336" s="1589"/>
      <c r="AF336" s="1589"/>
      <c r="AG336" s="1589"/>
      <c r="AH336" s="1589">
        <f t="shared" si="15"/>
        <v>0</v>
      </c>
      <c r="AI336" s="1589"/>
      <c r="AJ336" s="1589"/>
      <c r="AK336" s="1589"/>
      <c r="AL336" s="1589"/>
      <c r="AM336" s="1589"/>
      <c r="AN336" s="1589"/>
    </row>
    <row r="337" spans="1:41">
      <c r="A337" s="1173"/>
      <c r="B337" s="1174"/>
      <c r="D337" s="1175"/>
      <c r="E337" s="1175"/>
      <c r="F337" s="1175"/>
      <c r="G337" s="1175"/>
      <c r="H337" s="1175"/>
      <c r="I337" s="1175"/>
      <c r="J337" s="1175"/>
      <c r="K337" s="1175"/>
      <c r="L337" s="1165" t="s">
        <v>222</v>
      </c>
      <c r="M337" s="1600">
        <f>SUM(M329:S336)</f>
        <v>0</v>
      </c>
      <c r="N337" s="1600"/>
      <c r="O337" s="1600"/>
      <c r="P337" s="1600"/>
      <c r="Q337" s="1600"/>
      <c r="R337" s="1600"/>
      <c r="S337" s="1600"/>
      <c r="T337" s="1600">
        <f>SUM(T329:Z336)</f>
        <v>0</v>
      </c>
      <c r="U337" s="1600"/>
      <c r="V337" s="1600"/>
      <c r="W337" s="1600"/>
      <c r="X337" s="1600"/>
      <c r="Y337" s="1600"/>
      <c r="Z337" s="1600"/>
      <c r="AA337" s="1600">
        <f>SUM(AA329:AG336)</f>
        <v>0</v>
      </c>
      <c r="AB337" s="1600"/>
      <c r="AC337" s="1600"/>
      <c r="AD337" s="1600"/>
      <c r="AE337" s="1600"/>
      <c r="AF337" s="1600"/>
      <c r="AG337" s="1600"/>
      <c r="AH337" s="1600">
        <f>SUM(AH329:AN336)</f>
        <v>0</v>
      </c>
      <c r="AI337" s="1600"/>
      <c r="AJ337" s="1600"/>
      <c r="AK337" s="1600"/>
      <c r="AL337" s="1600"/>
      <c r="AM337" s="1600"/>
      <c r="AN337" s="1600"/>
      <c r="AO337" s="1278">
        <f>IF(AH337-'bilans-stanja'!AG33&lt;&gt;0,"GRESKA",AH337-'bilans-stanja'!AG33)</f>
        <v>0</v>
      </c>
    </row>
    <row r="338" spans="1:41">
      <c r="A338" s="1173"/>
      <c r="B338" s="1174"/>
      <c r="D338" s="1175"/>
      <c r="E338" s="1175"/>
      <c r="F338" s="1175"/>
      <c r="G338" s="1175"/>
      <c r="H338" s="1175"/>
      <c r="I338" s="1175"/>
      <c r="J338" s="1175"/>
      <c r="K338" s="1175"/>
      <c r="L338" s="1165"/>
      <c r="M338" s="1176"/>
      <c r="N338" s="1166"/>
      <c r="O338" s="1166"/>
      <c r="P338" s="1166"/>
      <c r="Q338" s="1166"/>
      <c r="R338" s="1166"/>
      <c r="S338" s="1166"/>
      <c r="T338" s="1176"/>
      <c r="U338" s="1166"/>
      <c r="V338" s="1166"/>
      <c r="W338" s="1166"/>
      <c r="X338" s="1166"/>
      <c r="Y338" s="1166"/>
      <c r="Z338" s="1166"/>
      <c r="AA338" s="1176"/>
      <c r="AB338" s="1166"/>
      <c r="AC338" s="1166"/>
      <c r="AD338" s="1166"/>
      <c r="AE338" s="1166"/>
      <c r="AF338" s="1166"/>
      <c r="AG338" s="1166"/>
      <c r="AH338" s="1176"/>
      <c r="AI338" s="1166"/>
      <c r="AJ338" s="1166"/>
      <c r="AK338" s="1166"/>
      <c r="AL338" s="1166"/>
      <c r="AM338" s="1166"/>
      <c r="AN338" s="1166"/>
    </row>
    <row r="339" spans="1:41">
      <c r="A339" s="1173"/>
      <c r="B339" s="1174"/>
      <c r="D339" s="1175"/>
      <c r="E339" s="1175"/>
      <c r="F339" s="1175"/>
      <c r="G339" s="1175"/>
      <c r="H339" s="1175"/>
      <c r="I339" s="1175"/>
      <c r="J339" s="1175"/>
      <c r="K339" s="1175"/>
      <c r="L339" s="1165"/>
      <c r="M339" s="1176"/>
      <c r="N339" s="1166"/>
      <c r="O339" s="1166"/>
      <c r="P339" s="1166"/>
      <c r="Q339" s="1166"/>
      <c r="R339" s="1166"/>
      <c r="S339" s="1166"/>
      <c r="T339" s="1176"/>
      <c r="U339" s="1166"/>
      <c r="V339" s="1166"/>
      <c r="W339" s="1166"/>
      <c r="X339" s="1166"/>
      <c r="Y339" s="1166"/>
      <c r="Z339" s="1166"/>
      <c r="AA339" s="1176"/>
      <c r="AB339" s="1166"/>
      <c r="AC339" s="1166"/>
      <c r="AD339" s="1166"/>
      <c r="AE339" s="1166"/>
      <c r="AF339" s="1166"/>
      <c r="AG339" s="1166"/>
      <c r="AH339" s="1176"/>
      <c r="AI339" s="1166"/>
      <c r="AJ339" s="1166"/>
      <c r="AK339" s="1166"/>
      <c r="AL339" s="1166"/>
      <c r="AM339" s="1166"/>
      <c r="AN339" s="1166"/>
    </row>
    <row r="340" spans="1:41">
      <c r="C340" s="1177" t="s">
        <v>1949</v>
      </c>
      <c r="D340" s="1178"/>
      <c r="E340" s="1178"/>
      <c r="F340" s="1178"/>
      <c r="G340" s="1178"/>
      <c r="H340" s="1178"/>
      <c r="I340" s="1178"/>
      <c r="J340" s="1178"/>
      <c r="K340" s="1178"/>
      <c r="L340" s="1178"/>
      <c r="M340" s="1178"/>
      <c r="N340" s="1178"/>
      <c r="O340" s="1178"/>
      <c r="P340" s="1178"/>
      <c r="Q340" s="1178"/>
      <c r="R340" s="1178"/>
      <c r="S340" s="1178"/>
      <c r="T340" s="1560">
        <f>M324-M337</f>
        <v>0</v>
      </c>
      <c r="U340" s="1598"/>
      <c r="V340" s="1598"/>
      <c r="W340" s="1598"/>
      <c r="X340" s="1598"/>
      <c r="Y340" s="1598"/>
      <c r="Z340" s="1599"/>
    </row>
    <row r="341" spans="1:41">
      <c r="C341" s="1177" t="s">
        <v>1950</v>
      </c>
      <c r="D341" s="1178"/>
      <c r="E341" s="1178"/>
      <c r="F341" s="1178"/>
      <c r="G341" s="1178"/>
      <c r="H341" s="1178"/>
      <c r="I341" s="1178"/>
      <c r="J341" s="1178"/>
      <c r="K341" s="1178"/>
      <c r="L341" s="1178"/>
      <c r="M341" s="1178"/>
      <c r="N341" s="1178"/>
      <c r="O341" s="1178"/>
      <c r="P341" s="1178"/>
      <c r="Q341" s="1178"/>
      <c r="R341" s="1178"/>
      <c r="S341" s="1178"/>
      <c r="T341" s="1560">
        <f>AH324-AH337</f>
        <v>0</v>
      </c>
      <c r="U341" s="1598"/>
      <c r="V341" s="1598"/>
      <c r="W341" s="1598"/>
      <c r="X341" s="1598"/>
      <c r="Y341" s="1598"/>
      <c r="Z341" s="1599"/>
    </row>
    <row r="343" spans="1:41">
      <c r="A343" s="1581"/>
      <c r="B343" s="1581"/>
      <c r="C343" s="1581"/>
      <c r="D343" s="1581"/>
      <c r="E343" s="1581"/>
      <c r="F343" s="1581"/>
      <c r="G343" s="1581"/>
      <c r="H343" s="1581"/>
      <c r="I343" s="1581"/>
      <c r="J343" s="1581"/>
      <c r="K343" s="1581"/>
      <c r="L343" s="1581"/>
      <c r="M343" s="1581"/>
      <c r="N343" s="1581"/>
      <c r="O343" s="1581"/>
      <c r="P343" s="1581"/>
      <c r="Q343" s="1581"/>
      <c r="R343" s="1581"/>
      <c r="S343" s="1581"/>
      <c r="T343" s="1581"/>
      <c r="U343" s="1581"/>
      <c r="V343" s="1581"/>
      <c r="W343" s="1581"/>
      <c r="X343" s="1581"/>
      <c r="Y343" s="1581"/>
      <c r="Z343" s="1581"/>
      <c r="AA343" s="1581"/>
      <c r="AB343" s="1581"/>
      <c r="AC343" s="1581"/>
      <c r="AD343" s="1581"/>
      <c r="AE343" s="1581"/>
      <c r="AF343" s="1581"/>
      <c r="AG343" s="1581"/>
      <c r="AH343" s="1581"/>
      <c r="AI343" s="1581"/>
      <c r="AJ343" s="1581"/>
      <c r="AK343" s="1581"/>
      <c r="AL343" s="1581"/>
      <c r="AM343" s="1581"/>
      <c r="AN343" s="1581"/>
    </row>
    <row r="344" spans="1:41">
      <c r="A344" s="1581"/>
      <c r="B344" s="1581"/>
      <c r="C344" s="1581"/>
      <c r="D344" s="1581"/>
      <c r="E344" s="1581"/>
      <c r="F344" s="1581"/>
      <c r="G344" s="1581"/>
      <c r="H344" s="1581"/>
      <c r="I344" s="1581"/>
      <c r="J344" s="1581"/>
      <c r="K344" s="1581"/>
      <c r="L344" s="1581"/>
      <c r="M344" s="1581"/>
      <c r="N344" s="1581"/>
      <c r="O344" s="1581"/>
      <c r="P344" s="1581"/>
      <c r="Q344" s="1581"/>
      <c r="R344" s="1581"/>
      <c r="S344" s="1581"/>
      <c r="T344" s="1581"/>
      <c r="U344" s="1581"/>
      <c r="V344" s="1581"/>
      <c r="W344" s="1581"/>
      <c r="X344" s="1581"/>
      <c r="Y344" s="1581"/>
      <c r="Z344" s="1581"/>
      <c r="AA344" s="1581"/>
      <c r="AB344" s="1581"/>
      <c r="AC344" s="1581"/>
      <c r="AD344" s="1581"/>
      <c r="AE344" s="1581"/>
      <c r="AF344" s="1581"/>
      <c r="AG344" s="1581"/>
      <c r="AH344" s="1581"/>
      <c r="AI344" s="1581"/>
      <c r="AJ344" s="1581"/>
      <c r="AK344" s="1581"/>
      <c r="AL344" s="1581"/>
      <c r="AM344" s="1581"/>
      <c r="AN344" s="1581"/>
    </row>
    <row r="345" spans="1:41">
      <c r="A345" s="1581"/>
      <c r="B345" s="1581"/>
      <c r="C345" s="1581"/>
      <c r="D345" s="1581"/>
      <c r="E345" s="1581"/>
      <c r="F345" s="1581"/>
      <c r="G345" s="1581"/>
      <c r="H345" s="1581"/>
      <c r="I345" s="1581"/>
      <c r="J345" s="1581"/>
      <c r="K345" s="1581"/>
      <c r="L345" s="1581"/>
      <c r="M345" s="1581"/>
      <c r="N345" s="1581"/>
      <c r="O345" s="1581"/>
      <c r="P345" s="1581"/>
      <c r="Q345" s="1581"/>
      <c r="R345" s="1581"/>
      <c r="S345" s="1581"/>
      <c r="T345" s="1581"/>
      <c r="U345" s="1581"/>
      <c r="V345" s="1581"/>
      <c r="W345" s="1581"/>
      <c r="X345" s="1581"/>
      <c r="Y345" s="1581"/>
      <c r="Z345" s="1581"/>
      <c r="AA345" s="1581"/>
      <c r="AB345" s="1581"/>
      <c r="AC345" s="1581"/>
      <c r="AD345" s="1581"/>
      <c r="AE345" s="1581"/>
      <c r="AF345" s="1581"/>
      <c r="AG345" s="1581"/>
      <c r="AH345" s="1581"/>
      <c r="AI345" s="1581"/>
      <c r="AJ345" s="1581"/>
      <c r="AK345" s="1581"/>
      <c r="AL345" s="1581"/>
      <c r="AM345" s="1581"/>
      <c r="AN345" s="1581"/>
    </row>
    <row r="346" spans="1:41">
      <c r="A346" s="1581"/>
      <c r="B346" s="1581"/>
      <c r="C346" s="1581"/>
      <c r="D346" s="1581"/>
      <c r="E346" s="1581"/>
      <c r="F346" s="1581"/>
      <c r="G346" s="1581"/>
      <c r="H346" s="1581"/>
      <c r="I346" s="1581"/>
      <c r="J346" s="1581"/>
      <c r="K346" s="1581"/>
      <c r="L346" s="1581"/>
      <c r="M346" s="1581"/>
      <c r="N346" s="1581"/>
      <c r="O346" s="1581"/>
      <c r="P346" s="1581"/>
      <c r="Q346" s="1581"/>
      <c r="R346" s="1581"/>
      <c r="S346" s="1581"/>
      <c r="T346" s="1581"/>
      <c r="U346" s="1581"/>
      <c r="V346" s="1581"/>
      <c r="W346" s="1581"/>
      <c r="X346" s="1581"/>
      <c r="Y346" s="1581"/>
      <c r="Z346" s="1581"/>
      <c r="AA346" s="1581"/>
      <c r="AB346" s="1581"/>
      <c r="AC346" s="1581"/>
      <c r="AD346" s="1581"/>
      <c r="AE346" s="1581"/>
      <c r="AF346" s="1581"/>
      <c r="AG346" s="1581"/>
      <c r="AH346" s="1581"/>
      <c r="AI346" s="1581"/>
      <c r="AJ346" s="1581"/>
      <c r="AK346" s="1581"/>
      <c r="AL346" s="1581"/>
      <c r="AM346" s="1581"/>
      <c r="AN346" s="1581"/>
    </row>
    <row r="348" spans="1:41">
      <c r="A348" s="828" t="s">
        <v>1933</v>
      </c>
      <c r="B348" s="828" t="s">
        <v>197</v>
      </c>
    </row>
    <row r="350" spans="1:41">
      <c r="C350" s="828" t="s">
        <v>2163</v>
      </c>
      <c r="M350" s="1596" t="s">
        <v>1952</v>
      </c>
      <c r="N350" s="1596"/>
      <c r="O350" s="1596"/>
      <c r="P350" s="1596"/>
      <c r="Q350" s="1596"/>
      <c r="R350" s="1596"/>
      <c r="S350" s="1596"/>
      <c r="T350" s="1596"/>
      <c r="U350" s="1596"/>
      <c r="V350" s="1596"/>
      <c r="W350" s="1596"/>
      <c r="X350" s="1596"/>
      <c r="Y350" s="1596"/>
      <c r="Z350" s="1596"/>
      <c r="AA350" s="1596"/>
      <c r="AB350" s="1596"/>
      <c r="AC350" s="1596"/>
      <c r="AD350" s="1596"/>
      <c r="AE350" s="1596"/>
      <c r="AF350" s="1596"/>
      <c r="AG350" s="1596"/>
      <c r="AH350" s="1596"/>
      <c r="AI350" s="1596"/>
      <c r="AJ350" s="1596"/>
      <c r="AK350" s="1596"/>
      <c r="AL350" s="1596"/>
      <c r="AM350" s="1596"/>
      <c r="AN350" s="1596"/>
    </row>
    <row r="351" spans="1:41">
      <c r="A351" s="1567" t="s">
        <v>1948</v>
      </c>
      <c r="B351" s="1567"/>
      <c r="C351" s="1597" t="s">
        <v>1947</v>
      </c>
      <c r="D351" s="1597"/>
      <c r="E351" s="1597"/>
      <c r="F351" s="1597"/>
      <c r="G351" s="1597"/>
      <c r="H351" s="1597"/>
      <c r="I351" s="1597"/>
      <c r="J351" s="1597"/>
      <c r="K351" s="1597"/>
      <c r="L351" s="1597"/>
      <c r="M351" s="1567" t="s">
        <v>1943</v>
      </c>
      <c r="N351" s="1567"/>
      <c r="O351" s="1567"/>
      <c r="P351" s="1567"/>
      <c r="Q351" s="1567"/>
      <c r="R351" s="1567"/>
      <c r="S351" s="1567"/>
      <c r="T351" s="1567" t="s">
        <v>1944</v>
      </c>
      <c r="U351" s="1567"/>
      <c r="V351" s="1567"/>
      <c r="W351" s="1567"/>
      <c r="X351" s="1567"/>
      <c r="Y351" s="1567"/>
      <c r="Z351" s="1567"/>
      <c r="AA351" s="1567" t="s">
        <v>1945</v>
      </c>
      <c r="AB351" s="1567"/>
      <c r="AC351" s="1567"/>
      <c r="AD351" s="1567"/>
      <c r="AE351" s="1567"/>
      <c r="AF351" s="1567"/>
      <c r="AG351" s="1567"/>
      <c r="AH351" s="1597" t="s">
        <v>1946</v>
      </c>
      <c r="AI351" s="1597"/>
      <c r="AJ351" s="1597"/>
      <c r="AK351" s="1597"/>
      <c r="AL351" s="1597"/>
      <c r="AM351" s="1597"/>
      <c r="AN351" s="1597"/>
    </row>
    <row r="352" spans="1:41">
      <c r="A352" s="1590" t="str">
        <f>unos!A186</f>
        <v>030</v>
      </c>
      <c r="B352" s="1591"/>
      <c r="C352" s="1592" t="str">
        <f>unos!B186</f>
        <v>Ulaganja u vlastito zemljište</v>
      </c>
      <c r="D352" s="1593"/>
      <c r="E352" s="1593"/>
      <c r="F352" s="1593"/>
      <c r="G352" s="1593"/>
      <c r="H352" s="1593"/>
      <c r="I352" s="1593"/>
      <c r="J352" s="1593"/>
      <c r="K352" s="1593"/>
      <c r="L352" s="1593"/>
      <c r="M352" s="1589">
        <f>unos!C186</f>
        <v>0</v>
      </c>
      <c r="N352" s="1589"/>
      <c r="O352" s="1589"/>
      <c r="P352" s="1589"/>
      <c r="Q352" s="1589"/>
      <c r="R352" s="1589"/>
      <c r="S352" s="1589"/>
      <c r="T352" s="1589"/>
      <c r="U352" s="1589"/>
      <c r="V352" s="1589"/>
      <c r="W352" s="1589"/>
      <c r="X352" s="1589"/>
      <c r="Y352" s="1589"/>
      <c r="Z352" s="1589"/>
      <c r="AA352" s="1589"/>
      <c r="AB352" s="1589"/>
      <c r="AC352" s="1589"/>
      <c r="AD352" s="1589"/>
      <c r="AE352" s="1589"/>
      <c r="AF352" s="1589"/>
      <c r="AG352" s="1589"/>
      <c r="AH352" s="1589">
        <f t="shared" ref="AH352:AH357" si="16">M352+T352-AA352</f>
        <v>0</v>
      </c>
      <c r="AI352" s="1589"/>
      <c r="AJ352" s="1589"/>
      <c r="AK352" s="1589"/>
      <c r="AL352" s="1589"/>
      <c r="AM352" s="1589"/>
      <c r="AN352" s="1589"/>
    </row>
    <row r="353" spans="1:41">
      <c r="A353" s="1590" t="str">
        <f>unos!A187</f>
        <v>031</v>
      </c>
      <c r="B353" s="1591"/>
      <c r="C353" s="1592" t="str">
        <f>unos!B187</f>
        <v>Ulaganja u iznajmljeno zemljište</v>
      </c>
      <c r="D353" s="1593"/>
      <c r="E353" s="1593"/>
      <c r="F353" s="1593"/>
      <c r="G353" s="1593"/>
      <c r="H353" s="1593"/>
      <c r="I353" s="1593"/>
      <c r="J353" s="1593"/>
      <c r="K353" s="1593"/>
      <c r="L353" s="1593"/>
      <c r="M353" s="1589">
        <f>unos!C187</f>
        <v>0</v>
      </c>
      <c r="N353" s="1589"/>
      <c r="O353" s="1589"/>
      <c r="P353" s="1589"/>
      <c r="Q353" s="1589"/>
      <c r="R353" s="1589"/>
      <c r="S353" s="1589"/>
      <c r="T353" s="1589"/>
      <c r="U353" s="1589"/>
      <c r="V353" s="1589"/>
      <c r="W353" s="1589"/>
      <c r="X353" s="1589"/>
      <c r="Y353" s="1589"/>
      <c r="Z353" s="1589"/>
      <c r="AA353" s="1589"/>
      <c r="AB353" s="1589"/>
      <c r="AC353" s="1589"/>
      <c r="AD353" s="1589"/>
      <c r="AE353" s="1589"/>
      <c r="AF353" s="1589"/>
      <c r="AG353" s="1589"/>
      <c r="AH353" s="1589">
        <f t="shared" si="16"/>
        <v>0</v>
      </c>
      <c r="AI353" s="1589"/>
      <c r="AJ353" s="1589"/>
      <c r="AK353" s="1589"/>
      <c r="AL353" s="1589"/>
      <c r="AM353" s="1589"/>
      <c r="AN353" s="1589"/>
    </row>
    <row r="354" spans="1:41">
      <c r="A354" s="1590" t="str">
        <f>unos!A188</f>
        <v>032</v>
      </c>
      <c r="B354" s="1591"/>
      <c r="C354" s="1592" t="str">
        <f>unos!B188</f>
        <v>Ulaganja u vlastite građevine</v>
      </c>
      <c r="D354" s="1593"/>
      <c r="E354" s="1593"/>
      <c r="F354" s="1593"/>
      <c r="G354" s="1593"/>
      <c r="H354" s="1593"/>
      <c r="I354" s="1593"/>
      <c r="J354" s="1593"/>
      <c r="K354" s="1593"/>
      <c r="L354" s="1593"/>
      <c r="M354" s="1589">
        <f>unos!C188</f>
        <v>0</v>
      </c>
      <c r="N354" s="1589"/>
      <c r="O354" s="1589"/>
      <c r="P354" s="1589"/>
      <c r="Q354" s="1589"/>
      <c r="R354" s="1589"/>
      <c r="S354" s="1589"/>
      <c r="T354" s="1589"/>
      <c r="U354" s="1589"/>
      <c r="V354" s="1589"/>
      <c r="W354" s="1589"/>
      <c r="X354" s="1589"/>
      <c r="Y354" s="1589"/>
      <c r="Z354" s="1589"/>
      <c r="AA354" s="1589"/>
      <c r="AB354" s="1589"/>
      <c r="AC354" s="1589"/>
      <c r="AD354" s="1589"/>
      <c r="AE354" s="1589"/>
      <c r="AF354" s="1589"/>
      <c r="AG354" s="1589"/>
      <c r="AH354" s="1589">
        <f t="shared" si="16"/>
        <v>0</v>
      </c>
      <c r="AI354" s="1589"/>
      <c r="AJ354" s="1589"/>
      <c r="AK354" s="1589"/>
      <c r="AL354" s="1589"/>
      <c r="AM354" s="1589"/>
      <c r="AN354" s="1589"/>
    </row>
    <row r="355" spans="1:41">
      <c r="A355" s="1590" t="str">
        <f>unos!A189</f>
        <v>033</v>
      </c>
      <c r="B355" s="1591"/>
      <c r="C355" s="1592" t="str">
        <f>unos!B189</f>
        <v>Ulaganja u unajmljene građevine</v>
      </c>
      <c r="D355" s="1593"/>
      <c r="E355" s="1593"/>
      <c r="F355" s="1593"/>
      <c r="G355" s="1593"/>
      <c r="H355" s="1593"/>
      <c r="I355" s="1593"/>
      <c r="J355" s="1593"/>
      <c r="K355" s="1593"/>
      <c r="L355" s="1593"/>
      <c r="M355" s="1589">
        <f>unos!C189</f>
        <v>0</v>
      </c>
      <c r="N355" s="1589"/>
      <c r="O355" s="1589"/>
      <c r="P355" s="1589"/>
      <c r="Q355" s="1589"/>
      <c r="R355" s="1589"/>
      <c r="S355" s="1589"/>
      <c r="T355" s="1589"/>
      <c r="U355" s="1589"/>
      <c r="V355" s="1589"/>
      <c r="W355" s="1589"/>
      <c r="X355" s="1589"/>
      <c r="Y355" s="1589"/>
      <c r="Z355" s="1589"/>
      <c r="AA355" s="1589"/>
      <c r="AB355" s="1589"/>
      <c r="AC355" s="1589"/>
      <c r="AD355" s="1589"/>
      <c r="AE355" s="1589"/>
      <c r="AF355" s="1589"/>
      <c r="AG355" s="1589"/>
      <c r="AH355" s="1589">
        <f t="shared" si="16"/>
        <v>0</v>
      </c>
      <c r="AI355" s="1589"/>
      <c r="AJ355" s="1589"/>
      <c r="AK355" s="1589"/>
      <c r="AL355" s="1589"/>
      <c r="AM355" s="1589"/>
      <c r="AN355" s="1589"/>
    </row>
    <row r="356" spans="1:41">
      <c r="A356" s="1590" t="str">
        <f>unos!A190</f>
        <v>035</v>
      </c>
      <c r="B356" s="1591"/>
      <c r="C356" s="1592" t="str">
        <f>unos!B190</f>
        <v>Ulaganja u nekretnine u pripremi</v>
      </c>
      <c r="D356" s="1593"/>
      <c r="E356" s="1593"/>
      <c r="F356" s="1593"/>
      <c r="G356" s="1593"/>
      <c r="H356" s="1593"/>
      <c r="I356" s="1593"/>
      <c r="J356" s="1593"/>
      <c r="K356" s="1593"/>
      <c r="L356" s="1593"/>
      <c r="M356" s="1589">
        <f>unos!C190</f>
        <v>0</v>
      </c>
      <c r="N356" s="1589"/>
      <c r="O356" s="1589"/>
      <c r="P356" s="1589"/>
      <c r="Q356" s="1589"/>
      <c r="R356" s="1589"/>
      <c r="S356" s="1589"/>
      <c r="T356" s="1589"/>
      <c r="U356" s="1589"/>
      <c r="V356" s="1589"/>
      <c r="W356" s="1589"/>
      <c r="X356" s="1589"/>
      <c r="Y356" s="1589"/>
      <c r="Z356" s="1589"/>
      <c r="AA356" s="1589"/>
      <c r="AB356" s="1589"/>
      <c r="AC356" s="1589"/>
      <c r="AD356" s="1589"/>
      <c r="AE356" s="1589"/>
      <c r="AF356" s="1589"/>
      <c r="AG356" s="1589"/>
      <c r="AH356" s="1589">
        <f t="shared" si="16"/>
        <v>0</v>
      </c>
      <c r="AI356" s="1589"/>
      <c r="AJ356" s="1589"/>
      <c r="AK356" s="1589"/>
      <c r="AL356" s="1589"/>
      <c r="AM356" s="1589"/>
      <c r="AN356" s="1589"/>
    </row>
    <row r="357" spans="1:41">
      <c r="A357" s="1590" t="str">
        <f>unos!A191</f>
        <v>037</v>
      </c>
      <c r="B357" s="1591"/>
      <c r="C357" s="1592" t="str">
        <f>unos!B191</f>
        <v>Avansi za investicijske nekretnine</v>
      </c>
      <c r="D357" s="1593"/>
      <c r="E357" s="1593"/>
      <c r="F357" s="1593"/>
      <c r="G357" s="1593"/>
      <c r="H357" s="1593"/>
      <c r="I357" s="1593"/>
      <c r="J357" s="1593"/>
      <c r="K357" s="1593"/>
      <c r="L357" s="1593"/>
      <c r="M357" s="1589">
        <f>unos!C191</f>
        <v>0</v>
      </c>
      <c r="N357" s="1589"/>
      <c r="O357" s="1589"/>
      <c r="P357" s="1589"/>
      <c r="Q357" s="1589"/>
      <c r="R357" s="1589"/>
      <c r="S357" s="1589"/>
      <c r="T357" s="1589"/>
      <c r="U357" s="1589"/>
      <c r="V357" s="1589"/>
      <c r="W357" s="1589"/>
      <c r="X357" s="1589"/>
      <c r="Y357" s="1589"/>
      <c r="Z357" s="1589"/>
      <c r="AA357" s="1589"/>
      <c r="AB357" s="1589"/>
      <c r="AC357" s="1589"/>
      <c r="AD357" s="1589"/>
      <c r="AE357" s="1589"/>
      <c r="AF357" s="1589"/>
      <c r="AG357" s="1589"/>
      <c r="AH357" s="1589">
        <f t="shared" si="16"/>
        <v>0</v>
      </c>
      <c r="AI357" s="1589"/>
      <c r="AJ357" s="1589"/>
      <c r="AK357" s="1589"/>
      <c r="AL357" s="1589"/>
      <c r="AM357" s="1589"/>
      <c r="AN357" s="1589"/>
    </row>
    <row r="358" spans="1:41">
      <c r="A358" s="1173"/>
      <c r="B358" s="1174"/>
      <c r="D358" s="1175"/>
      <c r="E358" s="1175"/>
      <c r="F358" s="1175"/>
      <c r="G358" s="1175"/>
      <c r="H358" s="1175"/>
      <c r="I358" s="1175"/>
      <c r="J358" s="1175"/>
      <c r="K358" s="1175"/>
      <c r="L358" s="1165" t="s">
        <v>222</v>
      </c>
      <c r="M358" s="1588">
        <f>SUM(M352:S357)</f>
        <v>0</v>
      </c>
      <c r="N358" s="1588"/>
      <c r="O358" s="1588"/>
      <c r="P358" s="1588"/>
      <c r="Q358" s="1588"/>
      <c r="R358" s="1588"/>
      <c r="S358" s="1588"/>
      <c r="T358" s="1588">
        <f>SUM(T352:Z357)</f>
        <v>0</v>
      </c>
      <c r="U358" s="1588"/>
      <c r="V358" s="1588"/>
      <c r="W358" s="1588"/>
      <c r="X358" s="1588"/>
      <c r="Y358" s="1588"/>
      <c r="Z358" s="1588"/>
      <c r="AA358" s="1588">
        <f>SUM(AA352:AG357)</f>
        <v>0</v>
      </c>
      <c r="AB358" s="1588"/>
      <c r="AC358" s="1588"/>
      <c r="AD358" s="1588"/>
      <c r="AE358" s="1588"/>
      <c r="AF358" s="1588"/>
      <c r="AG358" s="1588"/>
      <c r="AH358" s="1588">
        <f>SUM(AH352:AN357)</f>
        <v>0</v>
      </c>
      <c r="AI358" s="1588"/>
      <c r="AJ358" s="1588"/>
      <c r="AK358" s="1588"/>
      <c r="AL358" s="1588"/>
      <c r="AM358" s="1588"/>
      <c r="AN358" s="1588"/>
      <c r="AO358" s="1278">
        <f>IF(AH358-'bilans-stanja'!Z43&lt;&gt;0,"GRESKA",AH358-'bilans-stanja'!Z43)</f>
        <v>0</v>
      </c>
    </row>
    <row r="361" spans="1:41">
      <c r="B361" s="828" t="s">
        <v>2015</v>
      </c>
      <c r="M361" s="1596" t="s">
        <v>1952</v>
      </c>
      <c r="N361" s="1596"/>
      <c r="O361" s="1596"/>
      <c r="P361" s="1596"/>
      <c r="Q361" s="1596"/>
      <c r="R361" s="1596"/>
      <c r="S361" s="1596"/>
      <c r="T361" s="1596"/>
      <c r="U361" s="1596"/>
      <c r="V361" s="1596"/>
      <c r="W361" s="1596"/>
      <c r="X361" s="1596"/>
      <c r="Y361" s="1596"/>
      <c r="Z361" s="1596"/>
      <c r="AA361" s="1596"/>
      <c r="AB361" s="1596"/>
      <c r="AC361" s="1596"/>
      <c r="AD361" s="1596"/>
      <c r="AE361" s="1596"/>
      <c r="AF361" s="1596"/>
      <c r="AG361" s="1596"/>
      <c r="AH361" s="1596"/>
      <c r="AI361" s="1596"/>
      <c r="AJ361" s="1596"/>
      <c r="AK361" s="1596"/>
      <c r="AL361" s="1596"/>
      <c r="AM361" s="1596"/>
      <c r="AN361" s="1596"/>
    </row>
    <row r="362" spans="1:41">
      <c r="A362" s="1567" t="s">
        <v>1948</v>
      </c>
      <c r="B362" s="1567"/>
      <c r="C362" s="1597" t="s">
        <v>1947</v>
      </c>
      <c r="D362" s="1597"/>
      <c r="E362" s="1597"/>
      <c r="F362" s="1597"/>
      <c r="G362" s="1597"/>
      <c r="H362" s="1597"/>
      <c r="I362" s="1597"/>
      <c r="J362" s="1597"/>
      <c r="K362" s="1597"/>
      <c r="L362" s="1597"/>
      <c r="M362" s="1567" t="s">
        <v>1943</v>
      </c>
      <c r="N362" s="1567"/>
      <c r="O362" s="1567"/>
      <c r="P362" s="1567"/>
      <c r="Q362" s="1567"/>
      <c r="R362" s="1567"/>
      <c r="S362" s="1567"/>
      <c r="T362" s="1567" t="s">
        <v>1945</v>
      </c>
      <c r="U362" s="1567"/>
      <c r="V362" s="1567"/>
      <c r="W362" s="1567"/>
      <c r="X362" s="1567"/>
      <c r="Y362" s="1567"/>
      <c r="Z362" s="1567"/>
      <c r="AA362" s="1601" t="s">
        <v>198</v>
      </c>
      <c r="AB362" s="1602"/>
      <c r="AC362" s="1602"/>
      <c r="AD362" s="1602"/>
      <c r="AE362" s="1602"/>
      <c r="AF362" s="1602"/>
      <c r="AG362" s="1603"/>
      <c r="AH362" s="1597" t="s">
        <v>1946</v>
      </c>
      <c r="AI362" s="1597"/>
      <c r="AJ362" s="1597"/>
      <c r="AK362" s="1597"/>
      <c r="AL362" s="1597"/>
      <c r="AM362" s="1597"/>
      <c r="AN362" s="1597"/>
    </row>
    <row r="363" spans="1:41">
      <c r="A363" s="1590" t="str">
        <f>unos!A186</f>
        <v>030</v>
      </c>
      <c r="B363" s="1591"/>
      <c r="C363" s="1592" t="str">
        <f>unos!B186</f>
        <v>Ulaganja u vlastito zemljište</v>
      </c>
      <c r="D363" s="1593"/>
      <c r="E363" s="1593"/>
      <c r="F363" s="1593"/>
      <c r="G363" s="1593"/>
      <c r="H363" s="1593"/>
      <c r="I363" s="1593"/>
      <c r="J363" s="1593"/>
      <c r="K363" s="1593"/>
      <c r="L363" s="1593"/>
      <c r="M363" s="1589">
        <f>unos!D186</f>
        <v>0</v>
      </c>
      <c r="N363" s="1589"/>
      <c r="O363" s="1589"/>
      <c r="P363" s="1589"/>
      <c r="Q363" s="1589"/>
      <c r="R363" s="1589"/>
      <c r="S363" s="1589"/>
      <c r="T363" s="1589"/>
      <c r="U363" s="1589"/>
      <c r="V363" s="1589"/>
      <c r="W363" s="1589"/>
      <c r="X363" s="1589"/>
      <c r="Y363" s="1589"/>
      <c r="Z363" s="1589"/>
      <c r="AA363" s="1589"/>
      <c r="AB363" s="1589"/>
      <c r="AC363" s="1589"/>
      <c r="AD363" s="1589"/>
      <c r="AE363" s="1589"/>
      <c r="AF363" s="1589"/>
      <c r="AG363" s="1589"/>
      <c r="AH363" s="1589">
        <f t="shared" ref="AH363:AH368" si="17">M363+AA363-T363</f>
        <v>0</v>
      </c>
      <c r="AI363" s="1589"/>
      <c r="AJ363" s="1589"/>
      <c r="AK363" s="1589"/>
      <c r="AL363" s="1589"/>
      <c r="AM363" s="1589"/>
      <c r="AN363" s="1589"/>
    </row>
    <row r="364" spans="1:41">
      <c r="A364" s="1590" t="str">
        <f>unos!A187</f>
        <v>031</v>
      </c>
      <c r="B364" s="1591"/>
      <c r="C364" s="1592" t="str">
        <f>unos!B187</f>
        <v>Ulaganja u iznajmljeno zemljište</v>
      </c>
      <c r="D364" s="1593"/>
      <c r="E364" s="1593"/>
      <c r="F364" s="1593"/>
      <c r="G364" s="1593"/>
      <c r="H364" s="1593"/>
      <c r="I364" s="1593"/>
      <c r="J364" s="1593"/>
      <c r="K364" s="1593"/>
      <c r="L364" s="1593"/>
      <c r="M364" s="1589">
        <f>unos!D187</f>
        <v>0</v>
      </c>
      <c r="N364" s="1589"/>
      <c r="O364" s="1589"/>
      <c r="P364" s="1589"/>
      <c r="Q364" s="1589"/>
      <c r="R364" s="1589"/>
      <c r="S364" s="1589"/>
      <c r="T364" s="1589"/>
      <c r="U364" s="1589"/>
      <c r="V364" s="1589"/>
      <c r="W364" s="1589"/>
      <c r="X364" s="1589"/>
      <c r="Y364" s="1589"/>
      <c r="Z364" s="1589"/>
      <c r="AA364" s="1589"/>
      <c r="AB364" s="1589"/>
      <c r="AC364" s="1589"/>
      <c r="AD364" s="1589"/>
      <c r="AE364" s="1589"/>
      <c r="AF364" s="1589"/>
      <c r="AG364" s="1589"/>
      <c r="AH364" s="1589">
        <f t="shared" si="17"/>
        <v>0</v>
      </c>
      <c r="AI364" s="1589"/>
      <c r="AJ364" s="1589"/>
      <c r="AK364" s="1589"/>
      <c r="AL364" s="1589"/>
      <c r="AM364" s="1589"/>
      <c r="AN364" s="1589"/>
    </row>
    <row r="365" spans="1:41">
      <c r="A365" s="1590" t="str">
        <f>unos!A188</f>
        <v>032</v>
      </c>
      <c r="B365" s="1591"/>
      <c r="C365" s="1592" t="str">
        <f>unos!B188</f>
        <v>Ulaganja u vlastite građevine</v>
      </c>
      <c r="D365" s="1593"/>
      <c r="E365" s="1593"/>
      <c r="F365" s="1593"/>
      <c r="G365" s="1593"/>
      <c r="H365" s="1593"/>
      <c r="I365" s="1593"/>
      <c r="J365" s="1593"/>
      <c r="K365" s="1593"/>
      <c r="L365" s="1593"/>
      <c r="M365" s="1589">
        <f>unos!D188</f>
        <v>0</v>
      </c>
      <c r="N365" s="1589"/>
      <c r="O365" s="1589"/>
      <c r="P365" s="1589"/>
      <c r="Q365" s="1589"/>
      <c r="R365" s="1589"/>
      <c r="S365" s="1589"/>
      <c r="T365" s="1589"/>
      <c r="U365" s="1589"/>
      <c r="V365" s="1589"/>
      <c r="W365" s="1589"/>
      <c r="X365" s="1589"/>
      <c r="Y365" s="1589"/>
      <c r="Z365" s="1589"/>
      <c r="AA365" s="1589"/>
      <c r="AB365" s="1589"/>
      <c r="AC365" s="1589"/>
      <c r="AD365" s="1589"/>
      <c r="AE365" s="1589"/>
      <c r="AF365" s="1589"/>
      <c r="AG365" s="1589"/>
      <c r="AH365" s="1589">
        <f t="shared" si="17"/>
        <v>0</v>
      </c>
      <c r="AI365" s="1589"/>
      <c r="AJ365" s="1589"/>
      <c r="AK365" s="1589"/>
      <c r="AL365" s="1589"/>
      <c r="AM365" s="1589"/>
      <c r="AN365" s="1589"/>
    </row>
    <row r="366" spans="1:41">
      <c r="A366" s="1590" t="str">
        <f>unos!A189</f>
        <v>033</v>
      </c>
      <c r="B366" s="1591"/>
      <c r="C366" s="1592" t="str">
        <f>unos!B189</f>
        <v>Ulaganja u unajmljene građevine</v>
      </c>
      <c r="D366" s="1593"/>
      <c r="E366" s="1593"/>
      <c r="F366" s="1593"/>
      <c r="G366" s="1593"/>
      <c r="H366" s="1593"/>
      <c r="I366" s="1593"/>
      <c r="J366" s="1593"/>
      <c r="K366" s="1593"/>
      <c r="L366" s="1593"/>
      <c r="M366" s="1589">
        <f>unos!D189</f>
        <v>0</v>
      </c>
      <c r="N366" s="1589"/>
      <c r="O366" s="1589"/>
      <c r="P366" s="1589"/>
      <c r="Q366" s="1589"/>
      <c r="R366" s="1589"/>
      <c r="S366" s="1589"/>
      <c r="T366" s="1589"/>
      <c r="U366" s="1589"/>
      <c r="V366" s="1589"/>
      <c r="W366" s="1589"/>
      <c r="X366" s="1589"/>
      <c r="Y366" s="1589"/>
      <c r="Z366" s="1589"/>
      <c r="AA366" s="1589"/>
      <c r="AB366" s="1589"/>
      <c r="AC366" s="1589"/>
      <c r="AD366" s="1589"/>
      <c r="AE366" s="1589"/>
      <c r="AF366" s="1589"/>
      <c r="AG366" s="1589"/>
      <c r="AH366" s="1589">
        <f t="shared" si="17"/>
        <v>0</v>
      </c>
      <c r="AI366" s="1589"/>
      <c r="AJ366" s="1589"/>
      <c r="AK366" s="1589"/>
      <c r="AL366" s="1589"/>
      <c r="AM366" s="1589"/>
      <c r="AN366" s="1589"/>
    </row>
    <row r="367" spans="1:41">
      <c r="A367" s="1590" t="str">
        <f>unos!A190</f>
        <v>035</v>
      </c>
      <c r="B367" s="1591"/>
      <c r="C367" s="1592" t="str">
        <f>unos!B190</f>
        <v>Ulaganja u nekretnine u pripremi</v>
      </c>
      <c r="D367" s="1593"/>
      <c r="E367" s="1593"/>
      <c r="F367" s="1593"/>
      <c r="G367" s="1593"/>
      <c r="H367" s="1593"/>
      <c r="I367" s="1593"/>
      <c r="J367" s="1593"/>
      <c r="K367" s="1593"/>
      <c r="L367" s="1593"/>
      <c r="M367" s="1589">
        <f>unos!D190</f>
        <v>0</v>
      </c>
      <c r="N367" s="1589"/>
      <c r="O367" s="1589"/>
      <c r="P367" s="1589"/>
      <c r="Q367" s="1589"/>
      <c r="R367" s="1589"/>
      <c r="S367" s="1589"/>
      <c r="T367" s="1589"/>
      <c r="U367" s="1589"/>
      <c r="V367" s="1589"/>
      <c r="W367" s="1589"/>
      <c r="X367" s="1589"/>
      <c r="Y367" s="1589"/>
      <c r="Z367" s="1589"/>
      <c r="AA367" s="1589"/>
      <c r="AB367" s="1589"/>
      <c r="AC367" s="1589"/>
      <c r="AD367" s="1589"/>
      <c r="AE367" s="1589"/>
      <c r="AF367" s="1589"/>
      <c r="AG367" s="1589"/>
      <c r="AH367" s="1589">
        <f t="shared" si="17"/>
        <v>0</v>
      </c>
      <c r="AI367" s="1589"/>
      <c r="AJ367" s="1589"/>
      <c r="AK367" s="1589"/>
      <c r="AL367" s="1589"/>
      <c r="AM367" s="1589"/>
      <c r="AN367" s="1589"/>
    </row>
    <row r="368" spans="1:41">
      <c r="A368" s="1590" t="str">
        <f>unos!A191</f>
        <v>037</v>
      </c>
      <c r="B368" s="1591"/>
      <c r="C368" s="1592" t="str">
        <f>unos!B191</f>
        <v>Avansi za investicijske nekretnine</v>
      </c>
      <c r="D368" s="1593"/>
      <c r="E368" s="1593"/>
      <c r="F368" s="1593"/>
      <c r="G368" s="1593"/>
      <c r="H368" s="1593"/>
      <c r="I368" s="1593"/>
      <c r="J368" s="1593"/>
      <c r="K368" s="1593"/>
      <c r="L368" s="1593"/>
      <c r="M368" s="1589">
        <f>unos!D191</f>
        <v>0</v>
      </c>
      <c r="N368" s="1589"/>
      <c r="O368" s="1589"/>
      <c r="P368" s="1589"/>
      <c r="Q368" s="1589"/>
      <c r="R368" s="1589"/>
      <c r="S368" s="1589"/>
      <c r="T368" s="1589"/>
      <c r="U368" s="1589"/>
      <c r="V368" s="1589"/>
      <c r="W368" s="1589"/>
      <c r="X368" s="1589"/>
      <c r="Y368" s="1589"/>
      <c r="Z368" s="1589"/>
      <c r="AA368" s="1589"/>
      <c r="AB368" s="1589"/>
      <c r="AC368" s="1589"/>
      <c r="AD368" s="1589"/>
      <c r="AE368" s="1589"/>
      <c r="AF368" s="1589"/>
      <c r="AG368" s="1589"/>
      <c r="AH368" s="1589">
        <f t="shared" si="17"/>
        <v>0</v>
      </c>
      <c r="AI368" s="1589"/>
      <c r="AJ368" s="1589"/>
      <c r="AK368" s="1589"/>
      <c r="AL368" s="1589"/>
      <c r="AM368" s="1589"/>
      <c r="AN368" s="1589"/>
    </row>
    <row r="369" spans="1:41">
      <c r="A369" s="1173"/>
      <c r="B369" s="1174"/>
      <c r="D369" s="1175"/>
      <c r="E369" s="1175"/>
      <c r="F369" s="1175"/>
      <c r="G369" s="1175"/>
      <c r="H369" s="1175"/>
      <c r="I369" s="1175"/>
      <c r="J369" s="1175"/>
      <c r="K369" s="1175"/>
      <c r="L369" s="1165" t="s">
        <v>222</v>
      </c>
      <c r="M369" s="1600">
        <f>SUM(M363:S368)</f>
        <v>0</v>
      </c>
      <c r="N369" s="1600"/>
      <c r="O369" s="1600"/>
      <c r="P369" s="1600"/>
      <c r="Q369" s="1600"/>
      <c r="R369" s="1600"/>
      <c r="S369" s="1600"/>
      <c r="T369" s="1600">
        <f>SUM(T363:Z368)</f>
        <v>0</v>
      </c>
      <c r="U369" s="1600"/>
      <c r="V369" s="1600"/>
      <c r="W369" s="1600"/>
      <c r="X369" s="1600"/>
      <c r="Y369" s="1600"/>
      <c r="Z369" s="1600"/>
      <c r="AA369" s="1600">
        <f>SUM(AA363:AG368)</f>
        <v>0</v>
      </c>
      <c r="AB369" s="1600"/>
      <c r="AC369" s="1600"/>
      <c r="AD369" s="1600"/>
      <c r="AE369" s="1600"/>
      <c r="AF369" s="1600"/>
      <c r="AG369" s="1600"/>
      <c r="AH369" s="1600">
        <f>SUM(AH363:AN368)</f>
        <v>0</v>
      </c>
      <c r="AI369" s="1600"/>
      <c r="AJ369" s="1600"/>
      <c r="AK369" s="1600"/>
      <c r="AL369" s="1600"/>
      <c r="AM369" s="1600"/>
      <c r="AN369" s="1600"/>
      <c r="AO369" s="1278">
        <f>IF(AH369-'bilans-stanja'!AG43&lt;&gt;0,"GRESKA",AH369-'bilans-stanja'!AG43)</f>
        <v>0</v>
      </c>
    </row>
    <row r="370" spans="1:41">
      <c r="A370" s="1173"/>
      <c r="B370" s="1174"/>
      <c r="D370" s="1175"/>
      <c r="E370" s="1175"/>
      <c r="F370" s="1175"/>
      <c r="G370" s="1175"/>
      <c r="H370" s="1175"/>
      <c r="I370" s="1175"/>
      <c r="J370" s="1175"/>
      <c r="K370" s="1175"/>
      <c r="L370" s="1165"/>
      <c r="M370" s="1176"/>
      <c r="N370" s="1166"/>
      <c r="O370" s="1166"/>
      <c r="P370" s="1166"/>
      <c r="Q370" s="1166"/>
      <c r="R370" s="1166"/>
      <c r="S370" s="1166"/>
      <c r="T370" s="1176"/>
      <c r="U370" s="1166"/>
      <c r="V370" s="1166"/>
      <c r="W370" s="1166"/>
      <c r="X370" s="1166"/>
      <c r="Y370" s="1166"/>
      <c r="Z370" s="1166"/>
      <c r="AA370" s="1176"/>
      <c r="AB370" s="1166"/>
      <c r="AC370" s="1166"/>
      <c r="AD370" s="1166"/>
      <c r="AE370" s="1166"/>
      <c r="AF370" s="1166"/>
      <c r="AG370" s="1166"/>
      <c r="AH370" s="1176"/>
      <c r="AI370" s="1166"/>
      <c r="AJ370" s="1166"/>
      <c r="AK370" s="1166"/>
      <c r="AL370" s="1166"/>
      <c r="AM370" s="1166"/>
      <c r="AN370" s="1166"/>
    </row>
    <row r="371" spans="1:41">
      <c r="A371" s="1173"/>
      <c r="B371" s="1174"/>
      <c r="D371" s="1175"/>
      <c r="E371" s="1175"/>
      <c r="F371" s="1175"/>
      <c r="G371" s="1175"/>
      <c r="H371" s="1175"/>
      <c r="I371" s="1175"/>
      <c r="J371" s="1175"/>
      <c r="K371" s="1175"/>
      <c r="L371" s="1165"/>
      <c r="M371" s="1176"/>
      <c r="N371" s="1166"/>
      <c r="O371" s="1166"/>
      <c r="P371" s="1166"/>
      <c r="Q371" s="1166"/>
      <c r="R371" s="1166"/>
      <c r="S371" s="1166"/>
      <c r="T371" s="1176"/>
      <c r="U371" s="1166"/>
      <c r="V371" s="1166"/>
      <c r="W371" s="1166"/>
      <c r="X371" s="1166"/>
      <c r="Y371" s="1166"/>
      <c r="Z371" s="1166"/>
      <c r="AA371" s="1176"/>
      <c r="AB371" s="1166"/>
      <c r="AC371" s="1166"/>
      <c r="AD371" s="1166"/>
      <c r="AE371" s="1166"/>
      <c r="AF371" s="1166"/>
      <c r="AG371" s="1166"/>
      <c r="AH371" s="1176"/>
      <c r="AI371" s="1166"/>
      <c r="AJ371" s="1166"/>
      <c r="AK371" s="1166"/>
      <c r="AL371" s="1166"/>
      <c r="AM371" s="1166"/>
      <c r="AN371" s="1166"/>
    </row>
    <row r="372" spans="1:41">
      <c r="C372" s="1177" t="s">
        <v>1949</v>
      </c>
      <c r="D372" s="1178"/>
      <c r="E372" s="1178"/>
      <c r="F372" s="1178"/>
      <c r="G372" s="1178"/>
      <c r="H372" s="1178"/>
      <c r="I372" s="1178"/>
      <c r="J372" s="1178"/>
      <c r="K372" s="1178"/>
      <c r="L372" s="1178"/>
      <c r="M372" s="1178"/>
      <c r="N372" s="1178"/>
      <c r="O372" s="1178"/>
      <c r="P372" s="1178"/>
      <c r="Q372" s="1178"/>
      <c r="R372" s="1178"/>
      <c r="S372" s="1178"/>
      <c r="T372" s="1560">
        <f>M358-M369</f>
        <v>0</v>
      </c>
      <c r="U372" s="1598"/>
      <c r="V372" s="1598"/>
      <c r="W372" s="1598"/>
      <c r="X372" s="1598"/>
      <c r="Y372" s="1598"/>
      <c r="Z372" s="1599"/>
    </row>
    <row r="373" spans="1:41">
      <c r="C373" s="1177" t="s">
        <v>1950</v>
      </c>
      <c r="D373" s="1178"/>
      <c r="E373" s="1178"/>
      <c r="F373" s="1178"/>
      <c r="G373" s="1178"/>
      <c r="H373" s="1178"/>
      <c r="I373" s="1178"/>
      <c r="J373" s="1178"/>
      <c r="K373" s="1178"/>
      <c r="L373" s="1178"/>
      <c r="M373" s="1178"/>
      <c r="N373" s="1178"/>
      <c r="O373" s="1178"/>
      <c r="P373" s="1178"/>
      <c r="Q373" s="1178"/>
      <c r="R373" s="1178"/>
      <c r="S373" s="1178"/>
      <c r="T373" s="1560">
        <f>AH358-AH369</f>
        <v>0</v>
      </c>
      <c r="U373" s="1598"/>
      <c r="V373" s="1598"/>
      <c r="W373" s="1598"/>
      <c r="X373" s="1598"/>
      <c r="Y373" s="1598"/>
      <c r="Z373" s="1599"/>
    </row>
    <row r="375" spans="1:41">
      <c r="A375" s="1581"/>
      <c r="B375" s="1581"/>
      <c r="C375" s="1581"/>
      <c r="D375" s="1581"/>
      <c r="E375" s="1581"/>
      <c r="F375" s="1581"/>
      <c r="G375" s="1581"/>
      <c r="H375" s="1581"/>
      <c r="I375" s="1581"/>
      <c r="J375" s="1581"/>
      <c r="K375" s="1581"/>
      <c r="L375" s="1581"/>
      <c r="M375" s="1581"/>
      <c r="N375" s="1581"/>
      <c r="O375" s="1581"/>
      <c r="P375" s="1581"/>
      <c r="Q375" s="1581"/>
      <c r="R375" s="1581"/>
      <c r="S375" s="1581"/>
      <c r="T375" s="1581"/>
      <c r="U375" s="1581"/>
      <c r="V375" s="1581"/>
      <c r="W375" s="1581"/>
      <c r="X375" s="1581"/>
      <c r="Y375" s="1581"/>
      <c r="Z375" s="1581"/>
      <c r="AA375" s="1581"/>
      <c r="AB375" s="1581"/>
      <c r="AC375" s="1581"/>
      <c r="AD375" s="1581"/>
      <c r="AE375" s="1581"/>
      <c r="AF375" s="1581"/>
      <c r="AG375" s="1581"/>
      <c r="AH375" s="1581"/>
      <c r="AI375" s="1581"/>
      <c r="AJ375" s="1581"/>
      <c r="AK375" s="1581"/>
      <c r="AL375" s="1581"/>
      <c r="AM375" s="1581"/>
      <c r="AN375" s="1581"/>
    </row>
    <row r="376" spans="1:41">
      <c r="A376" s="1581"/>
      <c r="B376" s="1581"/>
      <c r="C376" s="1581"/>
      <c r="D376" s="1581"/>
      <c r="E376" s="1581"/>
      <c r="F376" s="1581"/>
      <c r="G376" s="1581"/>
      <c r="H376" s="1581"/>
      <c r="I376" s="1581"/>
      <c r="J376" s="1581"/>
      <c r="K376" s="1581"/>
      <c r="L376" s="1581"/>
      <c r="M376" s="1581"/>
      <c r="N376" s="1581"/>
      <c r="O376" s="1581"/>
      <c r="P376" s="1581"/>
      <c r="Q376" s="1581"/>
      <c r="R376" s="1581"/>
      <c r="S376" s="1581"/>
      <c r="T376" s="1581"/>
      <c r="U376" s="1581"/>
      <c r="V376" s="1581"/>
      <c r="W376" s="1581"/>
      <c r="X376" s="1581"/>
      <c r="Y376" s="1581"/>
      <c r="Z376" s="1581"/>
      <c r="AA376" s="1581"/>
      <c r="AB376" s="1581"/>
      <c r="AC376" s="1581"/>
      <c r="AD376" s="1581"/>
      <c r="AE376" s="1581"/>
      <c r="AF376" s="1581"/>
      <c r="AG376" s="1581"/>
      <c r="AH376" s="1581"/>
      <c r="AI376" s="1581"/>
      <c r="AJ376" s="1581"/>
      <c r="AK376" s="1581"/>
      <c r="AL376" s="1581"/>
      <c r="AM376" s="1581"/>
      <c r="AN376" s="1581"/>
    </row>
    <row r="377" spans="1:41">
      <c r="A377" s="1581"/>
      <c r="B377" s="1581"/>
      <c r="C377" s="1581"/>
      <c r="D377" s="1581"/>
      <c r="E377" s="1581"/>
      <c r="F377" s="1581"/>
      <c r="G377" s="1581"/>
      <c r="H377" s="1581"/>
      <c r="I377" s="1581"/>
      <c r="J377" s="1581"/>
      <c r="K377" s="1581"/>
      <c r="L377" s="1581"/>
      <c r="M377" s="1581"/>
      <c r="N377" s="1581"/>
      <c r="O377" s="1581"/>
      <c r="P377" s="1581"/>
      <c r="Q377" s="1581"/>
      <c r="R377" s="1581"/>
      <c r="S377" s="1581"/>
      <c r="T377" s="1581"/>
      <c r="U377" s="1581"/>
      <c r="V377" s="1581"/>
      <c r="W377" s="1581"/>
      <c r="X377" s="1581"/>
      <c r="Y377" s="1581"/>
      <c r="Z377" s="1581"/>
      <c r="AA377" s="1581"/>
      <c r="AB377" s="1581"/>
      <c r="AC377" s="1581"/>
      <c r="AD377" s="1581"/>
      <c r="AE377" s="1581"/>
      <c r="AF377" s="1581"/>
      <c r="AG377" s="1581"/>
      <c r="AH377" s="1581"/>
      <c r="AI377" s="1581"/>
      <c r="AJ377" s="1581"/>
      <c r="AK377" s="1581"/>
      <c r="AL377" s="1581"/>
      <c r="AM377" s="1581"/>
      <c r="AN377" s="1581"/>
    </row>
    <row r="378" spans="1:41">
      <c r="A378" s="1581"/>
      <c r="B378" s="1581"/>
      <c r="C378" s="1581"/>
      <c r="D378" s="1581"/>
      <c r="E378" s="1581"/>
      <c r="F378" s="1581"/>
      <c r="G378" s="1581"/>
      <c r="H378" s="1581"/>
      <c r="I378" s="1581"/>
      <c r="J378" s="1581"/>
      <c r="K378" s="1581"/>
      <c r="L378" s="1581"/>
      <c r="M378" s="1581"/>
      <c r="N378" s="1581"/>
      <c r="O378" s="1581"/>
      <c r="P378" s="1581"/>
      <c r="Q378" s="1581"/>
      <c r="R378" s="1581"/>
      <c r="S378" s="1581"/>
      <c r="T378" s="1581"/>
      <c r="U378" s="1581"/>
      <c r="V378" s="1581"/>
      <c r="W378" s="1581"/>
      <c r="X378" s="1581"/>
      <c r="Y378" s="1581"/>
      <c r="Z378" s="1581"/>
      <c r="AA378" s="1581"/>
      <c r="AB378" s="1581"/>
      <c r="AC378" s="1581"/>
      <c r="AD378" s="1581"/>
      <c r="AE378" s="1581"/>
      <c r="AF378" s="1581"/>
      <c r="AG378" s="1581"/>
      <c r="AH378" s="1581"/>
      <c r="AI378" s="1581"/>
      <c r="AJ378" s="1581"/>
      <c r="AK378" s="1581"/>
      <c r="AL378" s="1581"/>
      <c r="AM378" s="1581"/>
      <c r="AN378" s="1581"/>
    </row>
    <row r="379" spans="1:41">
      <c r="A379" s="828" t="s">
        <v>1933</v>
      </c>
      <c r="B379" s="828" t="s">
        <v>199</v>
      </c>
    </row>
    <row r="381" spans="1:41">
      <c r="C381" s="828" t="s">
        <v>2163</v>
      </c>
      <c r="M381" s="1596" t="s">
        <v>1952</v>
      </c>
      <c r="N381" s="1596"/>
      <c r="O381" s="1596"/>
      <c r="P381" s="1596"/>
      <c r="Q381" s="1596"/>
      <c r="R381" s="1596"/>
      <c r="S381" s="1596"/>
      <c r="T381" s="1596"/>
      <c r="U381" s="1596"/>
      <c r="V381" s="1596"/>
      <c r="W381" s="1596"/>
      <c r="X381" s="1596"/>
      <c r="Y381" s="1596"/>
      <c r="Z381" s="1596"/>
      <c r="AA381" s="1596"/>
      <c r="AB381" s="1596"/>
      <c r="AC381" s="1596"/>
      <c r="AD381" s="1596"/>
      <c r="AE381" s="1596"/>
      <c r="AF381" s="1596"/>
      <c r="AG381" s="1596"/>
      <c r="AH381" s="1596"/>
      <c r="AI381" s="1596"/>
      <c r="AJ381" s="1596"/>
      <c r="AK381" s="1596"/>
      <c r="AL381" s="1596"/>
      <c r="AM381" s="1596"/>
      <c r="AN381" s="1596"/>
    </row>
    <row r="382" spans="1:41">
      <c r="A382" s="1567" t="s">
        <v>1948</v>
      </c>
      <c r="B382" s="1567"/>
      <c r="C382" s="1597" t="s">
        <v>1947</v>
      </c>
      <c r="D382" s="1597"/>
      <c r="E382" s="1597"/>
      <c r="F382" s="1597"/>
      <c r="G382" s="1597"/>
      <c r="H382" s="1597"/>
      <c r="I382" s="1597"/>
      <c r="J382" s="1597"/>
      <c r="K382" s="1597"/>
      <c r="L382" s="1597"/>
      <c r="M382" s="1567" t="s">
        <v>1943</v>
      </c>
      <c r="N382" s="1567"/>
      <c r="O382" s="1567"/>
      <c r="P382" s="1567"/>
      <c r="Q382" s="1567"/>
      <c r="R382" s="1567"/>
      <c r="S382" s="1567"/>
      <c r="T382" s="1567" t="s">
        <v>1944</v>
      </c>
      <c r="U382" s="1567"/>
      <c r="V382" s="1567"/>
      <c r="W382" s="1567"/>
      <c r="X382" s="1567"/>
      <c r="Y382" s="1567"/>
      <c r="Z382" s="1567"/>
      <c r="AA382" s="1567" t="s">
        <v>1945</v>
      </c>
      <c r="AB382" s="1567"/>
      <c r="AC382" s="1567"/>
      <c r="AD382" s="1567"/>
      <c r="AE382" s="1567"/>
      <c r="AF382" s="1567"/>
      <c r="AG382" s="1567"/>
      <c r="AH382" s="1597" t="s">
        <v>1946</v>
      </c>
      <c r="AI382" s="1597"/>
      <c r="AJ382" s="1597"/>
      <c r="AK382" s="1597"/>
      <c r="AL382" s="1597"/>
      <c r="AM382" s="1597"/>
      <c r="AN382" s="1597"/>
    </row>
    <row r="383" spans="1:41">
      <c r="A383" s="1590" t="str">
        <f>unos!A192</f>
        <v>040</v>
      </c>
      <c r="B383" s="1591"/>
      <c r="C383" s="1592" t="str">
        <f>unos!B192</f>
        <v>Šume</v>
      </c>
      <c r="D383" s="1593"/>
      <c r="E383" s="1593"/>
      <c r="F383" s="1593"/>
      <c r="G383" s="1593"/>
      <c r="H383" s="1593"/>
      <c r="I383" s="1593"/>
      <c r="J383" s="1593"/>
      <c r="K383" s="1593"/>
      <c r="L383" s="1593"/>
      <c r="M383" s="1589">
        <f>unos!C192</f>
        <v>0</v>
      </c>
      <c r="N383" s="1589"/>
      <c r="O383" s="1589"/>
      <c r="P383" s="1589"/>
      <c r="Q383" s="1589"/>
      <c r="R383" s="1589"/>
      <c r="S383" s="1589"/>
      <c r="T383" s="1589"/>
      <c r="U383" s="1589"/>
      <c r="V383" s="1589"/>
      <c r="W383" s="1589"/>
      <c r="X383" s="1589"/>
      <c r="Y383" s="1589"/>
      <c r="Z383" s="1589"/>
      <c r="AA383" s="1589"/>
      <c r="AB383" s="1589"/>
      <c r="AC383" s="1589"/>
      <c r="AD383" s="1589"/>
      <c r="AE383" s="1589"/>
      <c r="AF383" s="1589"/>
      <c r="AG383" s="1589"/>
      <c r="AH383" s="1589">
        <f>M383+T383-AA383</f>
        <v>0</v>
      </c>
      <c r="AI383" s="1589"/>
      <c r="AJ383" s="1589"/>
      <c r="AK383" s="1589"/>
      <c r="AL383" s="1589"/>
      <c r="AM383" s="1589"/>
      <c r="AN383" s="1589"/>
    </row>
    <row r="384" spans="1:41">
      <c r="A384" s="1590" t="str">
        <f>unos!A193</f>
        <v>041</v>
      </c>
      <c r="B384" s="1591"/>
      <c r="C384" s="1592" t="str">
        <f>unos!B193</f>
        <v>Višegodišnji zasadi</v>
      </c>
      <c r="D384" s="1593"/>
      <c r="E384" s="1593"/>
      <c r="F384" s="1593"/>
      <c r="G384" s="1593"/>
      <c r="H384" s="1593"/>
      <c r="I384" s="1593"/>
      <c r="J384" s="1593"/>
      <c r="K384" s="1593"/>
      <c r="L384" s="1593"/>
      <c r="M384" s="1589">
        <f>unos!C193</f>
        <v>0</v>
      </c>
      <c r="N384" s="1589"/>
      <c r="O384" s="1589"/>
      <c r="P384" s="1589"/>
      <c r="Q384" s="1589"/>
      <c r="R384" s="1589"/>
      <c r="S384" s="1589"/>
      <c r="T384" s="1589"/>
      <c r="U384" s="1589"/>
      <c r="V384" s="1589"/>
      <c r="W384" s="1589"/>
      <c r="X384" s="1589"/>
      <c r="Y384" s="1589"/>
      <c r="Z384" s="1589"/>
      <c r="AA384" s="1589"/>
      <c r="AB384" s="1589"/>
      <c r="AC384" s="1589"/>
      <c r="AD384" s="1589"/>
      <c r="AE384" s="1589"/>
      <c r="AF384" s="1589"/>
      <c r="AG384" s="1589"/>
      <c r="AH384" s="1589">
        <f>M384+T384-AA384</f>
        <v>0</v>
      </c>
      <c r="AI384" s="1589"/>
      <c r="AJ384" s="1589"/>
      <c r="AK384" s="1589"/>
      <c r="AL384" s="1589"/>
      <c r="AM384" s="1589"/>
      <c r="AN384" s="1589"/>
    </row>
    <row r="385" spans="1:41">
      <c r="A385" s="1590" t="str">
        <f>unos!A194</f>
        <v>042</v>
      </c>
      <c r="B385" s="1591"/>
      <c r="C385" s="1592" t="str">
        <f>unos!B194</f>
        <v>Osnovno stado</v>
      </c>
      <c r="D385" s="1593"/>
      <c r="E385" s="1593"/>
      <c r="F385" s="1593"/>
      <c r="G385" s="1593"/>
      <c r="H385" s="1593"/>
      <c r="I385" s="1593"/>
      <c r="J385" s="1593"/>
      <c r="K385" s="1593"/>
      <c r="L385" s="1593"/>
      <c r="M385" s="1589">
        <f>unos!C194</f>
        <v>0</v>
      </c>
      <c r="N385" s="1589"/>
      <c r="O385" s="1589"/>
      <c r="P385" s="1589"/>
      <c r="Q385" s="1589"/>
      <c r="R385" s="1589"/>
      <c r="S385" s="1589"/>
      <c r="T385" s="1589"/>
      <c r="U385" s="1589"/>
      <c r="V385" s="1589"/>
      <c r="W385" s="1589"/>
      <c r="X385" s="1589"/>
      <c r="Y385" s="1589"/>
      <c r="Z385" s="1589"/>
      <c r="AA385" s="1589"/>
      <c r="AB385" s="1589"/>
      <c r="AC385" s="1589"/>
      <c r="AD385" s="1589"/>
      <c r="AE385" s="1589"/>
      <c r="AF385" s="1589"/>
      <c r="AG385" s="1589"/>
      <c r="AH385" s="1589">
        <f>M385+T385-AA385</f>
        <v>0</v>
      </c>
      <c r="AI385" s="1589"/>
      <c r="AJ385" s="1589"/>
      <c r="AK385" s="1589"/>
      <c r="AL385" s="1589"/>
      <c r="AM385" s="1589"/>
      <c r="AN385" s="1589"/>
    </row>
    <row r="386" spans="1:41">
      <c r="A386" s="1590" t="str">
        <f>unos!A195</f>
        <v>045</v>
      </c>
      <c r="B386" s="1591"/>
      <c r="C386" s="1592" t="str">
        <f>unos!B195</f>
        <v>Biološka sredstva u pripremi</v>
      </c>
      <c r="D386" s="1593"/>
      <c r="E386" s="1593"/>
      <c r="F386" s="1593"/>
      <c r="G386" s="1593"/>
      <c r="H386" s="1593"/>
      <c r="I386" s="1593"/>
      <c r="J386" s="1593"/>
      <c r="K386" s="1593"/>
      <c r="L386" s="1593"/>
      <c r="M386" s="1589">
        <f>unos!C195</f>
        <v>0</v>
      </c>
      <c r="N386" s="1589"/>
      <c r="O386" s="1589"/>
      <c r="P386" s="1589"/>
      <c r="Q386" s="1589"/>
      <c r="R386" s="1589"/>
      <c r="S386" s="1589"/>
      <c r="T386" s="1589"/>
      <c r="U386" s="1589"/>
      <c r="V386" s="1589"/>
      <c r="W386" s="1589"/>
      <c r="X386" s="1589"/>
      <c r="Y386" s="1589"/>
      <c r="Z386" s="1589"/>
      <c r="AA386" s="1589"/>
      <c r="AB386" s="1589"/>
      <c r="AC386" s="1589"/>
      <c r="AD386" s="1589"/>
      <c r="AE386" s="1589"/>
      <c r="AF386" s="1589"/>
      <c r="AG386" s="1589"/>
      <c r="AH386" s="1589">
        <f>M386+T386-AA386</f>
        <v>0</v>
      </c>
      <c r="AI386" s="1589"/>
      <c r="AJ386" s="1589"/>
      <c r="AK386" s="1589"/>
      <c r="AL386" s="1589"/>
      <c r="AM386" s="1589"/>
      <c r="AN386" s="1589"/>
    </row>
    <row r="387" spans="1:41">
      <c r="A387" s="1590" t="str">
        <f>unos!A196</f>
        <v>047</v>
      </c>
      <c r="B387" s="1591"/>
      <c r="C387" s="1592" t="str">
        <f>unos!B196</f>
        <v>Avansu za biološka sredstva</v>
      </c>
      <c r="D387" s="1593"/>
      <c r="E387" s="1593"/>
      <c r="F387" s="1593"/>
      <c r="G387" s="1593"/>
      <c r="H387" s="1593"/>
      <c r="I387" s="1593"/>
      <c r="J387" s="1593"/>
      <c r="K387" s="1593"/>
      <c r="L387" s="1593"/>
      <c r="M387" s="1589">
        <f>unos!C196</f>
        <v>0</v>
      </c>
      <c r="N387" s="1589"/>
      <c r="O387" s="1589"/>
      <c r="P387" s="1589"/>
      <c r="Q387" s="1589"/>
      <c r="R387" s="1589"/>
      <c r="S387" s="1589"/>
      <c r="T387" s="1589"/>
      <c r="U387" s="1589"/>
      <c r="V387" s="1589"/>
      <c r="W387" s="1589"/>
      <c r="X387" s="1589"/>
      <c r="Y387" s="1589"/>
      <c r="Z387" s="1589"/>
      <c r="AA387" s="1589"/>
      <c r="AB387" s="1589"/>
      <c r="AC387" s="1589"/>
      <c r="AD387" s="1589"/>
      <c r="AE387" s="1589"/>
      <c r="AF387" s="1589"/>
      <c r="AG387" s="1589"/>
      <c r="AH387" s="1589">
        <f>M387+T387-AA387</f>
        <v>0</v>
      </c>
      <c r="AI387" s="1589"/>
      <c r="AJ387" s="1589"/>
      <c r="AK387" s="1589"/>
      <c r="AL387" s="1589"/>
      <c r="AM387" s="1589"/>
      <c r="AN387" s="1589"/>
    </row>
    <row r="388" spans="1:41">
      <c r="A388" s="1173"/>
      <c r="B388" s="1174"/>
      <c r="D388" s="1175"/>
      <c r="E388" s="1175"/>
      <c r="F388" s="1175"/>
      <c r="G388" s="1175"/>
      <c r="H388" s="1175"/>
      <c r="I388" s="1175"/>
      <c r="J388" s="1175"/>
      <c r="K388" s="1175"/>
      <c r="L388" s="1165" t="s">
        <v>222</v>
      </c>
      <c r="M388" s="1588">
        <f>SUM(M383:S387)</f>
        <v>0</v>
      </c>
      <c r="N388" s="1588"/>
      <c r="O388" s="1588"/>
      <c r="P388" s="1588"/>
      <c r="Q388" s="1588"/>
      <c r="R388" s="1588"/>
      <c r="S388" s="1588"/>
      <c r="T388" s="1588">
        <f>SUM(T383:Z387)</f>
        <v>0</v>
      </c>
      <c r="U388" s="1588"/>
      <c r="V388" s="1588"/>
      <c r="W388" s="1588"/>
      <c r="X388" s="1588"/>
      <c r="Y388" s="1588"/>
      <c r="Z388" s="1588"/>
      <c r="AA388" s="1588">
        <f>SUM(AA383:AG387)</f>
        <v>0</v>
      </c>
      <c r="AB388" s="1588"/>
      <c r="AC388" s="1588"/>
      <c r="AD388" s="1588"/>
      <c r="AE388" s="1588"/>
      <c r="AF388" s="1588"/>
      <c r="AG388" s="1588"/>
      <c r="AH388" s="1588">
        <f>SUM(AH383:AN387)</f>
        <v>0</v>
      </c>
      <c r="AI388" s="1588"/>
      <c r="AJ388" s="1588"/>
      <c r="AK388" s="1588"/>
      <c r="AL388" s="1588"/>
      <c r="AM388" s="1588"/>
      <c r="AN388" s="1588"/>
      <c r="AO388" s="1278">
        <f>IF(AH388-'bilans-stanja'!Z44&lt;&gt;0,"GRESKA",AH388-'bilans-stanja'!Z44)</f>
        <v>0</v>
      </c>
    </row>
    <row r="391" spans="1:41">
      <c r="B391" s="828" t="s">
        <v>2015</v>
      </c>
      <c r="M391" s="1596" t="s">
        <v>1952</v>
      </c>
      <c r="N391" s="1596"/>
      <c r="O391" s="1596"/>
      <c r="P391" s="1596"/>
      <c r="Q391" s="1596"/>
      <c r="R391" s="1596"/>
      <c r="S391" s="1596"/>
      <c r="T391" s="1596"/>
      <c r="U391" s="1596"/>
      <c r="V391" s="1596"/>
      <c r="W391" s="1596"/>
      <c r="X391" s="1596"/>
      <c r="Y391" s="1596"/>
      <c r="Z391" s="1596"/>
      <c r="AA391" s="1596"/>
      <c r="AB391" s="1596"/>
      <c r="AC391" s="1596"/>
      <c r="AD391" s="1596"/>
      <c r="AE391" s="1596"/>
      <c r="AF391" s="1596"/>
      <c r="AG391" s="1596"/>
      <c r="AH391" s="1596"/>
      <c r="AI391" s="1596"/>
      <c r="AJ391" s="1596"/>
      <c r="AK391" s="1596"/>
      <c r="AL391" s="1596"/>
      <c r="AM391" s="1596"/>
      <c r="AN391" s="1596"/>
    </row>
    <row r="392" spans="1:41">
      <c r="A392" s="1567" t="s">
        <v>1948</v>
      </c>
      <c r="B392" s="1567"/>
      <c r="C392" s="1597" t="s">
        <v>1947</v>
      </c>
      <c r="D392" s="1597"/>
      <c r="E392" s="1597"/>
      <c r="F392" s="1597"/>
      <c r="G392" s="1597"/>
      <c r="H392" s="1597"/>
      <c r="I392" s="1597"/>
      <c r="J392" s="1597"/>
      <c r="K392" s="1597"/>
      <c r="L392" s="1597"/>
      <c r="M392" s="1567" t="s">
        <v>1943</v>
      </c>
      <c r="N392" s="1567"/>
      <c r="O392" s="1567"/>
      <c r="P392" s="1567"/>
      <c r="Q392" s="1567"/>
      <c r="R392" s="1567"/>
      <c r="S392" s="1567"/>
      <c r="T392" s="1567" t="s">
        <v>1945</v>
      </c>
      <c r="U392" s="1567"/>
      <c r="V392" s="1567"/>
      <c r="W392" s="1567"/>
      <c r="X392" s="1567"/>
      <c r="Y392" s="1567"/>
      <c r="Z392" s="1567"/>
      <c r="AA392" s="1601" t="s">
        <v>198</v>
      </c>
      <c r="AB392" s="1602"/>
      <c r="AC392" s="1602"/>
      <c r="AD392" s="1602"/>
      <c r="AE392" s="1602"/>
      <c r="AF392" s="1602"/>
      <c r="AG392" s="1603"/>
      <c r="AH392" s="1597" t="s">
        <v>1946</v>
      </c>
      <c r="AI392" s="1597"/>
      <c r="AJ392" s="1597"/>
      <c r="AK392" s="1597"/>
      <c r="AL392" s="1597"/>
      <c r="AM392" s="1597"/>
      <c r="AN392" s="1597"/>
    </row>
    <row r="393" spans="1:41">
      <c r="A393" s="1590" t="str">
        <f>unos!A192</f>
        <v>040</v>
      </c>
      <c r="B393" s="1591"/>
      <c r="C393" s="1592" t="str">
        <f>unos!B192</f>
        <v>Šume</v>
      </c>
      <c r="D393" s="1593"/>
      <c r="E393" s="1593"/>
      <c r="F393" s="1593"/>
      <c r="G393" s="1593"/>
      <c r="H393" s="1593"/>
      <c r="I393" s="1593"/>
      <c r="J393" s="1593"/>
      <c r="K393" s="1593"/>
      <c r="L393" s="1593"/>
      <c r="M393" s="1589">
        <f>unos!D192</f>
        <v>0</v>
      </c>
      <c r="N393" s="1589"/>
      <c r="O393" s="1589"/>
      <c r="P393" s="1589"/>
      <c r="Q393" s="1589"/>
      <c r="R393" s="1589"/>
      <c r="S393" s="1589"/>
      <c r="T393" s="1589"/>
      <c r="U393" s="1589"/>
      <c r="V393" s="1589"/>
      <c r="W393" s="1589"/>
      <c r="X393" s="1589"/>
      <c r="Y393" s="1589"/>
      <c r="Z393" s="1589"/>
      <c r="AA393" s="1589"/>
      <c r="AB393" s="1589"/>
      <c r="AC393" s="1589"/>
      <c r="AD393" s="1589"/>
      <c r="AE393" s="1589"/>
      <c r="AF393" s="1589"/>
      <c r="AG393" s="1589"/>
      <c r="AH393" s="1589">
        <f>M393+AA393-T393</f>
        <v>0</v>
      </c>
      <c r="AI393" s="1589"/>
      <c r="AJ393" s="1589"/>
      <c r="AK393" s="1589"/>
      <c r="AL393" s="1589"/>
      <c r="AM393" s="1589"/>
      <c r="AN393" s="1589"/>
    </row>
    <row r="394" spans="1:41">
      <c r="A394" s="1590" t="str">
        <f>unos!A193</f>
        <v>041</v>
      </c>
      <c r="B394" s="1591"/>
      <c r="C394" s="1592" t="str">
        <f>unos!B193</f>
        <v>Višegodišnji zasadi</v>
      </c>
      <c r="D394" s="1593"/>
      <c r="E394" s="1593"/>
      <c r="F394" s="1593"/>
      <c r="G394" s="1593"/>
      <c r="H394" s="1593"/>
      <c r="I394" s="1593"/>
      <c r="J394" s="1593"/>
      <c r="K394" s="1593"/>
      <c r="L394" s="1593"/>
      <c r="M394" s="1589">
        <f>unos!D193</f>
        <v>0</v>
      </c>
      <c r="N394" s="1589"/>
      <c r="O394" s="1589"/>
      <c r="P394" s="1589"/>
      <c r="Q394" s="1589"/>
      <c r="R394" s="1589"/>
      <c r="S394" s="1589"/>
      <c r="T394" s="1589"/>
      <c r="U394" s="1589"/>
      <c r="V394" s="1589"/>
      <c r="W394" s="1589"/>
      <c r="X394" s="1589"/>
      <c r="Y394" s="1589"/>
      <c r="Z394" s="1589"/>
      <c r="AA394" s="1589"/>
      <c r="AB394" s="1589"/>
      <c r="AC394" s="1589"/>
      <c r="AD394" s="1589"/>
      <c r="AE394" s="1589"/>
      <c r="AF394" s="1589"/>
      <c r="AG394" s="1589"/>
      <c r="AH394" s="1589">
        <f>M394+AA394-T394</f>
        <v>0</v>
      </c>
      <c r="AI394" s="1589"/>
      <c r="AJ394" s="1589"/>
      <c r="AK394" s="1589"/>
      <c r="AL394" s="1589"/>
      <c r="AM394" s="1589"/>
      <c r="AN394" s="1589"/>
    </row>
    <row r="395" spans="1:41">
      <c r="A395" s="1590" t="str">
        <f>unos!A194</f>
        <v>042</v>
      </c>
      <c r="B395" s="1591"/>
      <c r="C395" s="1592" t="str">
        <f>unos!B194</f>
        <v>Osnovno stado</v>
      </c>
      <c r="D395" s="1593"/>
      <c r="E395" s="1593"/>
      <c r="F395" s="1593"/>
      <c r="G395" s="1593"/>
      <c r="H395" s="1593"/>
      <c r="I395" s="1593"/>
      <c r="J395" s="1593"/>
      <c r="K395" s="1593"/>
      <c r="L395" s="1593"/>
      <c r="M395" s="1589">
        <f>unos!D194</f>
        <v>0</v>
      </c>
      <c r="N395" s="1589"/>
      <c r="O395" s="1589"/>
      <c r="P395" s="1589"/>
      <c r="Q395" s="1589"/>
      <c r="R395" s="1589"/>
      <c r="S395" s="1589"/>
      <c r="T395" s="1589"/>
      <c r="U395" s="1589"/>
      <c r="V395" s="1589"/>
      <c r="W395" s="1589"/>
      <c r="X395" s="1589"/>
      <c r="Y395" s="1589"/>
      <c r="Z395" s="1589"/>
      <c r="AA395" s="1589"/>
      <c r="AB395" s="1589"/>
      <c r="AC395" s="1589"/>
      <c r="AD395" s="1589"/>
      <c r="AE395" s="1589"/>
      <c r="AF395" s="1589"/>
      <c r="AG395" s="1589"/>
      <c r="AH395" s="1589">
        <f>M395+AA395-T395</f>
        <v>0</v>
      </c>
      <c r="AI395" s="1589"/>
      <c r="AJ395" s="1589"/>
      <c r="AK395" s="1589"/>
      <c r="AL395" s="1589"/>
      <c r="AM395" s="1589"/>
      <c r="AN395" s="1589"/>
    </row>
    <row r="396" spans="1:41">
      <c r="A396" s="1590" t="str">
        <f>unos!A195</f>
        <v>045</v>
      </c>
      <c r="B396" s="1591"/>
      <c r="C396" s="1592" t="str">
        <f>unos!B195</f>
        <v>Biološka sredstva u pripremi</v>
      </c>
      <c r="D396" s="1593"/>
      <c r="E396" s="1593"/>
      <c r="F396" s="1593"/>
      <c r="G396" s="1593"/>
      <c r="H396" s="1593"/>
      <c r="I396" s="1593"/>
      <c r="J396" s="1593"/>
      <c r="K396" s="1593"/>
      <c r="L396" s="1593"/>
      <c r="M396" s="1589">
        <f>unos!D195</f>
        <v>0</v>
      </c>
      <c r="N396" s="1589"/>
      <c r="O396" s="1589"/>
      <c r="P396" s="1589"/>
      <c r="Q396" s="1589"/>
      <c r="R396" s="1589"/>
      <c r="S396" s="1589"/>
      <c r="T396" s="1589"/>
      <c r="U396" s="1589"/>
      <c r="V396" s="1589"/>
      <c r="W396" s="1589"/>
      <c r="X396" s="1589"/>
      <c r="Y396" s="1589"/>
      <c r="Z396" s="1589"/>
      <c r="AA396" s="1589"/>
      <c r="AB396" s="1589"/>
      <c r="AC396" s="1589"/>
      <c r="AD396" s="1589"/>
      <c r="AE396" s="1589"/>
      <c r="AF396" s="1589"/>
      <c r="AG396" s="1589"/>
      <c r="AH396" s="1589">
        <f>M396+AA396-T396</f>
        <v>0</v>
      </c>
      <c r="AI396" s="1589"/>
      <c r="AJ396" s="1589"/>
      <c r="AK396" s="1589"/>
      <c r="AL396" s="1589"/>
      <c r="AM396" s="1589"/>
      <c r="AN396" s="1589"/>
    </row>
    <row r="397" spans="1:41">
      <c r="A397" s="1590" t="str">
        <f>unos!A196</f>
        <v>047</v>
      </c>
      <c r="B397" s="1591"/>
      <c r="C397" s="1592" t="str">
        <f>unos!B196</f>
        <v>Avansu za biološka sredstva</v>
      </c>
      <c r="D397" s="1593"/>
      <c r="E397" s="1593"/>
      <c r="F397" s="1593"/>
      <c r="G397" s="1593"/>
      <c r="H397" s="1593"/>
      <c r="I397" s="1593"/>
      <c r="J397" s="1593"/>
      <c r="K397" s="1593"/>
      <c r="L397" s="1593"/>
      <c r="M397" s="1589">
        <f>unos!D196</f>
        <v>0</v>
      </c>
      <c r="N397" s="1589"/>
      <c r="O397" s="1589"/>
      <c r="P397" s="1589"/>
      <c r="Q397" s="1589"/>
      <c r="R397" s="1589"/>
      <c r="S397" s="1589"/>
      <c r="T397" s="1589"/>
      <c r="U397" s="1589"/>
      <c r="V397" s="1589"/>
      <c r="W397" s="1589"/>
      <c r="X397" s="1589"/>
      <c r="Y397" s="1589"/>
      <c r="Z397" s="1589"/>
      <c r="AA397" s="1589"/>
      <c r="AB397" s="1589"/>
      <c r="AC397" s="1589"/>
      <c r="AD397" s="1589"/>
      <c r="AE397" s="1589"/>
      <c r="AF397" s="1589"/>
      <c r="AG397" s="1589"/>
      <c r="AH397" s="1589">
        <f>M397+AA397-T397</f>
        <v>0</v>
      </c>
      <c r="AI397" s="1589"/>
      <c r="AJ397" s="1589"/>
      <c r="AK397" s="1589"/>
      <c r="AL397" s="1589"/>
      <c r="AM397" s="1589"/>
      <c r="AN397" s="1589"/>
    </row>
    <row r="398" spans="1:41">
      <c r="A398" s="1173"/>
      <c r="B398" s="1174"/>
      <c r="D398" s="1175"/>
      <c r="E398" s="1175"/>
      <c r="F398" s="1175"/>
      <c r="G398" s="1175"/>
      <c r="H398" s="1175"/>
      <c r="I398" s="1175"/>
      <c r="J398" s="1175"/>
      <c r="K398" s="1175"/>
      <c r="L398" s="1165" t="s">
        <v>222</v>
      </c>
      <c r="M398" s="1600">
        <f>SUM(M393:S397)</f>
        <v>0</v>
      </c>
      <c r="N398" s="1600"/>
      <c r="O398" s="1600"/>
      <c r="P398" s="1600"/>
      <c r="Q398" s="1600"/>
      <c r="R398" s="1600"/>
      <c r="S398" s="1600"/>
      <c r="T398" s="1600">
        <f>SUM(T393:Z397)</f>
        <v>0</v>
      </c>
      <c r="U398" s="1600"/>
      <c r="V398" s="1600"/>
      <c r="W398" s="1600"/>
      <c r="X398" s="1600"/>
      <c r="Y398" s="1600"/>
      <c r="Z398" s="1600"/>
      <c r="AA398" s="1600">
        <f>SUM(AA393:AG397)</f>
        <v>0</v>
      </c>
      <c r="AB398" s="1600"/>
      <c r="AC398" s="1600"/>
      <c r="AD398" s="1600"/>
      <c r="AE398" s="1600"/>
      <c r="AF398" s="1600"/>
      <c r="AG398" s="1600"/>
      <c r="AH398" s="1600">
        <f>SUM(AH393:AN397)</f>
        <v>0</v>
      </c>
      <c r="AI398" s="1600"/>
      <c r="AJ398" s="1600"/>
      <c r="AK398" s="1600"/>
      <c r="AL398" s="1600"/>
      <c r="AM398" s="1600"/>
      <c r="AN398" s="1600"/>
      <c r="AO398" s="1278">
        <f>IF(AH398-'bilans-stanja'!AG44&lt;&gt;0,"GRESKA",AH398-'bilans-stanja'!AG44)</f>
        <v>0</v>
      </c>
    </row>
    <row r="399" spans="1:41">
      <c r="A399" s="1173"/>
      <c r="B399" s="1174"/>
      <c r="D399" s="1175"/>
      <c r="E399" s="1175"/>
      <c r="F399" s="1175"/>
      <c r="G399" s="1175"/>
      <c r="H399" s="1175"/>
      <c r="I399" s="1175"/>
      <c r="J399" s="1175"/>
      <c r="K399" s="1175"/>
      <c r="L399" s="1165"/>
      <c r="M399" s="1176"/>
      <c r="N399" s="1166"/>
      <c r="O399" s="1166"/>
      <c r="P399" s="1166"/>
      <c r="Q399" s="1166"/>
      <c r="R399" s="1166"/>
      <c r="S399" s="1166"/>
      <c r="T399" s="1176"/>
      <c r="U399" s="1166"/>
      <c r="V399" s="1166"/>
      <c r="W399" s="1166"/>
      <c r="X399" s="1166"/>
      <c r="Y399" s="1166"/>
      <c r="Z399" s="1166"/>
      <c r="AA399" s="1176"/>
      <c r="AB399" s="1166"/>
      <c r="AC399" s="1166"/>
      <c r="AD399" s="1166"/>
      <c r="AE399" s="1166"/>
      <c r="AF399" s="1166"/>
      <c r="AG399" s="1166"/>
      <c r="AH399" s="1176"/>
      <c r="AI399" s="1166"/>
      <c r="AJ399" s="1166"/>
      <c r="AK399" s="1166"/>
      <c r="AL399" s="1166"/>
      <c r="AM399" s="1166"/>
      <c r="AN399" s="1166"/>
    </row>
    <row r="400" spans="1:41">
      <c r="A400" s="1173"/>
      <c r="B400" s="1174"/>
      <c r="D400" s="1175"/>
      <c r="E400" s="1175"/>
      <c r="F400" s="1175"/>
      <c r="G400" s="1175"/>
      <c r="H400" s="1175"/>
      <c r="I400" s="1175"/>
      <c r="J400" s="1175"/>
      <c r="K400" s="1175"/>
      <c r="L400" s="1165"/>
      <c r="M400" s="1176"/>
      <c r="N400" s="1166"/>
      <c r="O400" s="1166"/>
      <c r="P400" s="1166"/>
      <c r="Q400" s="1166"/>
      <c r="R400" s="1166"/>
      <c r="S400" s="1166"/>
      <c r="T400" s="1176"/>
      <c r="U400" s="1166"/>
      <c r="V400" s="1166"/>
      <c r="W400" s="1166"/>
      <c r="X400" s="1166"/>
      <c r="Y400" s="1166"/>
      <c r="Z400" s="1166"/>
      <c r="AA400" s="1176"/>
      <c r="AB400" s="1166"/>
      <c r="AC400" s="1166"/>
      <c r="AD400" s="1166"/>
      <c r="AE400" s="1166"/>
      <c r="AF400" s="1166"/>
      <c r="AG400" s="1166"/>
      <c r="AH400" s="1176"/>
      <c r="AI400" s="1166"/>
      <c r="AJ400" s="1166"/>
      <c r="AK400" s="1166"/>
      <c r="AL400" s="1166"/>
      <c r="AM400" s="1166"/>
      <c r="AN400" s="1166"/>
    </row>
    <row r="401" spans="1:41">
      <c r="C401" s="1177" t="s">
        <v>1949</v>
      </c>
      <c r="D401" s="1178"/>
      <c r="E401" s="1178"/>
      <c r="F401" s="1178"/>
      <c r="G401" s="1178"/>
      <c r="H401" s="1178"/>
      <c r="I401" s="1178"/>
      <c r="J401" s="1178"/>
      <c r="K401" s="1178"/>
      <c r="L401" s="1178"/>
      <c r="M401" s="1178"/>
      <c r="N401" s="1178"/>
      <c r="O401" s="1178"/>
      <c r="P401" s="1178"/>
      <c r="Q401" s="1178"/>
      <c r="R401" s="1178"/>
      <c r="S401" s="1178"/>
      <c r="T401" s="1560">
        <f>M388-M398</f>
        <v>0</v>
      </c>
      <c r="U401" s="1598"/>
      <c r="V401" s="1598"/>
      <c r="W401" s="1598"/>
      <c r="X401" s="1598"/>
      <c r="Y401" s="1598"/>
      <c r="Z401" s="1599"/>
    </row>
    <row r="402" spans="1:41">
      <c r="C402" s="1177" t="s">
        <v>1950</v>
      </c>
      <c r="D402" s="1178"/>
      <c r="E402" s="1178"/>
      <c r="F402" s="1178"/>
      <c r="G402" s="1178"/>
      <c r="H402" s="1178"/>
      <c r="I402" s="1178"/>
      <c r="J402" s="1178"/>
      <c r="K402" s="1178"/>
      <c r="L402" s="1178"/>
      <c r="M402" s="1178"/>
      <c r="N402" s="1178"/>
      <c r="O402" s="1178"/>
      <c r="P402" s="1178"/>
      <c r="Q402" s="1178"/>
      <c r="R402" s="1178"/>
      <c r="S402" s="1178"/>
      <c r="T402" s="1560">
        <f>AH388-AH398</f>
        <v>0</v>
      </c>
      <c r="U402" s="1598"/>
      <c r="V402" s="1598"/>
      <c r="W402" s="1598"/>
      <c r="X402" s="1598"/>
      <c r="Y402" s="1598"/>
      <c r="Z402" s="1599"/>
    </row>
    <row r="404" spans="1:41">
      <c r="A404" s="1581"/>
      <c r="B404" s="1581"/>
      <c r="C404" s="1581"/>
      <c r="D404" s="1581"/>
      <c r="E404" s="1581"/>
      <c r="F404" s="1581"/>
      <c r="G404" s="1581"/>
      <c r="H404" s="1581"/>
      <c r="I404" s="1581"/>
      <c r="J404" s="1581"/>
      <c r="K404" s="1581"/>
      <c r="L404" s="1581"/>
      <c r="M404" s="1581"/>
      <c r="N404" s="1581"/>
      <c r="O404" s="1581"/>
      <c r="P404" s="1581"/>
      <c r="Q404" s="1581"/>
      <c r="R404" s="1581"/>
      <c r="S404" s="1581"/>
      <c r="T404" s="1581"/>
      <c r="U404" s="1581"/>
      <c r="V404" s="1581"/>
      <c r="W404" s="1581"/>
      <c r="X404" s="1581"/>
      <c r="Y404" s="1581"/>
      <c r="Z404" s="1581"/>
      <c r="AA404" s="1581"/>
      <c r="AB404" s="1581"/>
      <c r="AC404" s="1581"/>
      <c r="AD404" s="1581"/>
      <c r="AE404" s="1581"/>
      <c r="AF404" s="1581"/>
      <c r="AG404" s="1581"/>
      <c r="AH404" s="1581"/>
      <c r="AI404" s="1581"/>
      <c r="AJ404" s="1581"/>
      <c r="AK404" s="1581"/>
      <c r="AL404" s="1581"/>
      <c r="AM404" s="1581"/>
      <c r="AN404" s="1581"/>
    </row>
    <row r="405" spans="1:41">
      <c r="A405" s="1581"/>
      <c r="B405" s="1581"/>
      <c r="C405" s="1581"/>
      <c r="D405" s="1581"/>
      <c r="E405" s="1581"/>
      <c r="F405" s="1581"/>
      <c r="G405" s="1581"/>
      <c r="H405" s="1581"/>
      <c r="I405" s="1581"/>
      <c r="J405" s="1581"/>
      <c r="K405" s="1581"/>
      <c r="L405" s="1581"/>
      <c r="M405" s="1581"/>
      <c r="N405" s="1581"/>
      <c r="O405" s="1581"/>
      <c r="P405" s="1581"/>
      <c r="Q405" s="1581"/>
      <c r="R405" s="1581"/>
      <c r="S405" s="1581"/>
      <c r="T405" s="1581"/>
      <c r="U405" s="1581"/>
      <c r="V405" s="1581"/>
      <c r="W405" s="1581"/>
      <c r="X405" s="1581"/>
      <c r="Y405" s="1581"/>
      <c r="Z405" s="1581"/>
      <c r="AA405" s="1581"/>
      <c r="AB405" s="1581"/>
      <c r="AC405" s="1581"/>
      <c r="AD405" s="1581"/>
      <c r="AE405" s="1581"/>
      <c r="AF405" s="1581"/>
      <c r="AG405" s="1581"/>
      <c r="AH405" s="1581"/>
      <c r="AI405" s="1581"/>
      <c r="AJ405" s="1581"/>
      <c r="AK405" s="1581"/>
      <c r="AL405" s="1581"/>
      <c r="AM405" s="1581"/>
      <c r="AN405" s="1581"/>
    </row>
    <row r="406" spans="1:41">
      <c r="A406" s="1581"/>
      <c r="B406" s="1581"/>
      <c r="C406" s="1581"/>
      <c r="D406" s="1581"/>
      <c r="E406" s="1581"/>
      <c r="F406" s="1581"/>
      <c r="G406" s="1581"/>
      <c r="H406" s="1581"/>
      <c r="I406" s="1581"/>
      <c r="J406" s="1581"/>
      <c r="K406" s="1581"/>
      <c r="L406" s="1581"/>
      <c r="M406" s="1581"/>
      <c r="N406" s="1581"/>
      <c r="O406" s="1581"/>
      <c r="P406" s="1581"/>
      <c r="Q406" s="1581"/>
      <c r="R406" s="1581"/>
      <c r="S406" s="1581"/>
      <c r="T406" s="1581"/>
      <c r="U406" s="1581"/>
      <c r="V406" s="1581"/>
      <c r="W406" s="1581"/>
      <c r="X406" s="1581"/>
      <c r="Y406" s="1581"/>
      <c r="Z406" s="1581"/>
      <c r="AA406" s="1581"/>
      <c r="AB406" s="1581"/>
      <c r="AC406" s="1581"/>
      <c r="AD406" s="1581"/>
      <c r="AE406" s="1581"/>
      <c r="AF406" s="1581"/>
      <c r="AG406" s="1581"/>
      <c r="AH406" s="1581"/>
      <c r="AI406" s="1581"/>
      <c r="AJ406" s="1581"/>
      <c r="AK406" s="1581"/>
      <c r="AL406" s="1581"/>
      <c r="AM406" s="1581"/>
      <c r="AN406" s="1581"/>
    </row>
    <row r="407" spans="1:41">
      <c r="A407" s="1581"/>
      <c r="B407" s="1581"/>
      <c r="C407" s="1581"/>
      <c r="D407" s="1581"/>
      <c r="E407" s="1581"/>
      <c r="F407" s="1581"/>
      <c r="G407" s="1581"/>
      <c r="H407" s="1581"/>
      <c r="I407" s="1581"/>
      <c r="J407" s="1581"/>
      <c r="K407" s="1581"/>
      <c r="L407" s="1581"/>
      <c r="M407" s="1581"/>
      <c r="N407" s="1581"/>
      <c r="O407" s="1581"/>
      <c r="P407" s="1581"/>
      <c r="Q407" s="1581"/>
      <c r="R407" s="1581"/>
      <c r="S407" s="1581"/>
      <c r="T407" s="1581"/>
      <c r="U407" s="1581"/>
      <c r="V407" s="1581"/>
      <c r="W407" s="1581"/>
      <c r="X407" s="1581"/>
      <c r="Y407" s="1581"/>
      <c r="Z407" s="1581"/>
      <c r="AA407" s="1581"/>
      <c r="AB407" s="1581"/>
      <c r="AC407" s="1581"/>
      <c r="AD407" s="1581"/>
      <c r="AE407" s="1581"/>
      <c r="AF407" s="1581"/>
      <c r="AG407" s="1581"/>
      <c r="AH407" s="1581"/>
      <c r="AI407" s="1581"/>
      <c r="AJ407" s="1581"/>
      <c r="AK407" s="1581"/>
      <c r="AL407" s="1581"/>
      <c r="AM407" s="1581"/>
      <c r="AN407" s="1581"/>
    </row>
    <row r="408" spans="1:41">
      <c r="A408" s="828" t="s">
        <v>1933</v>
      </c>
      <c r="B408" s="828" t="s">
        <v>2767</v>
      </c>
    </row>
    <row r="410" spans="1:41">
      <c r="C410" s="828" t="s">
        <v>2163</v>
      </c>
      <c r="M410" s="1596" t="s">
        <v>1952</v>
      </c>
      <c r="N410" s="1596"/>
      <c r="O410" s="1596"/>
      <c r="P410" s="1596"/>
      <c r="Q410" s="1596"/>
      <c r="R410" s="1596"/>
      <c r="S410" s="1596"/>
      <c r="T410" s="1596"/>
      <c r="U410" s="1596"/>
      <c r="V410" s="1596"/>
      <c r="W410" s="1596"/>
      <c r="X410" s="1596"/>
      <c r="Y410" s="1596"/>
      <c r="Z410" s="1596"/>
      <c r="AA410" s="1596"/>
      <c r="AB410" s="1596"/>
      <c r="AC410" s="1596"/>
      <c r="AD410" s="1596"/>
      <c r="AE410" s="1596"/>
      <c r="AF410" s="1596"/>
      <c r="AG410" s="1596"/>
      <c r="AH410" s="1596"/>
      <c r="AI410" s="1596"/>
      <c r="AJ410" s="1596"/>
      <c r="AK410" s="1596"/>
      <c r="AL410" s="1596"/>
      <c r="AM410" s="1596"/>
      <c r="AN410" s="1596"/>
    </row>
    <row r="411" spans="1:41">
      <c r="A411" s="1567" t="s">
        <v>1948</v>
      </c>
      <c r="B411" s="1567"/>
      <c r="C411" s="1597" t="s">
        <v>1947</v>
      </c>
      <c r="D411" s="1597"/>
      <c r="E411" s="1597"/>
      <c r="F411" s="1597"/>
      <c r="G411" s="1597"/>
      <c r="H411" s="1597"/>
      <c r="I411" s="1597"/>
      <c r="J411" s="1597"/>
      <c r="K411" s="1597"/>
      <c r="L411" s="1597"/>
      <c r="M411" s="1567" t="s">
        <v>1943</v>
      </c>
      <c r="N411" s="1567"/>
      <c r="O411" s="1567"/>
      <c r="P411" s="1567"/>
      <c r="Q411" s="1567"/>
      <c r="R411" s="1567"/>
      <c r="S411" s="1567"/>
      <c r="T411" s="1567" t="s">
        <v>1944</v>
      </c>
      <c r="U411" s="1567"/>
      <c r="V411" s="1567"/>
      <c r="W411" s="1567"/>
      <c r="X411" s="1567"/>
      <c r="Y411" s="1567"/>
      <c r="Z411" s="1567"/>
      <c r="AA411" s="1567" t="s">
        <v>1945</v>
      </c>
      <c r="AB411" s="1567"/>
      <c r="AC411" s="1567"/>
      <c r="AD411" s="1567"/>
      <c r="AE411" s="1567"/>
      <c r="AF411" s="1567"/>
      <c r="AG411" s="1567"/>
      <c r="AH411" s="1597" t="s">
        <v>1946</v>
      </c>
      <c r="AI411" s="1597"/>
      <c r="AJ411" s="1597"/>
      <c r="AK411" s="1597"/>
      <c r="AL411" s="1597"/>
      <c r="AM411" s="1597"/>
      <c r="AN411" s="1597"/>
    </row>
    <row r="412" spans="1:41">
      <c r="A412" s="1590" t="str">
        <f>unos!A197</f>
        <v>050</v>
      </c>
      <c r="B412" s="1591"/>
      <c r="C412" s="1592" t="str">
        <f>unos!B197</f>
        <v>Ostala stalna materijalna sredstva u upotrebi</v>
      </c>
      <c r="D412" s="1593"/>
      <c r="E412" s="1593"/>
      <c r="F412" s="1593"/>
      <c r="G412" s="1593"/>
      <c r="H412" s="1593"/>
      <c r="I412" s="1593"/>
      <c r="J412" s="1593"/>
      <c r="K412" s="1593"/>
      <c r="L412" s="1593"/>
      <c r="M412" s="1589">
        <f>unos!C197</f>
        <v>0</v>
      </c>
      <c r="N412" s="1589"/>
      <c r="O412" s="1589"/>
      <c r="P412" s="1589"/>
      <c r="Q412" s="1589"/>
      <c r="R412" s="1589"/>
      <c r="S412" s="1589"/>
      <c r="T412" s="1589"/>
      <c r="U412" s="1589"/>
      <c r="V412" s="1589"/>
      <c r="W412" s="1589"/>
      <c r="X412" s="1589"/>
      <c r="Y412" s="1589"/>
      <c r="Z412" s="1589"/>
      <c r="AA412" s="1589"/>
      <c r="AB412" s="1589"/>
      <c r="AC412" s="1589"/>
      <c r="AD412" s="1589"/>
      <c r="AE412" s="1589"/>
      <c r="AF412" s="1589"/>
      <c r="AG412" s="1589"/>
      <c r="AH412" s="1589">
        <f>M412+T412-AA412</f>
        <v>0</v>
      </c>
      <c r="AI412" s="1589"/>
      <c r="AJ412" s="1589"/>
      <c r="AK412" s="1589"/>
      <c r="AL412" s="1589"/>
      <c r="AM412" s="1589"/>
      <c r="AN412" s="1589"/>
    </row>
    <row r="413" spans="1:41">
      <c r="A413" s="1590" t="str">
        <f>unos!A198</f>
        <v>055</v>
      </c>
      <c r="B413" s="1591"/>
      <c r="C413" s="1592" t="str">
        <f>unos!B198</f>
        <v>Ostala stalna materijalna sredstva u pripremi</v>
      </c>
      <c r="D413" s="1593"/>
      <c r="E413" s="1593"/>
      <c r="F413" s="1593"/>
      <c r="G413" s="1593"/>
      <c r="H413" s="1593"/>
      <c r="I413" s="1593"/>
      <c r="J413" s="1593"/>
      <c r="K413" s="1593"/>
      <c r="L413" s="1593"/>
      <c r="M413" s="1589">
        <f>unos!C198</f>
        <v>0</v>
      </c>
      <c r="N413" s="1589"/>
      <c r="O413" s="1589"/>
      <c r="P413" s="1589"/>
      <c r="Q413" s="1589"/>
      <c r="R413" s="1589"/>
      <c r="S413" s="1589"/>
      <c r="T413" s="1589"/>
      <c r="U413" s="1589"/>
      <c r="V413" s="1589"/>
      <c r="W413" s="1589"/>
      <c r="X413" s="1589"/>
      <c r="Y413" s="1589"/>
      <c r="Z413" s="1589"/>
      <c r="AA413" s="1589"/>
      <c r="AB413" s="1589"/>
      <c r="AC413" s="1589"/>
      <c r="AD413" s="1589"/>
      <c r="AE413" s="1589"/>
      <c r="AF413" s="1589"/>
      <c r="AG413" s="1589"/>
      <c r="AH413" s="1589">
        <f>M413+T413-AA413</f>
        <v>0</v>
      </c>
      <c r="AI413" s="1589"/>
      <c r="AJ413" s="1589"/>
      <c r="AK413" s="1589"/>
      <c r="AL413" s="1589"/>
      <c r="AM413" s="1589"/>
      <c r="AN413" s="1589"/>
    </row>
    <row r="414" spans="1:41">
      <c r="A414" s="1590" t="str">
        <f>unos!A199</f>
        <v>057</v>
      </c>
      <c r="B414" s="1591"/>
      <c r="C414" s="1592" t="str">
        <f>unos!B199</f>
        <v>Avansi za ostala stalna materijalna sredstva</v>
      </c>
      <c r="D414" s="1593"/>
      <c r="E414" s="1593"/>
      <c r="F414" s="1593"/>
      <c r="G414" s="1593"/>
      <c r="H414" s="1593"/>
      <c r="I414" s="1593"/>
      <c r="J414" s="1593"/>
      <c r="K414" s="1593"/>
      <c r="L414" s="1593"/>
      <c r="M414" s="1589">
        <f>unos!C199</f>
        <v>0</v>
      </c>
      <c r="N414" s="1589"/>
      <c r="O414" s="1589"/>
      <c r="P414" s="1589"/>
      <c r="Q414" s="1589"/>
      <c r="R414" s="1589"/>
      <c r="S414" s="1589"/>
      <c r="T414" s="1589"/>
      <c r="U414" s="1589"/>
      <c r="V414" s="1589"/>
      <c r="W414" s="1589"/>
      <c r="X414" s="1589"/>
      <c r="Y414" s="1589"/>
      <c r="Z414" s="1589"/>
      <c r="AA414" s="1589"/>
      <c r="AB414" s="1589"/>
      <c r="AC414" s="1589"/>
      <c r="AD414" s="1589"/>
      <c r="AE414" s="1589"/>
      <c r="AF414" s="1589"/>
      <c r="AG414" s="1589"/>
      <c r="AH414" s="1589">
        <f>M414+T414-AA414</f>
        <v>0</v>
      </c>
      <c r="AI414" s="1589"/>
      <c r="AJ414" s="1589"/>
      <c r="AK414" s="1589"/>
      <c r="AL414" s="1589"/>
      <c r="AM414" s="1589"/>
      <c r="AN414" s="1589"/>
    </row>
    <row r="415" spans="1:41">
      <c r="A415" s="1173"/>
      <c r="B415" s="1174"/>
      <c r="D415" s="1175"/>
      <c r="E415" s="1175"/>
      <c r="F415" s="1175"/>
      <c r="G415" s="1175"/>
      <c r="H415" s="1175"/>
      <c r="I415" s="1175"/>
      <c r="J415" s="1175"/>
      <c r="K415" s="1175"/>
      <c r="L415" s="1165" t="s">
        <v>222</v>
      </c>
      <c r="M415" s="1588">
        <f>SUM(M412:S414)</f>
        <v>0</v>
      </c>
      <c r="N415" s="1588"/>
      <c r="O415" s="1588"/>
      <c r="P415" s="1588"/>
      <c r="Q415" s="1588"/>
      <c r="R415" s="1588"/>
      <c r="S415" s="1588"/>
      <c r="T415" s="1588">
        <f>SUM(T412:Z414)</f>
        <v>0</v>
      </c>
      <c r="U415" s="1588"/>
      <c r="V415" s="1588"/>
      <c r="W415" s="1588"/>
      <c r="X415" s="1588"/>
      <c r="Y415" s="1588"/>
      <c r="Z415" s="1588"/>
      <c r="AA415" s="1588">
        <f>SUM(AA412:AG414)</f>
        <v>0</v>
      </c>
      <c r="AB415" s="1588"/>
      <c r="AC415" s="1588"/>
      <c r="AD415" s="1588"/>
      <c r="AE415" s="1588"/>
      <c r="AF415" s="1588"/>
      <c r="AG415" s="1588"/>
      <c r="AH415" s="1588">
        <f>SUM(AH412:AN414)</f>
        <v>0</v>
      </c>
      <c r="AI415" s="1588"/>
      <c r="AJ415" s="1588"/>
      <c r="AK415" s="1588"/>
      <c r="AL415" s="1588"/>
      <c r="AM415" s="1588"/>
      <c r="AN415" s="1588"/>
      <c r="AO415" s="1278">
        <f>IF(AH415-'bilans-stanja'!Z49&lt;&gt;0,"GRESKA",AH415-'bilans-stanja'!Z49)</f>
        <v>0</v>
      </c>
    </row>
    <row r="418" spans="1:41">
      <c r="B418" s="828" t="s">
        <v>2015</v>
      </c>
      <c r="M418" s="1596" t="s">
        <v>1952</v>
      </c>
      <c r="N418" s="1596"/>
      <c r="O418" s="1596"/>
      <c r="P418" s="1596"/>
      <c r="Q418" s="1596"/>
      <c r="R418" s="1596"/>
      <c r="S418" s="1596"/>
      <c r="T418" s="1596"/>
      <c r="U418" s="1596"/>
      <c r="V418" s="1596"/>
      <c r="W418" s="1596"/>
      <c r="X418" s="1596"/>
      <c r="Y418" s="1596"/>
      <c r="Z418" s="1596"/>
      <c r="AA418" s="1596"/>
      <c r="AB418" s="1596"/>
      <c r="AC418" s="1596"/>
      <c r="AD418" s="1596"/>
      <c r="AE418" s="1596"/>
      <c r="AF418" s="1596"/>
      <c r="AG418" s="1596"/>
      <c r="AH418" s="1596"/>
      <c r="AI418" s="1596"/>
      <c r="AJ418" s="1596"/>
      <c r="AK418" s="1596"/>
      <c r="AL418" s="1596"/>
      <c r="AM418" s="1596"/>
      <c r="AN418" s="1596"/>
    </row>
    <row r="419" spans="1:41">
      <c r="A419" s="1567" t="s">
        <v>1948</v>
      </c>
      <c r="B419" s="1567"/>
      <c r="C419" s="1597" t="s">
        <v>1947</v>
      </c>
      <c r="D419" s="1597"/>
      <c r="E419" s="1597"/>
      <c r="F419" s="1597"/>
      <c r="G419" s="1597"/>
      <c r="H419" s="1597"/>
      <c r="I419" s="1597"/>
      <c r="J419" s="1597"/>
      <c r="K419" s="1597"/>
      <c r="L419" s="1597"/>
      <c r="M419" s="1567" t="s">
        <v>1943</v>
      </c>
      <c r="N419" s="1567"/>
      <c r="O419" s="1567"/>
      <c r="P419" s="1567"/>
      <c r="Q419" s="1567"/>
      <c r="R419" s="1567"/>
      <c r="S419" s="1567"/>
      <c r="T419" s="1567" t="s">
        <v>1945</v>
      </c>
      <c r="U419" s="1567"/>
      <c r="V419" s="1567"/>
      <c r="W419" s="1567"/>
      <c r="X419" s="1567"/>
      <c r="Y419" s="1567"/>
      <c r="Z419" s="1567"/>
      <c r="AA419" s="1601" t="s">
        <v>1890</v>
      </c>
      <c r="AB419" s="1602"/>
      <c r="AC419" s="1602"/>
      <c r="AD419" s="1602"/>
      <c r="AE419" s="1602"/>
      <c r="AF419" s="1602"/>
      <c r="AG419" s="1603"/>
      <c r="AH419" s="1597" t="s">
        <v>1946</v>
      </c>
      <c r="AI419" s="1597"/>
      <c r="AJ419" s="1597"/>
      <c r="AK419" s="1597"/>
      <c r="AL419" s="1597"/>
      <c r="AM419" s="1597"/>
      <c r="AN419" s="1597"/>
    </row>
    <row r="420" spans="1:41">
      <c r="A420" s="1590" t="str">
        <f>unos!A197</f>
        <v>050</v>
      </c>
      <c r="B420" s="1591"/>
      <c r="C420" s="1592" t="str">
        <f>unos!B197</f>
        <v>Ostala stalna materijalna sredstva u upotrebi</v>
      </c>
      <c r="D420" s="1593"/>
      <c r="E420" s="1593"/>
      <c r="F420" s="1593"/>
      <c r="G420" s="1593"/>
      <c r="H420" s="1593"/>
      <c r="I420" s="1593"/>
      <c r="J420" s="1593"/>
      <c r="K420" s="1593"/>
      <c r="L420" s="1593"/>
      <c r="M420" s="1589">
        <f>unos!D197</f>
        <v>0</v>
      </c>
      <c r="N420" s="1589"/>
      <c r="O420" s="1589"/>
      <c r="P420" s="1589"/>
      <c r="Q420" s="1589"/>
      <c r="R420" s="1589"/>
      <c r="S420" s="1589"/>
      <c r="T420" s="1589"/>
      <c r="U420" s="1589"/>
      <c r="V420" s="1589"/>
      <c r="W420" s="1589"/>
      <c r="X420" s="1589"/>
      <c r="Y420" s="1589"/>
      <c r="Z420" s="1589"/>
      <c r="AA420" s="1589"/>
      <c r="AB420" s="1589"/>
      <c r="AC420" s="1589"/>
      <c r="AD420" s="1589"/>
      <c r="AE420" s="1589"/>
      <c r="AF420" s="1589"/>
      <c r="AG420" s="1589"/>
      <c r="AH420" s="1589">
        <f>M420+AA420-T420</f>
        <v>0</v>
      </c>
      <c r="AI420" s="1589"/>
      <c r="AJ420" s="1589"/>
      <c r="AK420" s="1589"/>
      <c r="AL420" s="1589"/>
      <c r="AM420" s="1589"/>
      <c r="AN420" s="1589"/>
    </row>
    <row r="421" spans="1:41">
      <c r="A421" s="1590" t="str">
        <f>unos!A198</f>
        <v>055</v>
      </c>
      <c r="B421" s="1591"/>
      <c r="C421" s="1592" t="str">
        <f>unos!B198</f>
        <v>Ostala stalna materijalna sredstva u pripremi</v>
      </c>
      <c r="D421" s="1593"/>
      <c r="E421" s="1593"/>
      <c r="F421" s="1593"/>
      <c r="G421" s="1593"/>
      <c r="H421" s="1593"/>
      <c r="I421" s="1593"/>
      <c r="J421" s="1593"/>
      <c r="K421" s="1593"/>
      <c r="L421" s="1593"/>
      <c r="M421" s="1589">
        <f>unos!D198</f>
        <v>0</v>
      </c>
      <c r="N421" s="1589"/>
      <c r="O421" s="1589"/>
      <c r="P421" s="1589"/>
      <c r="Q421" s="1589"/>
      <c r="R421" s="1589"/>
      <c r="S421" s="1589"/>
      <c r="T421" s="1589"/>
      <c r="U421" s="1589"/>
      <c r="V421" s="1589"/>
      <c r="W421" s="1589"/>
      <c r="X421" s="1589"/>
      <c r="Y421" s="1589"/>
      <c r="Z421" s="1589"/>
      <c r="AA421" s="1589"/>
      <c r="AB421" s="1589"/>
      <c r="AC421" s="1589"/>
      <c r="AD421" s="1589"/>
      <c r="AE421" s="1589"/>
      <c r="AF421" s="1589"/>
      <c r="AG421" s="1589"/>
      <c r="AH421" s="1589">
        <f>M421+AA421-T421</f>
        <v>0</v>
      </c>
      <c r="AI421" s="1589"/>
      <c r="AJ421" s="1589"/>
      <c r="AK421" s="1589"/>
      <c r="AL421" s="1589"/>
      <c r="AM421" s="1589"/>
      <c r="AN421" s="1589"/>
    </row>
    <row r="422" spans="1:41">
      <c r="A422" s="1590" t="str">
        <f>unos!A199</f>
        <v>057</v>
      </c>
      <c r="B422" s="1591"/>
      <c r="C422" s="1592" t="str">
        <f>unos!B199</f>
        <v>Avansi za ostala stalna materijalna sredstva</v>
      </c>
      <c r="D422" s="1593"/>
      <c r="E422" s="1593"/>
      <c r="F422" s="1593"/>
      <c r="G422" s="1593"/>
      <c r="H422" s="1593"/>
      <c r="I422" s="1593"/>
      <c r="J422" s="1593"/>
      <c r="K422" s="1593"/>
      <c r="L422" s="1593"/>
      <c r="M422" s="1589">
        <f>unos!D199</f>
        <v>0</v>
      </c>
      <c r="N422" s="1589"/>
      <c r="O422" s="1589"/>
      <c r="P422" s="1589"/>
      <c r="Q422" s="1589"/>
      <c r="R422" s="1589"/>
      <c r="S422" s="1589"/>
      <c r="T422" s="1589"/>
      <c r="U422" s="1589"/>
      <c r="V422" s="1589"/>
      <c r="W422" s="1589"/>
      <c r="X422" s="1589"/>
      <c r="Y422" s="1589"/>
      <c r="Z422" s="1589"/>
      <c r="AA422" s="1589"/>
      <c r="AB422" s="1589"/>
      <c r="AC422" s="1589"/>
      <c r="AD422" s="1589"/>
      <c r="AE422" s="1589"/>
      <c r="AF422" s="1589"/>
      <c r="AG422" s="1589"/>
      <c r="AH422" s="1589">
        <f>M422+AA422-T422</f>
        <v>0</v>
      </c>
      <c r="AI422" s="1589"/>
      <c r="AJ422" s="1589"/>
      <c r="AK422" s="1589"/>
      <c r="AL422" s="1589"/>
      <c r="AM422" s="1589"/>
      <c r="AN422" s="1589"/>
    </row>
    <row r="423" spans="1:41">
      <c r="A423" s="1173"/>
      <c r="B423" s="1174"/>
      <c r="D423" s="1175"/>
      <c r="E423" s="1175"/>
      <c r="F423" s="1175"/>
      <c r="G423" s="1175"/>
      <c r="H423" s="1175"/>
      <c r="I423" s="1175"/>
      <c r="J423" s="1175"/>
      <c r="K423" s="1175"/>
      <c r="L423" s="1165" t="s">
        <v>222</v>
      </c>
      <c r="M423" s="1604">
        <f>SUM(M420:S422)</f>
        <v>0</v>
      </c>
      <c r="N423" s="1605"/>
      <c r="O423" s="1605"/>
      <c r="P423" s="1605"/>
      <c r="Q423" s="1605"/>
      <c r="R423" s="1605"/>
      <c r="S423" s="1605"/>
      <c r="T423" s="1604">
        <f>SUM(T420:Z422)</f>
        <v>0</v>
      </c>
      <c r="U423" s="1605"/>
      <c r="V423" s="1605"/>
      <c r="W423" s="1605"/>
      <c r="X423" s="1605"/>
      <c r="Y423" s="1605"/>
      <c r="Z423" s="1605"/>
      <c r="AA423" s="1604">
        <f>SUM(AA420:AG422)</f>
        <v>0</v>
      </c>
      <c r="AB423" s="1605"/>
      <c r="AC423" s="1605"/>
      <c r="AD423" s="1605"/>
      <c r="AE423" s="1605"/>
      <c r="AF423" s="1605"/>
      <c r="AG423" s="1605"/>
      <c r="AH423" s="1604">
        <f>SUM(AH420:AN422)</f>
        <v>0</v>
      </c>
      <c r="AI423" s="1605"/>
      <c r="AJ423" s="1605"/>
      <c r="AK423" s="1605"/>
      <c r="AL423" s="1605"/>
      <c r="AM423" s="1605"/>
      <c r="AN423" s="1605"/>
      <c r="AO423" s="1278">
        <f>IF(AH423-'bilans-stanja'!AG49&lt;&gt;0,"GRESKA",AH423-'bilans-stanja'!AG49)</f>
        <v>0</v>
      </c>
    </row>
    <row r="424" spans="1:41">
      <c r="A424" s="1173"/>
      <c r="B424" s="1174"/>
      <c r="D424" s="1175"/>
      <c r="E424" s="1175"/>
      <c r="F424" s="1175"/>
      <c r="G424" s="1175"/>
      <c r="H424" s="1175"/>
      <c r="I424" s="1175"/>
      <c r="J424" s="1175"/>
      <c r="K424" s="1175"/>
      <c r="L424" s="1165"/>
      <c r="M424" s="1176"/>
      <c r="N424" s="1166"/>
      <c r="O424" s="1166"/>
      <c r="P424" s="1166"/>
      <c r="Q424" s="1166"/>
      <c r="R424" s="1166"/>
      <c r="S424" s="1166"/>
      <c r="T424" s="1176"/>
      <c r="U424" s="1166"/>
      <c r="V424" s="1166"/>
      <c r="W424" s="1166"/>
      <c r="X424" s="1166"/>
      <c r="Y424" s="1166"/>
      <c r="Z424" s="1166"/>
      <c r="AA424" s="1176"/>
      <c r="AB424" s="1166"/>
      <c r="AC424" s="1166"/>
      <c r="AD424" s="1166"/>
      <c r="AE424" s="1166"/>
      <c r="AF424" s="1166"/>
      <c r="AG424" s="1166"/>
      <c r="AH424" s="1176"/>
      <c r="AI424" s="1166"/>
      <c r="AJ424" s="1166"/>
      <c r="AK424" s="1166"/>
      <c r="AL424" s="1166"/>
      <c r="AM424" s="1166"/>
      <c r="AN424" s="1166"/>
    </row>
    <row r="425" spans="1:41">
      <c r="A425" s="1173"/>
      <c r="B425" s="1174"/>
      <c r="D425" s="1175"/>
      <c r="E425" s="1175"/>
      <c r="F425" s="1175"/>
      <c r="G425" s="1175"/>
      <c r="H425" s="1175"/>
      <c r="I425" s="1175"/>
      <c r="J425" s="1175"/>
      <c r="K425" s="1175"/>
      <c r="L425" s="1165"/>
      <c r="M425" s="1176"/>
      <c r="N425" s="1166"/>
      <c r="O425" s="1166"/>
      <c r="P425" s="1166"/>
      <c r="Q425" s="1166"/>
      <c r="R425" s="1166"/>
      <c r="S425" s="1166"/>
      <c r="T425" s="1176"/>
      <c r="U425" s="1166"/>
      <c r="V425" s="1166"/>
      <c r="W425" s="1166"/>
      <c r="X425" s="1166"/>
      <c r="Y425" s="1166"/>
      <c r="Z425" s="1166"/>
      <c r="AA425" s="1176"/>
      <c r="AB425" s="1166"/>
      <c r="AC425" s="1166"/>
      <c r="AD425" s="1166"/>
      <c r="AE425" s="1166"/>
      <c r="AF425" s="1166"/>
      <c r="AG425" s="1166"/>
      <c r="AH425" s="1176"/>
      <c r="AI425" s="1166"/>
      <c r="AJ425" s="1166"/>
      <c r="AK425" s="1166"/>
      <c r="AL425" s="1166"/>
      <c r="AM425" s="1166"/>
      <c r="AN425" s="1166"/>
    </row>
    <row r="426" spans="1:41">
      <c r="C426" s="1177" t="s">
        <v>1949</v>
      </c>
      <c r="D426" s="1178"/>
      <c r="E426" s="1178"/>
      <c r="F426" s="1178"/>
      <c r="G426" s="1178"/>
      <c r="H426" s="1178"/>
      <c r="I426" s="1178"/>
      <c r="J426" s="1178"/>
      <c r="K426" s="1178"/>
      <c r="L426" s="1178"/>
      <c r="M426" s="1178"/>
      <c r="N426" s="1178"/>
      <c r="O426" s="1178"/>
      <c r="P426" s="1178"/>
      <c r="Q426" s="1178"/>
      <c r="R426" s="1178"/>
      <c r="S426" s="1178"/>
      <c r="T426" s="1560">
        <f>M415-M423</f>
        <v>0</v>
      </c>
      <c r="U426" s="1598"/>
      <c r="V426" s="1598"/>
      <c r="W426" s="1598"/>
      <c r="X426" s="1598"/>
      <c r="Y426" s="1598"/>
      <c r="Z426" s="1599"/>
    </row>
    <row r="427" spans="1:41">
      <c r="C427" s="1177" t="s">
        <v>1950</v>
      </c>
      <c r="D427" s="1178"/>
      <c r="E427" s="1178"/>
      <c r="F427" s="1178"/>
      <c r="G427" s="1178"/>
      <c r="H427" s="1178"/>
      <c r="I427" s="1178"/>
      <c r="J427" s="1178"/>
      <c r="K427" s="1178"/>
      <c r="L427" s="1178"/>
      <c r="M427" s="1178"/>
      <c r="N427" s="1178"/>
      <c r="O427" s="1178"/>
      <c r="P427" s="1178"/>
      <c r="Q427" s="1178"/>
      <c r="R427" s="1178"/>
      <c r="S427" s="1178"/>
      <c r="T427" s="1560">
        <f>AH415-AH423</f>
        <v>0</v>
      </c>
      <c r="U427" s="1598"/>
      <c r="V427" s="1598"/>
      <c r="W427" s="1598"/>
      <c r="X427" s="1598"/>
      <c r="Y427" s="1598"/>
      <c r="Z427" s="1599"/>
    </row>
    <row r="429" spans="1:41">
      <c r="A429" s="1581"/>
      <c r="B429" s="1581"/>
      <c r="C429" s="1581"/>
      <c r="D429" s="1581"/>
      <c r="E429" s="1581"/>
      <c r="F429" s="1581"/>
      <c r="G429" s="1581"/>
      <c r="H429" s="1581"/>
      <c r="I429" s="1581"/>
      <c r="J429" s="1581"/>
      <c r="K429" s="1581"/>
      <c r="L429" s="1581"/>
      <c r="M429" s="1581"/>
      <c r="N429" s="1581"/>
      <c r="O429" s="1581"/>
      <c r="P429" s="1581"/>
      <c r="Q429" s="1581"/>
      <c r="R429" s="1581"/>
      <c r="S429" s="1581"/>
      <c r="T429" s="1581"/>
      <c r="U429" s="1581"/>
      <c r="V429" s="1581"/>
      <c r="W429" s="1581"/>
      <c r="X429" s="1581"/>
      <c r="Y429" s="1581"/>
      <c r="Z429" s="1581"/>
      <c r="AA429" s="1581"/>
      <c r="AB429" s="1581"/>
      <c r="AC429" s="1581"/>
      <c r="AD429" s="1581"/>
      <c r="AE429" s="1581"/>
      <c r="AF429" s="1581"/>
      <c r="AG429" s="1581"/>
      <c r="AH429" s="1581"/>
      <c r="AI429" s="1581"/>
      <c r="AJ429" s="1581"/>
      <c r="AK429" s="1581"/>
      <c r="AL429" s="1581"/>
      <c r="AM429" s="1581"/>
      <c r="AN429" s="1581"/>
    </row>
    <row r="430" spans="1:41">
      <c r="A430" s="1581"/>
      <c r="B430" s="1581"/>
      <c r="C430" s="1581"/>
      <c r="D430" s="1581"/>
      <c r="E430" s="1581"/>
      <c r="F430" s="1581"/>
      <c r="G430" s="1581"/>
      <c r="H430" s="1581"/>
      <c r="I430" s="1581"/>
      <c r="J430" s="1581"/>
      <c r="K430" s="1581"/>
      <c r="L430" s="1581"/>
      <c r="M430" s="1581"/>
      <c r="N430" s="1581"/>
      <c r="O430" s="1581"/>
      <c r="P430" s="1581"/>
      <c r="Q430" s="1581"/>
      <c r="R430" s="1581"/>
      <c r="S430" s="1581"/>
      <c r="T430" s="1581"/>
      <c r="U430" s="1581"/>
      <c r="V430" s="1581"/>
      <c r="W430" s="1581"/>
      <c r="X430" s="1581"/>
      <c r="Y430" s="1581"/>
      <c r="Z430" s="1581"/>
      <c r="AA430" s="1581"/>
      <c r="AB430" s="1581"/>
      <c r="AC430" s="1581"/>
      <c r="AD430" s="1581"/>
      <c r="AE430" s="1581"/>
      <c r="AF430" s="1581"/>
      <c r="AG430" s="1581"/>
      <c r="AH430" s="1581"/>
      <c r="AI430" s="1581"/>
      <c r="AJ430" s="1581"/>
      <c r="AK430" s="1581"/>
      <c r="AL430" s="1581"/>
      <c r="AM430" s="1581"/>
      <c r="AN430" s="1581"/>
    </row>
    <row r="431" spans="1:41">
      <c r="A431" s="1581"/>
      <c r="B431" s="1581"/>
      <c r="C431" s="1581"/>
      <c r="D431" s="1581"/>
      <c r="E431" s="1581"/>
      <c r="F431" s="1581"/>
      <c r="G431" s="1581"/>
      <c r="H431" s="1581"/>
      <c r="I431" s="1581"/>
      <c r="J431" s="1581"/>
      <c r="K431" s="1581"/>
      <c r="L431" s="1581"/>
      <c r="M431" s="1581"/>
      <c r="N431" s="1581"/>
      <c r="O431" s="1581"/>
      <c r="P431" s="1581"/>
      <c r="Q431" s="1581"/>
      <c r="R431" s="1581"/>
      <c r="S431" s="1581"/>
      <c r="T431" s="1581"/>
      <c r="U431" s="1581"/>
      <c r="V431" s="1581"/>
      <c r="W431" s="1581"/>
      <c r="X431" s="1581"/>
      <c r="Y431" s="1581"/>
      <c r="Z431" s="1581"/>
      <c r="AA431" s="1581"/>
      <c r="AB431" s="1581"/>
      <c r="AC431" s="1581"/>
      <c r="AD431" s="1581"/>
      <c r="AE431" s="1581"/>
      <c r="AF431" s="1581"/>
      <c r="AG431" s="1581"/>
      <c r="AH431" s="1581"/>
      <c r="AI431" s="1581"/>
      <c r="AJ431" s="1581"/>
      <c r="AK431" s="1581"/>
      <c r="AL431" s="1581"/>
      <c r="AM431" s="1581"/>
      <c r="AN431" s="1581"/>
    </row>
    <row r="432" spans="1:41">
      <c r="A432" s="1581"/>
      <c r="B432" s="1581"/>
      <c r="C432" s="1581"/>
      <c r="D432" s="1581"/>
      <c r="E432" s="1581"/>
      <c r="F432" s="1581"/>
      <c r="G432" s="1581"/>
      <c r="H432" s="1581"/>
      <c r="I432" s="1581"/>
      <c r="J432" s="1581"/>
      <c r="K432" s="1581"/>
      <c r="L432" s="1581"/>
      <c r="M432" s="1581"/>
      <c r="N432" s="1581"/>
      <c r="O432" s="1581"/>
      <c r="P432" s="1581"/>
      <c r="Q432" s="1581"/>
      <c r="R432" s="1581"/>
      <c r="S432" s="1581"/>
      <c r="T432" s="1581"/>
      <c r="U432" s="1581"/>
      <c r="V432" s="1581"/>
      <c r="W432" s="1581"/>
      <c r="X432" s="1581"/>
      <c r="Y432" s="1581"/>
      <c r="Z432" s="1581"/>
      <c r="AA432" s="1581"/>
      <c r="AB432" s="1581"/>
      <c r="AC432" s="1581"/>
      <c r="AD432" s="1581"/>
      <c r="AE432" s="1581"/>
      <c r="AF432" s="1581"/>
      <c r="AG432" s="1581"/>
      <c r="AH432" s="1581"/>
      <c r="AI432" s="1581"/>
      <c r="AJ432" s="1581"/>
      <c r="AK432" s="1581"/>
      <c r="AL432" s="1581"/>
      <c r="AM432" s="1581"/>
      <c r="AN432" s="1581"/>
    </row>
    <row r="433" spans="1:41">
      <c r="A433" s="828" t="s">
        <v>1933</v>
      </c>
      <c r="B433" s="828" t="s">
        <v>200</v>
      </c>
    </row>
    <row r="435" spans="1:41">
      <c r="C435" s="828" t="s">
        <v>2163</v>
      </c>
      <c r="M435" s="1596" t="s">
        <v>1952</v>
      </c>
      <c r="N435" s="1596"/>
      <c r="O435" s="1596"/>
      <c r="P435" s="1596"/>
      <c r="Q435" s="1596"/>
      <c r="R435" s="1596"/>
      <c r="S435" s="1596"/>
      <c r="T435" s="1596"/>
      <c r="U435" s="1596"/>
      <c r="V435" s="1596"/>
      <c r="W435" s="1596"/>
      <c r="X435" s="1596"/>
      <c r="Y435" s="1596"/>
      <c r="Z435" s="1596"/>
      <c r="AA435" s="1596"/>
      <c r="AB435" s="1596"/>
      <c r="AC435" s="1596"/>
      <c r="AD435" s="1596"/>
      <c r="AE435" s="1596"/>
      <c r="AF435" s="1596"/>
      <c r="AG435" s="1596"/>
      <c r="AH435" s="1596"/>
      <c r="AI435" s="1596"/>
      <c r="AJ435" s="1596"/>
      <c r="AK435" s="1596"/>
      <c r="AL435" s="1596"/>
      <c r="AM435" s="1596"/>
      <c r="AN435" s="1596"/>
    </row>
    <row r="436" spans="1:41">
      <c r="A436" s="1567" t="s">
        <v>1948</v>
      </c>
      <c r="B436" s="1567"/>
      <c r="C436" s="1597" t="s">
        <v>1947</v>
      </c>
      <c r="D436" s="1597"/>
      <c r="E436" s="1597"/>
      <c r="F436" s="1597"/>
      <c r="G436" s="1597"/>
      <c r="H436" s="1597"/>
      <c r="I436" s="1597"/>
      <c r="J436" s="1597"/>
      <c r="K436" s="1597"/>
      <c r="L436" s="1597"/>
      <c r="M436" s="1567" t="s">
        <v>1943</v>
      </c>
      <c r="N436" s="1567"/>
      <c r="O436" s="1567"/>
      <c r="P436" s="1567"/>
      <c r="Q436" s="1567"/>
      <c r="R436" s="1567"/>
      <c r="S436" s="1567"/>
      <c r="T436" s="1567" t="s">
        <v>202</v>
      </c>
      <c r="U436" s="1567"/>
      <c r="V436" s="1567"/>
      <c r="W436" s="1567"/>
      <c r="X436" s="1567"/>
      <c r="Y436" s="1567"/>
      <c r="Z436" s="1567"/>
      <c r="AA436" s="1601" t="s">
        <v>203</v>
      </c>
      <c r="AB436" s="1602"/>
      <c r="AC436" s="1602"/>
      <c r="AD436" s="1602"/>
      <c r="AE436" s="1602"/>
      <c r="AF436" s="1602"/>
      <c r="AG436" s="1603"/>
      <c r="AH436" s="1597" t="s">
        <v>1946</v>
      </c>
      <c r="AI436" s="1597"/>
      <c r="AJ436" s="1597"/>
      <c r="AK436" s="1597"/>
      <c r="AL436" s="1597"/>
      <c r="AM436" s="1597"/>
      <c r="AN436" s="1597"/>
    </row>
    <row r="437" spans="1:41">
      <c r="A437" s="1590" t="str">
        <f>unos!A200</f>
        <v>060</v>
      </c>
      <c r="B437" s="1591"/>
      <c r="C437" s="1592" t="str">
        <f>unos!B200</f>
        <v>Učešće u kapitalu povezanih pravnih lica</v>
      </c>
      <c r="D437" s="1593"/>
      <c r="E437" s="1593"/>
      <c r="F437" s="1593"/>
      <c r="G437" s="1593"/>
      <c r="H437" s="1593"/>
      <c r="I437" s="1593"/>
      <c r="J437" s="1593"/>
      <c r="K437" s="1593"/>
      <c r="L437" s="1593"/>
      <c r="M437" s="1589">
        <f>unos!C200</f>
        <v>0</v>
      </c>
      <c r="N437" s="1589"/>
      <c r="O437" s="1589"/>
      <c r="P437" s="1589"/>
      <c r="Q437" s="1589"/>
      <c r="R437" s="1589"/>
      <c r="S437" s="1589"/>
      <c r="T437" s="1589"/>
      <c r="U437" s="1589"/>
      <c r="V437" s="1589"/>
      <c r="W437" s="1589"/>
      <c r="X437" s="1589"/>
      <c r="Y437" s="1589"/>
      <c r="Z437" s="1589"/>
      <c r="AA437" s="1589"/>
      <c r="AB437" s="1589"/>
      <c r="AC437" s="1589"/>
      <c r="AD437" s="1589"/>
      <c r="AE437" s="1589"/>
      <c r="AF437" s="1589"/>
      <c r="AG437" s="1589"/>
      <c r="AH437" s="1589">
        <f t="shared" ref="AH437:AH444" si="18">M437+T437-AA437</f>
        <v>0</v>
      </c>
      <c r="AI437" s="1589"/>
      <c r="AJ437" s="1589"/>
      <c r="AK437" s="1589"/>
      <c r="AL437" s="1589"/>
      <c r="AM437" s="1589"/>
      <c r="AN437" s="1589"/>
    </row>
    <row r="438" spans="1:41">
      <c r="A438" s="1590" t="str">
        <f>unos!A201</f>
        <v>061</v>
      </c>
      <c r="B438" s="1591"/>
      <c r="C438" s="1592" t="str">
        <f>unos!B201</f>
        <v>Učešće u kapitalu drugih pravnih lica</v>
      </c>
      <c r="D438" s="1593"/>
      <c r="E438" s="1593"/>
      <c r="F438" s="1593"/>
      <c r="G438" s="1593"/>
      <c r="H438" s="1593"/>
      <c r="I438" s="1593"/>
      <c r="J438" s="1593"/>
      <c r="K438" s="1593"/>
      <c r="L438" s="1593"/>
      <c r="M438" s="1589">
        <f>unos!C201</f>
        <v>0</v>
      </c>
      <c r="N438" s="1589"/>
      <c r="O438" s="1589"/>
      <c r="P438" s="1589"/>
      <c r="Q438" s="1589"/>
      <c r="R438" s="1589"/>
      <c r="S438" s="1589"/>
      <c r="T438" s="1589"/>
      <c r="U438" s="1589"/>
      <c r="V438" s="1589"/>
      <c r="W438" s="1589"/>
      <c r="X438" s="1589"/>
      <c r="Y438" s="1589"/>
      <c r="Z438" s="1589"/>
      <c r="AA438" s="1589"/>
      <c r="AB438" s="1589"/>
      <c r="AC438" s="1589"/>
      <c r="AD438" s="1589"/>
      <c r="AE438" s="1589"/>
      <c r="AF438" s="1589"/>
      <c r="AG438" s="1589"/>
      <c r="AH438" s="1589">
        <f t="shared" si="18"/>
        <v>0</v>
      </c>
      <c r="AI438" s="1589"/>
      <c r="AJ438" s="1589"/>
      <c r="AK438" s="1589"/>
      <c r="AL438" s="1589"/>
      <c r="AM438" s="1589"/>
      <c r="AN438" s="1589"/>
    </row>
    <row r="439" spans="1:41">
      <c r="A439" s="1590" t="str">
        <f>unos!A202</f>
        <v>062</v>
      </c>
      <c r="B439" s="1591"/>
      <c r="C439" s="1592" t="str">
        <f>unos!B202</f>
        <v>Dugoročni krediti dati povezanim pravnim lici</v>
      </c>
      <c r="D439" s="1593"/>
      <c r="E439" s="1593"/>
      <c r="F439" s="1593"/>
      <c r="G439" s="1593"/>
      <c r="H439" s="1593"/>
      <c r="I439" s="1593"/>
      <c r="J439" s="1593"/>
      <c r="K439" s="1593"/>
      <c r="L439" s="1593"/>
      <c r="M439" s="1589">
        <f>unos!C202</f>
        <v>0</v>
      </c>
      <c r="N439" s="1589"/>
      <c r="O439" s="1589"/>
      <c r="P439" s="1589"/>
      <c r="Q439" s="1589"/>
      <c r="R439" s="1589"/>
      <c r="S439" s="1589"/>
      <c r="T439" s="1589"/>
      <c r="U439" s="1589"/>
      <c r="V439" s="1589"/>
      <c r="W439" s="1589"/>
      <c r="X439" s="1589"/>
      <c r="Y439" s="1589"/>
      <c r="Z439" s="1589"/>
      <c r="AA439" s="1589"/>
      <c r="AB439" s="1589"/>
      <c r="AC439" s="1589"/>
      <c r="AD439" s="1589"/>
      <c r="AE439" s="1589"/>
      <c r="AF439" s="1589"/>
      <c r="AG439" s="1589"/>
      <c r="AH439" s="1589">
        <f t="shared" si="18"/>
        <v>0</v>
      </c>
      <c r="AI439" s="1589"/>
      <c r="AJ439" s="1589"/>
      <c r="AK439" s="1589"/>
      <c r="AL439" s="1589"/>
      <c r="AM439" s="1589"/>
      <c r="AN439" s="1589"/>
    </row>
    <row r="440" spans="1:41">
      <c r="A440" s="1590" t="str">
        <f>unos!A203</f>
        <v>063</v>
      </c>
      <c r="B440" s="1591"/>
      <c r="C440" s="1592" t="str">
        <f>unos!B203</f>
        <v>Dugoročni krediti dati u zemlji</v>
      </c>
      <c r="D440" s="1593"/>
      <c r="E440" s="1593"/>
      <c r="F440" s="1593"/>
      <c r="G440" s="1593"/>
      <c r="H440" s="1593"/>
      <c r="I440" s="1593"/>
      <c r="J440" s="1593"/>
      <c r="K440" s="1593"/>
      <c r="L440" s="1593"/>
      <c r="M440" s="1589">
        <f>unos!C203</f>
        <v>0</v>
      </c>
      <c r="N440" s="1589"/>
      <c r="O440" s="1589"/>
      <c r="P440" s="1589"/>
      <c r="Q440" s="1589"/>
      <c r="R440" s="1589"/>
      <c r="S440" s="1589"/>
      <c r="T440" s="1589"/>
      <c r="U440" s="1589"/>
      <c r="V440" s="1589"/>
      <c r="W440" s="1589"/>
      <c r="X440" s="1589"/>
      <c r="Y440" s="1589"/>
      <c r="Z440" s="1589"/>
      <c r="AA440" s="1589"/>
      <c r="AB440" s="1589"/>
      <c r="AC440" s="1589"/>
      <c r="AD440" s="1589"/>
      <c r="AE440" s="1589"/>
      <c r="AF440" s="1589"/>
      <c r="AG440" s="1589"/>
      <c r="AH440" s="1589">
        <f t="shared" si="18"/>
        <v>0</v>
      </c>
      <c r="AI440" s="1589"/>
      <c r="AJ440" s="1589"/>
      <c r="AK440" s="1589"/>
      <c r="AL440" s="1589"/>
      <c r="AM440" s="1589"/>
      <c r="AN440" s="1589"/>
    </row>
    <row r="441" spans="1:41">
      <c r="A441" s="1590" t="str">
        <f>unos!A204</f>
        <v>064</v>
      </c>
      <c r="B441" s="1591"/>
      <c r="C441" s="1592" t="str">
        <f>unos!B204</f>
        <v>Dugoročni krediti dati u inostranstvu</v>
      </c>
      <c r="D441" s="1593"/>
      <c r="E441" s="1593"/>
      <c r="F441" s="1593"/>
      <c r="G441" s="1593"/>
      <c r="H441" s="1593"/>
      <c r="I441" s="1593"/>
      <c r="J441" s="1593"/>
      <c r="K441" s="1593"/>
      <c r="L441" s="1593"/>
      <c r="M441" s="1589">
        <f>unos!C204</f>
        <v>0</v>
      </c>
      <c r="N441" s="1589"/>
      <c r="O441" s="1589"/>
      <c r="P441" s="1589"/>
      <c r="Q441" s="1589"/>
      <c r="R441" s="1589"/>
      <c r="S441" s="1589"/>
      <c r="T441" s="1589"/>
      <c r="U441" s="1589"/>
      <c r="V441" s="1589"/>
      <c r="W441" s="1589"/>
      <c r="X441" s="1589"/>
      <c r="Y441" s="1589"/>
      <c r="Z441" s="1589"/>
      <c r="AA441" s="1589"/>
      <c r="AB441" s="1589"/>
      <c r="AC441" s="1589"/>
      <c r="AD441" s="1589"/>
      <c r="AE441" s="1589"/>
      <c r="AF441" s="1589"/>
      <c r="AG441" s="1589"/>
      <c r="AH441" s="1589">
        <f t="shared" si="18"/>
        <v>0</v>
      </c>
      <c r="AI441" s="1589"/>
      <c r="AJ441" s="1589"/>
      <c r="AK441" s="1589"/>
      <c r="AL441" s="1589"/>
      <c r="AM441" s="1589"/>
      <c r="AN441" s="1589"/>
    </row>
    <row r="442" spans="1:41">
      <c r="A442" s="1590" t="str">
        <f>unos!A205</f>
        <v>065</v>
      </c>
      <c r="B442" s="1591"/>
      <c r="C442" s="1592" t="str">
        <f>unos!B205</f>
        <v>Finansijska sredstva raspoloživa za prodaju</v>
      </c>
      <c r="D442" s="1593"/>
      <c r="E442" s="1593"/>
      <c r="F442" s="1593"/>
      <c r="G442" s="1593"/>
      <c r="H442" s="1593"/>
      <c r="I442" s="1593"/>
      <c r="J442" s="1593"/>
      <c r="K442" s="1593"/>
      <c r="L442" s="1593"/>
      <c r="M442" s="1589">
        <f>unos!C205</f>
        <v>0</v>
      </c>
      <c r="N442" s="1589"/>
      <c r="O442" s="1589"/>
      <c r="P442" s="1589"/>
      <c r="Q442" s="1589"/>
      <c r="R442" s="1589"/>
      <c r="S442" s="1589"/>
      <c r="T442" s="1589"/>
      <c r="U442" s="1589"/>
      <c r="V442" s="1589"/>
      <c r="W442" s="1589"/>
      <c r="X442" s="1589"/>
      <c r="Y442" s="1589"/>
      <c r="Z442" s="1589"/>
      <c r="AA442" s="1589"/>
      <c r="AB442" s="1589"/>
      <c r="AC442" s="1589"/>
      <c r="AD442" s="1589"/>
      <c r="AE442" s="1589"/>
      <c r="AF442" s="1589"/>
      <c r="AG442" s="1589"/>
      <c r="AH442" s="1589">
        <f t="shared" si="18"/>
        <v>0</v>
      </c>
      <c r="AI442" s="1589"/>
      <c r="AJ442" s="1589"/>
      <c r="AK442" s="1589"/>
      <c r="AL442" s="1589"/>
      <c r="AM442" s="1589"/>
      <c r="AN442" s="1589"/>
    </row>
    <row r="443" spans="1:41">
      <c r="A443" s="1590" t="str">
        <f>unos!A206</f>
        <v>066</v>
      </c>
      <c r="B443" s="1591"/>
      <c r="C443" s="1592" t="str">
        <f>unos!B206</f>
        <v>Finansijska sredstva koja se drže do roka dos</v>
      </c>
      <c r="D443" s="1593"/>
      <c r="E443" s="1593"/>
      <c r="F443" s="1593"/>
      <c r="G443" s="1593"/>
      <c r="H443" s="1593"/>
      <c r="I443" s="1593"/>
      <c r="J443" s="1593"/>
      <c r="K443" s="1593"/>
      <c r="L443" s="1593"/>
      <c r="M443" s="1589">
        <f>unos!C206</f>
        <v>0</v>
      </c>
      <c r="N443" s="1589"/>
      <c r="O443" s="1589"/>
      <c r="P443" s="1589"/>
      <c r="Q443" s="1589"/>
      <c r="R443" s="1589"/>
      <c r="S443" s="1589"/>
      <c r="T443" s="1589"/>
      <c r="U443" s="1589"/>
      <c r="V443" s="1589"/>
      <c r="W443" s="1589"/>
      <c r="X443" s="1589"/>
      <c r="Y443" s="1589"/>
      <c r="Z443" s="1589"/>
      <c r="AA443" s="1589"/>
      <c r="AB443" s="1589"/>
      <c r="AC443" s="1589"/>
      <c r="AD443" s="1589"/>
      <c r="AE443" s="1589"/>
      <c r="AF443" s="1589"/>
      <c r="AG443" s="1589"/>
      <c r="AH443" s="1589">
        <f t="shared" si="18"/>
        <v>0</v>
      </c>
      <c r="AI443" s="1589"/>
      <c r="AJ443" s="1589"/>
      <c r="AK443" s="1589"/>
      <c r="AL443" s="1589"/>
      <c r="AM443" s="1589"/>
      <c r="AN443" s="1589"/>
    </row>
    <row r="444" spans="1:41">
      <c r="A444" s="1590" t="str">
        <f>unos!A207</f>
        <v>068</v>
      </c>
      <c r="B444" s="1591"/>
      <c r="C444" s="1592" t="str">
        <f>unos!B207</f>
        <v>Ostali dugoročni finansijski plasmani</v>
      </c>
      <c r="D444" s="1593"/>
      <c r="E444" s="1593"/>
      <c r="F444" s="1593"/>
      <c r="G444" s="1593"/>
      <c r="H444" s="1593"/>
      <c r="I444" s="1593"/>
      <c r="J444" s="1593"/>
      <c r="K444" s="1593"/>
      <c r="L444" s="1593"/>
      <c r="M444" s="1589">
        <f>unos!C207</f>
        <v>0</v>
      </c>
      <c r="N444" s="1589"/>
      <c r="O444" s="1589"/>
      <c r="P444" s="1589"/>
      <c r="Q444" s="1589"/>
      <c r="R444" s="1589"/>
      <c r="S444" s="1589"/>
      <c r="T444" s="1589"/>
      <c r="U444" s="1589"/>
      <c r="V444" s="1589"/>
      <c r="W444" s="1589"/>
      <c r="X444" s="1589"/>
      <c r="Y444" s="1589"/>
      <c r="Z444" s="1589"/>
      <c r="AA444" s="1589"/>
      <c r="AB444" s="1589"/>
      <c r="AC444" s="1589"/>
      <c r="AD444" s="1589"/>
      <c r="AE444" s="1589"/>
      <c r="AF444" s="1589"/>
      <c r="AG444" s="1589"/>
      <c r="AH444" s="1589">
        <f t="shared" si="18"/>
        <v>0</v>
      </c>
      <c r="AI444" s="1589"/>
      <c r="AJ444" s="1589"/>
      <c r="AK444" s="1589"/>
      <c r="AL444" s="1589"/>
      <c r="AM444" s="1589"/>
      <c r="AN444" s="1589"/>
    </row>
    <row r="445" spans="1:41">
      <c r="A445" s="1173"/>
      <c r="B445" s="1174"/>
      <c r="D445" s="1175"/>
      <c r="E445" s="1175"/>
      <c r="F445" s="1175"/>
      <c r="G445" s="1175"/>
      <c r="H445" s="1175"/>
      <c r="I445" s="1175"/>
      <c r="J445" s="1175"/>
      <c r="K445" s="1175"/>
      <c r="L445" s="1165" t="s">
        <v>222</v>
      </c>
      <c r="M445" s="1588">
        <f>SUM(M437:S444)</f>
        <v>0</v>
      </c>
      <c r="N445" s="1588"/>
      <c r="O445" s="1588"/>
      <c r="P445" s="1588"/>
      <c r="Q445" s="1588"/>
      <c r="R445" s="1588"/>
      <c r="S445" s="1588"/>
      <c r="T445" s="1588">
        <f>SUM(T437:Z444)</f>
        <v>0</v>
      </c>
      <c r="U445" s="1588"/>
      <c r="V445" s="1588"/>
      <c r="W445" s="1588"/>
      <c r="X445" s="1588"/>
      <c r="Y445" s="1588"/>
      <c r="Z445" s="1588"/>
      <c r="AA445" s="1588">
        <f>SUM(AA437:AG444)</f>
        <v>0</v>
      </c>
      <c r="AB445" s="1588"/>
      <c r="AC445" s="1588"/>
      <c r="AD445" s="1588"/>
      <c r="AE445" s="1588"/>
      <c r="AF445" s="1588"/>
      <c r="AG445" s="1588"/>
      <c r="AH445" s="1588">
        <f>SUM(AH437:AN444)</f>
        <v>0</v>
      </c>
      <c r="AI445" s="1588"/>
      <c r="AJ445" s="1588"/>
      <c r="AK445" s="1588"/>
      <c r="AL445" s="1588"/>
      <c r="AM445" s="1588"/>
      <c r="AN445" s="1588"/>
      <c r="AO445" s="1278">
        <f>IF(AH445-'bilans-stanja'!Z50&lt;&gt;0,"GRESKA",AH445-'bilans-stanja'!Z50)</f>
        <v>0</v>
      </c>
    </row>
    <row r="448" spans="1:41">
      <c r="B448" s="828" t="s">
        <v>2015</v>
      </c>
      <c r="M448" s="1596" t="s">
        <v>1952</v>
      </c>
      <c r="N448" s="1596"/>
      <c r="O448" s="1596"/>
      <c r="P448" s="1596"/>
      <c r="Q448" s="1596"/>
      <c r="R448" s="1596"/>
      <c r="S448" s="1596"/>
      <c r="T448" s="1596"/>
      <c r="U448" s="1596"/>
      <c r="V448" s="1596"/>
      <c r="W448" s="1596"/>
      <c r="X448" s="1596"/>
      <c r="Y448" s="1596"/>
      <c r="Z448" s="1596"/>
      <c r="AA448" s="1596"/>
      <c r="AB448" s="1596"/>
      <c r="AC448" s="1596"/>
      <c r="AD448" s="1596"/>
      <c r="AE448" s="1596"/>
      <c r="AF448" s="1596"/>
      <c r="AG448" s="1596"/>
      <c r="AH448" s="1596"/>
      <c r="AI448" s="1596"/>
      <c r="AJ448" s="1596"/>
      <c r="AK448" s="1596"/>
      <c r="AL448" s="1596"/>
      <c r="AM448" s="1596"/>
      <c r="AN448" s="1596"/>
    </row>
    <row r="449" spans="1:41">
      <c r="A449" s="1567" t="s">
        <v>1948</v>
      </c>
      <c r="B449" s="1567"/>
      <c r="C449" s="1597" t="s">
        <v>1947</v>
      </c>
      <c r="D449" s="1597"/>
      <c r="E449" s="1597"/>
      <c r="F449" s="1597"/>
      <c r="G449" s="1597"/>
      <c r="H449" s="1597"/>
      <c r="I449" s="1597"/>
      <c r="J449" s="1597"/>
      <c r="K449" s="1597"/>
      <c r="L449" s="1597"/>
      <c r="M449" s="1567" t="s">
        <v>1943</v>
      </c>
      <c r="N449" s="1567"/>
      <c r="O449" s="1567"/>
      <c r="P449" s="1567"/>
      <c r="Q449" s="1567"/>
      <c r="R449" s="1567"/>
      <c r="S449" s="1567"/>
      <c r="T449" s="1601" t="s">
        <v>203</v>
      </c>
      <c r="U449" s="1602"/>
      <c r="V449" s="1602"/>
      <c r="W449" s="1602"/>
      <c r="X449" s="1602"/>
      <c r="Y449" s="1602"/>
      <c r="Z449" s="1603"/>
      <c r="AA449" s="1601" t="s">
        <v>1890</v>
      </c>
      <c r="AB449" s="1602"/>
      <c r="AC449" s="1602"/>
      <c r="AD449" s="1602"/>
      <c r="AE449" s="1602"/>
      <c r="AF449" s="1602"/>
      <c r="AG449" s="1603"/>
      <c r="AH449" s="1597" t="s">
        <v>1946</v>
      </c>
      <c r="AI449" s="1597"/>
      <c r="AJ449" s="1597"/>
      <c r="AK449" s="1597"/>
      <c r="AL449" s="1597"/>
      <c r="AM449" s="1597"/>
      <c r="AN449" s="1597"/>
    </row>
    <row r="450" spans="1:41">
      <c r="A450" s="1590" t="str">
        <f>unos!A200</f>
        <v>060</v>
      </c>
      <c r="B450" s="1591"/>
      <c r="C450" s="1592" t="str">
        <f>unos!B200</f>
        <v>Učešće u kapitalu povezanih pravnih lica</v>
      </c>
      <c r="D450" s="1593"/>
      <c r="E450" s="1593"/>
      <c r="F450" s="1593"/>
      <c r="G450" s="1593"/>
      <c r="H450" s="1593"/>
      <c r="I450" s="1593"/>
      <c r="J450" s="1593"/>
      <c r="K450" s="1593"/>
      <c r="L450" s="1593"/>
      <c r="M450" s="1589">
        <f>unos!D200</f>
        <v>0</v>
      </c>
      <c r="N450" s="1589"/>
      <c r="O450" s="1589"/>
      <c r="P450" s="1589"/>
      <c r="Q450" s="1589"/>
      <c r="R450" s="1589"/>
      <c r="S450" s="1589"/>
      <c r="T450" s="1589"/>
      <c r="U450" s="1589"/>
      <c r="V450" s="1589"/>
      <c r="W450" s="1589"/>
      <c r="X450" s="1589"/>
      <c r="Y450" s="1589"/>
      <c r="Z450" s="1589"/>
      <c r="AA450" s="1589"/>
      <c r="AB450" s="1589"/>
      <c r="AC450" s="1589"/>
      <c r="AD450" s="1589"/>
      <c r="AE450" s="1589"/>
      <c r="AF450" s="1589"/>
      <c r="AG450" s="1589"/>
      <c r="AH450" s="1589">
        <f>M450+AA450-T450</f>
        <v>0</v>
      </c>
      <c r="AI450" s="1589"/>
      <c r="AJ450" s="1589"/>
      <c r="AK450" s="1589"/>
      <c r="AL450" s="1589"/>
      <c r="AM450" s="1589"/>
      <c r="AN450" s="1589"/>
    </row>
    <row r="451" spans="1:41">
      <c r="A451" s="1590" t="str">
        <f>unos!A201</f>
        <v>061</v>
      </c>
      <c r="B451" s="1591"/>
      <c r="C451" s="1592" t="str">
        <f>unos!B201</f>
        <v>Učešće u kapitalu drugih pravnih lica</v>
      </c>
      <c r="D451" s="1593"/>
      <c r="E451" s="1593"/>
      <c r="F451" s="1593"/>
      <c r="G451" s="1593"/>
      <c r="H451" s="1593"/>
      <c r="I451" s="1593"/>
      <c r="J451" s="1593"/>
      <c r="K451" s="1593"/>
      <c r="L451" s="1593"/>
      <c r="M451" s="1589">
        <f>unos!D201</f>
        <v>0</v>
      </c>
      <c r="N451" s="1589"/>
      <c r="O451" s="1589"/>
      <c r="P451" s="1589"/>
      <c r="Q451" s="1589"/>
      <c r="R451" s="1589"/>
      <c r="S451" s="1589"/>
      <c r="T451" s="1589"/>
      <c r="U451" s="1589"/>
      <c r="V451" s="1589"/>
      <c r="W451" s="1589"/>
      <c r="X451" s="1589"/>
      <c r="Y451" s="1589"/>
      <c r="Z451" s="1589"/>
      <c r="AA451" s="1589"/>
      <c r="AB451" s="1589"/>
      <c r="AC451" s="1589"/>
      <c r="AD451" s="1589"/>
      <c r="AE451" s="1589"/>
      <c r="AF451" s="1589"/>
      <c r="AG451" s="1589"/>
      <c r="AH451" s="1589">
        <f t="shared" ref="AH451:AH456" si="19">M451+AA451-T451</f>
        <v>0</v>
      </c>
      <c r="AI451" s="1589"/>
      <c r="AJ451" s="1589"/>
      <c r="AK451" s="1589"/>
      <c r="AL451" s="1589"/>
      <c r="AM451" s="1589"/>
      <c r="AN451" s="1589"/>
    </row>
    <row r="452" spans="1:41">
      <c r="A452" s="1590" t="str">
        <f>unos!A202</f>
        <v>062</v>
      </c>
      <c r="B452" s="1591"/>
      <c r="C452" s="1592" t="str">
        <f>unos!B202</f>
        <v>Dugoročni krediti dati povezanim pravnim lici</v>
      </c>
      <c r="D452" s="1593"/>
      <c r="E452" s="1593"/>
      <c r="F452" s="1593"/>
      <c r="G452" s="1593"/>
      <c r="H452" s="1593"/>
      <c r="I452" s="1593"/>
      <c r="J452" s="1593"/>
      <c r="K452" s="1593"/>
      <c r="L452" s="1593"/>
      <c r="M452" s="1589">
        <f>unos!D202</f>
        <v>0</v>
      </c>
      <c r="N452" s="1589"/>
      <c r="O452" s="1589"/>
      <c r="P452" s="1589"/>
      <c r="Q452" s="1589"/>
      <c r="R452" s="1589"/>
      <c r="S452" s="1589"/>
      <c r="T452" s="1589"/>
      <c r="U452" s="1589"/>
      <c r="V452" s="1589"/>
      <c r="W452" s="1589"/>
      <c r="X452" s="1589"/>
      <c r="Y452" s="1589"/>
      <c r="Z452" s="1589"/>
      <c r="AA452" s="1589"/>
      <c r="AB452" s="1589"/>
      <c r="AC452" s="1589"/>
      <c r="AD452" s="1589"/>
      <c r="AE452" s="1589"/>
      <c r="AF452" s="1589"/>
      <c r="AG452" s="1589"/>
      <c r="AH452" s="1589">
        <f t="shared" si="19"/>
        <v>0</v>
      </c>
      <c r="AI452" s="1589"/>
      <c r="AJ452" s="1589"/>
      <c r="AK452" s="1589"/>
      <c r="AL452" s="1589"/>
      <c r="AM452" s="1589"/>
      <c r="AN452" s="1589"/>
    </row>
    <row r="453" spans="1:41">
      <c r="A453" s="1590" t="str">
        <f>unos!A203</f>
        <v>063</v>
      </c>
      <c r="B453" s="1591"/>
      <c r="C453" s="1592" t="str">
        <f>unos!B203</f>
        <v>Dugoročni krediti dati u zemlji</v>
      </c>
      <c r="D453" s="1593"/>
      <c r="E453" s="1593"/>
      <c r="F453" s="1593"/>
      <c r="G453" s="1593"/>
      <c r="H453" s="1593"/>
      <c r="I453" s="1593"/>
      <c r="J453" s="1593"/>
      <c r="K453" s="1593"/>
      <c r="L453" s="1593"/>
      <c r="M453" s="1589">
        <f>unos!D203</f>
        <v>0</v>
      </c>
      <c r="N453" s="1589"/>
      <c r="O453" s="1589"/>
      <c r="P453" s="1589"/>
      <c r="Q453" s="1589"/>
      <c r="R453" s="1589"/>
      <c r="S453" s="1589"/>
      <c r="T453" s="1589"/>
      <c r="U453" s="1589"/>
      <c r="V453" s="1589"/>
      <c r="W453" s="1589"/>
      <c r="X453" s="1589"/>
      <c r="Y453" s="1589"/>
      <c r="Z453" s="1589"/>
      <c r="AA453" s="1589"/>
      <c r="AB453" s="1589"/>
      <c r="AC453" s="1589"/>
      <c r="AD453" s="1589"/>
      <c r="AE453" s="1589"/>
      <c r="AF453" s="1589"/>
      <c r="AG453" s="1589"/>
      <c r="AH453" s="1589">
        <f t="shared" si="19"/>
        <v>0</v>
      </c>
      <c r="AI453" s="1589"/>
      <c r="AJ453" s="1589"/>
      <c r="AK453" s="1589"/>
      <c r="AL453" s="1589"/>
      <c r="AM453" s="1589"/>
      <c r="AN453" s="1589"/>
    </row>
    <row r="454" spans="1:41">
      <c r="A454" s="1590" t="str">
        <f>unos!A204</f>
        <v>064</v>
      </c>
      <c r="B454" s="1591"/>
      <c r="C454" s="1592" t="str">
        <f>unos!B204</f>
        <v>Dugoročni krediti dati u inostranstvu</v>
      </c>
      <c r="D454" s="1593"/>
      <c r="E454" s="1593"/>
      <c r="F454" s="1593"/>
      <c r="G454" s="1593"/>
      <c r="H454" s="1593"/>
      <c r="I454" s="1593"/>
      <c r="J454" s="1593"/>
      <c r="K454" s="1593"/>
      <c r="L454" s="1593"/>
      <c r="M454" s="1589">
        <f>unos!D204</f>
        <v>0</v>
      </c>
      <c r="N454" s="1589"/>
      <c r="O454" s="1589"/>
      <c r="P454" s="1589"/>
      <c r="Q454" s="1589"/>
      <c r="R454" s="1589"/>
      <c r="S454" s="1589"/>
      <c r="T454" s="1589"/>
      <c r="U454" s="1589"/>
      <c r="V454" s="1589"/>
      <c r="W454" s="1589"/>
      <c r="X454" s="1589"/>
      <c r="Y454" s="1589"/>
      <c r="Z454" s="1589"/>
      <c r="AA454" s="1589"/>
      <c r="AB454" s="1589"/>
      <c r="AC454" s="1589"/>
      <c r="AD454" s="1589"/>
      <c r="AE454" s="1589"/>
      <c r="AF454" s="1589"/>
      <c r="AG454" s="1589"/>
      <c r="AH454" s="1589">
        <f t="shared" si="19"/>
        <v>0</v>
      </c>
      <c r="AI454" s="1589"/>
      <c r="AJ454" s="1589"/>
      <c r="AK454" s="1589"/>
      <c r="AL454" s="1589"/>
      <c r="AM454" s="1589"/>
      <c r="AN454" s="1589"/>
    </row>
    <row r="455" spans="1:41">
      <c r="A455" s="1590" t="str">
        <f>unos!A205</f>
        <v>065</v>
      </c>
      <c r="B455" s="1591"/>
      <c r="C455" s="1592" t="str">
        <f>unos!B205</f>
        <v>Finansijska sredstva raspoloživa za prodaju</v>
      </c>
      <c r="D455" s="1593"/>
      <c r="E455" s="1593"/>
      <c r="F455" s="1593"/>
      <c r="G455" s="1593"/>
      <c r="H455" s="1593"/>
      <c r="I455" s="1593"/>
      <c r="J455" s="1593"/>
      <c r="K455" s="1593"/>
      <c r="L455" s="1593"/>
      <c r="M455" s="1589">
        <f>unos!D205</f>
        <v>0</v>
      </c>
      <c r="N455" s="1589"/>
      <c r="O455" s="1589"/>
      <c r="P455" s="1589"/>
      <c r="Q455" s="1589"/>
      <c r="R455" s="1589"/>
      <c r="S455" s="1589"/>
      <c r="T455" s="1589"/>
      <c r="U455" s="1589"/>
      <c r="V455" s="1589"/>
      <c r="W455" s="1589"/>
      <c r="X455" s="1589"/>
      <c r="Y455" s="1589"/>
      <c r="Z455" s="1589"/>
      <c r="AA455" s="1589"/>
      <c r="AB455" s="1589"/>
      <c r="AC455" s="1589"/>
      <c r="AD455" s="1589"/>
      <c r="AE455" s="1589"/>
      <c r="AF455" s="1589"/>
      <c r="AG455" s="1589"/>
      <c r="AH455" s="1589">
        <f t="shared" si="19"/>
        <v>0</v>
      </c>
      <c r="AI455" s="1589"/>
      <c r="AJ455" s="1589"/>
      <c r="AK455" s="1589"/>
      <c r="AL455" s="1589"/>
      <c r="AM455" s="1589"/>
      <c r="AN455" s="1589"/>
    </row>
    <row r="456" spans="1:41">
      <c r="A456" s="1590" t="str">
        <f>unos!A206</f>
        <v>066</v>
      </c>
      <c r="B456" s="1591"/>
      <c r="C456" s="1592" t="str">
        <f>unos!B206</f>
        <v>Finansijska sredstva koja se drže do roka dos</v>
      </c>
      <c r="D456" s="1593"/>
      <c r="E456" s="1593"/>
      <c r="F456" s="1593"/>
      <c r="G456" s="1593"/>
      <c r="H456" s="1593"/>
      <c r="I456" s="1593"/>
      <c r="J456" s="1593"/>
      <c r="K456" s="1593"/>
      <c r="L456" s="1593"/>
      <c r="M456" s="1589">
        <f>unos!D206</f>
        <v>0</v>
      </c>
      <c r="N456" s="1589"/>
      <c r="O456" s="1589"/>
      <c r="P456" s="1589"/>
      <c r="Q456" s="1589"/>
      <c r="R456" s="1589"/>
      <c r="S456" s="1589"/>
      <c r="T456" s="1589"/>
      <c r="U456" s="1589"/>
      <c r="V456" s="1589"/>
      <c r="W456" s="1589"/>
      <c r="X456" s="1589"/>
      <c r="Y456" s="1589"/>
      <c r="Z456" s="1589"/>
      <c r="AA456" s="1589"/>
      <c r="AB456" s="1589"/>
      <c r="AC456" s="1589"/>
      <c r="AD456" s="1589"/>
      <c r="AE456" s="1589"/>
      <c r="AF456" s="1589"/>
      <c r="AG456" s="1589"/>
      <c r="AH456" s="1589">
        <f t="shared" si="19"/>
        <v>0</v>
      </c>
      <c r="AI456" s="1589"/>
      <c r="AJ456" s="1589"/>
      <c r="AK456" s="1589"/>
      <c r="AL456" s="1589"/>
      <c r="AM456" s="1589"/>
      <c r="AN456" s="1589"/>
    </row>
    <row r="457" spans="1:41">
      <c r="A457" s="1590" t="str">
        <f>unos!A207</f>
        <v>068</v>
      </c>
      <c r="B457" s="1591"/>
      <c r="C457" s="1592" t="str">
        <f>unos!B207</f>
        <v>Ostali dugoročni finansijski plasmani</v>
      </c>
      <c r="D457" s="1593"/>
      <c r="E457" s="1593"/>
      <c r="F457" s="1593"/>
      <c r="G457" s="1593"/>
      <c r="H457" s="1593"/>
      <c r="I457" s="1593"/>
      <c r="J457" s="1593"/>
      <c r="K457" s="1593"/>
      <c r="L457" s="1593"/>
      <c r="M457" s="1589">
        <f>unos!D207</f>
        <v>0</v>
      </c>
      <c r="N457" s="1589"/>
      <c r="O457" s="1589"/>
      <c r="P457" s="1589"/>
      <c r="Q457" s="1589"/>
      <c r="R457" s="1589"/>
      <c r="S457" s="1589"/>
      <c r="T457" s="1589"/>
      <c r="U457" s="1589"/>
      <c r="V457" s="1589"/>
      <c r="W457" s="1589"/>
      <c r="X457" s="1589"/>
      <c r="Y457" s="1589"/>
      <c r="Z457" s="1589"/>
      <c r="AA457" s="1589"/>
      <c r="AB457" s="1589"/>
      <c r="AC457" s="1589"/>
      <c r="AD457" s="1589"/>
      <c r="AE457" s="1589"/>
      <c r="AF457" s="1589"/>
      <c r="AG457" s="1589"/>
      <c r="AH457" s="1589">
        <f>M457+AA457-T457</f>
        <v>0</v>
      </c>
      <c r="AI457" s="1589"/>
      <c r="AJ457" s="1589"/>
      <c r="AK457" s="1589"/>
      <c r="AL457" s="1589"/>
      <c r="AM457" s="1589"/>
      <c r="AN457" s="1589"/>
    </row>
    <row r="458" spans="1:41">
      <c r="A458" s="1173"/>
      <c r="B458" s="1174"/>
      <c r="D458" s="1175"/>
      <c r="E458" s="1175"/>
      <c r="F458" s="1175"/>
      <c r="G458" s="1175"/>
      <c r="H458" s="1175"/>
      <c r="I458" s="1175"/>
      <c r="J458" s="1175"/>
      <c r="K458" s="1175"/>
      <c r="L458" s="1165" t="s">
        <v>222</v>
      </c>
      <c r="M458" s="1600">
        <f>SUM(M450:S457)</f>
        <v>0</v>
      </c>
      <c r="N458" s="1600"/>
      <c r="O458" s="1600"/>
      <c r="P458" s="1600"/>
      <c r="Q458" s="1600"/>
      <c r="R458" s="1600"/>
      <c r="S458" s="1600"/>
      <c r="T458" s="1600">
        <f>SUM(T450:Z457)</f>
        <v>0</v>
      </c>
      <c r="U458" s="1600"/>
      <c r="V458" s="1600"/>
      <c r="W458" s="1600"/>
      <c r="X458" s="1600"/>
      <c r="Y458" s="1600"/>
      <c r="Z458" s="1600"/>
      <c r="AA458" s="1600">
        <f>SUM(AA450:AG457)</f>
        <v>0</v>
      </c>
      <c r="AB458" s="1600"/>
      <c r="AC458" s="1600"/>
      <c r="AD458" s="1600"/>
      <c r="AE458" s="1600"/>
      <c r="AF458" s="1600"/>
      <c r="AG458" s="1600"/>
      <c r="AH458" s="1600">
        <f>SUM(AH450:AN457)</f>
        <v>0</v>
      </c>
      <c r="AI458" s="1600"/>
      <c r="AJ458" s="1600"/>
      <c r="AK458" s="1600"/>
      <c r="AL458" s="1600"/>
      <c r="AM458" s="1600"/>
      <c r="AN458" s="1600"/>
      <c r="AO458" s="1278">
        <f>IF(AH458-'bilans-stanja'!AG50&lt;&gt;0,"GRESKA",AH458-'bilans-stanja'!AG50)</f>
        <v>0</v>
      </c>
    </row>
    <row r="459" spans="1:41">
      <c r="A459" s="1173"/>
      <c r="B459" s="1174"/>
      <c r="D459" s="1175"/>
      <c r="E459" s="1175"/>
      <c r="F459" s="1175"/>
      <c r="G459" s="1175"/>
      <c r="H459" s="1175"/>
      <c r="I459" s="1175"/>
      <c r="J459" s="1175"/>
      <c r="K459" s="1175"/>
      <c r="L459" s="1165"/>
      <c r="M459" s="1176"/>
      <c r="N459" s="1166"/>
      <c r="O459" s="1166"/>
      <c r="P459" s="1166"/>
      <c r="Q459" s="1166"/>
      <c r="R459" s="1166"/>
      <c r="S459" s="1166"/>
      <c r="T459" s="1176"/>
      <c r="U459" s="1166"/>
      <c r="V459" s="1166"/>
      <c r="W459" s="1166"/>
      <c r="X459" s="1166"/>
      <c r="Y459" s="1166"/>
      <c r="Z459" s="1166"/>
      <c r="AA459" s="1176"/>
      <c r="AB459" s="1166"/>
      <c r="AC459" s="1166"/>
      <c r="AD459" s="1166"/>
      <c r="AE459" s="1166"/>
      <c r="AF459" s="1166"/>
      <c r="AG459" s="1166"/>
      <c r="AH459" s="1176"/>
      <c r="AI459" s="1166"/>
      <c r="AJ459" s="1166"/>
      <c r="AK459" s="1166"/>
      <c r="AL459" s="1166"/>
      <c r="AM459" s="1166"/>
      <c r="AN459" s="1166"/>
    </row>
    <row r="460" spans="1:41">
      <c r="A460" s="1173"/>
      <c r="B460" s="1174"/>
      <c r="D460" s="1175"/>
      <c r="E460" s="1175"/>
      <c r="F460" s="1175"/>
      <c r="G460" s="1175"/>
      <c r="H460" s="1175"/>
      <c r="I460" s="1175"/>
      <c r="J460" s="1175"/>
      <c r="K460" s="1175"/>
      <c r="L460" s="1165"/>
      <c r="M460" s="1176"/>
      <c r="N460" s="1166"/>
      <c r="O460" s="1166"/>
      <c r="P460" s="1166"/>
      <c r="Q460" s="1166"/>
      <c r="R460" s="1166"/>
      <c r="S460" s="1166"/>
      <c r="T460" s="1176"/>
      <c r="U460" s="1166"/>
      <c r="V460" s="1166"/>
      <c r="W460" s="1166"/>
      <c r="X460" s="1166"/>
      <c r="Y460" s="1166"/>
      <c r="Z460" s="1166"/>
      <c r="AA460" s="1176"/>
      <c r="AB460" s="1166"/>
      <c r="AC460" s="1166"/>
      <c r="AD460" s="1166"/>
      <c r="AE460" s="1166"/>
      <c r="AF460" s="1166"/>
      <c r="AG460" s="1166"/>
      <c r="AH460" s="1176"/>
      <c r="AI460" s="1166"/>
      <c r="AJ460" s="1166"/>
      <c r="AK460" s="1166"/>
      <c r="AL460" s="1166"/>
      <c r="AM460" s="1166"/>
      <c r="AN460" s="1166"/>
    </row>
    <row r="461" spans="1:41">
      <c r="C461" s="1177" t="s">
        <v>1949</v>
      </c>
      <c r="D461" s="1178"/>
      <c r="E461" s="1178"/>
      <c r="F461" s="1178"/>
      <c r="G461" s="1178"/>
      <c r="H461" s="1178"/>
      <c r="I461" s="1178"/>
      <c r="J461" s="1178"/>
      <c r="K461" s="1178"/>
      <c r="L461" s="1178"/>
      <c r="M461" s="1178"/>
      <c r="N461" s="1178"/>
      <c r="O461" s="1178"/>
      <c r="P461" s="1178"/>
      <c r="Q461" s="1178"/>
      <c r="R461" s="1178"/>
      <c r="S461" s="1178"/>
      <c r="T461" s="1560">
        <f>M445-M458</f>
        <v>0</v>
      </c>
      <c r="U461" s="1598"/>
      <c r="V461" s="1598"/>
      <c r="W461" s="1598"/>
      <c r="X461" s="1598"/>
      <c r="Y461" s="1598"/>
      <c r="Z461" s="1599"/>
    </row>
    <row r="462" spans="1:41">
      <c r="C462" s="1177" t="s">
        <v>1950</v>
      </c>
      <c r="D462" s="1178"/>
      <c r="E462" s="1178"/>
      <c r="F462" s="1178"/>
      <c r="G462" s="1178"/>
      <c r="H462" s="1178"/>
      <c r="I462" s="1178"/>
      <c r="J462" s="1178"/>
      <c r="K462" s="1178"/>
      <c r="L462" s="1178"/>
      <c r="M462" s="1178"/>
      <c r="N462" s="1178"/>
      <c r="O462" s="1178"/>
      <c r="P462" s="1178"/>
      <c r="Q462" s="1178"/>
      <c r="R462" s="1178"/>
      <c r="S462" s="1178"/>
      <c r="T462" s="1560">
        <f>AH445-AH458</f>
        <v>0</v>
      </c>
      <c r="U462" s="1598"/>
      <c r="V462" s="1598"/>
      <c r="W462" s="1598"/>
      <c r="X462" s="1598"/>
      <c r="Y462" s="1598"/>
      <c r="Z462" s="1599"/>
    </row>
    <row r="464" spans="1:41">
      <c r="A464" s="1581"/>
      <c r="B464" s="1581"/>
      <c r="C464" s="1581"/>
      <c r="D464" s="1581"/>
      <c r="E464" s="1581"/>
      <c r="F464" s="1581"/>
      <c r="G464" s="1581"/>
      <c r="H464" s="1581"/>
      <c r="I464" s="1581"/>
      <c r="J464" s="1581"/>
      <c r="K464" s="1581"/>
      <c r="L464" s="1581"/>
      <c r="M464" s="1581"/>
      <c r="N464" s="1581"/>
      <c r="O464" s="1581"/>
      <c r="P464" s="1581"/>
      <c r="Q464" s="1581"/>
      <c r="R464" s="1581"/>
      <c r="S464" s="1581"/>
      <c r="T464" s="1581"/>
      <c r="U464" s="1581"/>
      <c r="V464" s="1581"/>
      <c r="W464" s="1581"/>
      <c r="X464" s="1581"/>
      <c r="Y464" s="1581"/>
      <c r="Z464" s="1581"/>
      <c r="AA464" s="1581"/>
      <c r="AB464" s="1581"/>
      <c r="AC464" s="1581"/>
      <c r="AD464" s="1581"/>
      <c r="AE464" s="1581"/>
      <c r="AF464" s="1581"/>
      <c r="AG464" s="1581"/>
      <c r="AH464" s="1581"/>
      <c r="AI464" s="1581"/>
      <c r="AJ464" s="1581"/>
      <c r="AK464" s="1581"/>
      <c r="AL464" s="1581"/>
      <c r="AM464" s="1581"/>
      <c r="AN464" s="1581"/>
    </row>
    <row r="465" spans="1:41">
      <c r="A465" s="1581"/>
      <c r="B465" s="1581"/>
      <c r="C465" s="1581"/>
      <c r="D465" s="1581"/>
      <c r="E465" s="1581"/>
      <c r="F465" s="1581"/>
      <c r="G465" s="1581"/>
      <c r="H465" s="1581"/>
      <c r="I465" s="1581"/>
      <c r="J465" s="1581"/>
      <c r="K465" s="1581"/>
      <c r="L465" s="1581"/>
      <c r="M465" s="1581"/>
      <c r="N465" s="1581"/>
      <c r="O465" s="1581"/>
      <c r="P465" s="1581"/>
      <c r="Q465" s="1581"/>
      <c r="R465" s="1581"/>
      <c r="S465" s="1581"/>
      <c r="T465" s="1581"/>
      <c r="U465" s="1581"/>
      <c r="V465" s="1581"/>
      <c r="W465" s="1581"/>
      <c r="X465" s="1581"/>
      <c r="Y465" s="1581"/>
      <c r="Z465" s="1581"/>
      <c r="AA465" s="1581"/>
      <c r="AB465" s="1581"/>
      <c r="AC465" s="1581"/>
      <c r="AD465" s="1581"/>
      <c r="AE465" s="1581"/>
      <c r="AF465" s="1581"/>
      <c r="AG465" s="1581"/>
      <c r="AH465" s="1581"/>
      <c r="AI465" s="1581"/>
      <c r="AJ465" s="1581"/>
      <c r="AK465" s="1581"/>
      <c r="AL465" s="1581"/>
      <c r="AM465" s="1581"/>
      <c r="AN465" s="1581"/>
    </row>
    <row r="466" spans="1:41">
      <c r="A466" s="1581"/>
      <c r="B466" s="1581"/>
      <c r="C466" s="1581"/>
      <c r="D466" s="1581"/>
      <c r="E466" s="1581"/>
      <c r="F466" s="1581"/>
      <c r="G466" s="1581"/>
      <c r="H466" s="1581"/>
      <c r="I466" s="1581"/>
      <c r="J466" s="1581"/>
      <c r="K466" s="1581"/>
      <c r="L466" s="1581"/>
      <c r="M466" s="1581"/>
      <c r="N466" s="1581"/>
      <c r="O466" s="1581"/>
      <c r="P466" s="1581"/>
      <c r="Q466" s="1581"/>
      <c r="R466" s="1581"/>
      <c r="S466" s="1581"/>
      <c r="T466" s="1581"/>
      <c r="U466" s="1581"/>
      <c r="V466" s="1581"/>
      <c r="W466" s="1581"/>
      <c r="X466" s="1581"/>
      <c r="Y466" s="1581"/>
      <c r="Z466" s="1581"/>
      <c r="AA466" s="1581"/>
      <c r="AB466" s="1581"/>
      <c r="AC466" s="1581"/>
      <c r="AD466" s="1581"/>
      <c r="AE466" s="1581"/>
      <c r="AF466" s="1581"/>
      <c r="AG466" s="1581"/>
      <c r="AH466" s="1581"/>
      <c r="AI466" s="1581"/>
      <c r="AJ466" s="1581"/>
      <c r="AK466" s="1581"/>
      <c r="AL466" s="1581"/>
      <c r="AM466" s="1581"/>
      <c r="AN466" s="1581"/>
    </row>
    <row r="467" spans="1:41">
      <c r="A467" s="1581"/>
      <c r="B467" s="1581"/>
      <c r="C467" s="1581"/>
      <c r="D467" s="1581"/>
      <c r="E467" s="1581"/>
      <c r="F467" s="1581"/>
      <c r="G467" s="1581"/>
      <c r="H467" s="1581"/>
      <c r="I467" s="1581"/>
      <c r="J467" s="1581"/>
      <c r="K467" s="1581"/>
      <c r="L467" s="1581"/>
      <c r="M467" s="1581"/>
      <c r="N467" s="1581"/>
      <c r="O467" s="1581"/>
      <c r="P467" s="1581"/>
      <c r="Q467" s="1581"/>
      <c r="R467" s="1581"/>
      <c r="S467" s="1581"/>
      <c r="T467" s="1581"/>
      <c r="U467" s="1581"/>
      <c r="V467" s="1581"/>
      <c r="W467" s="1581"/>
      <c r="X467" s="1581"/>
      <c r="Y467" s="1581"/>
      <c r="Z467" s="1581"/>
      <c r="AA467" s="1581"/>
      <c r="AB467" s="1581"/>
      <c r="AC467" s="1581"/>
      <c r="AD467" s="1581"/>
      <c r="AE467" s="1581"/>
      <c r="AF467" s="1581"/>
      <c r="AG467" s="1581"/>
      <c r="AH467" s="1581"/>
      <c r="AI467" s="1581"/>
      <c r="AJ467" s="1581"/>
      <c r="AK467" s="1581"/>
      <c r="AL467" s="1581"/>
      <c r="AM467" s="1581"/>
      <c r="AN467" s="1581"/>
    </row>
    <row r="468" spans="1:41">
      <c r="A468" s="828" t="s">
        <v>1933</v>
      </c>
      <c r="B468" s="828" t="s">
        <v>201</v>
      </c>
    </row>
    <row r="470" spans="1:41">
      <c r="C470" s="828" t="s">
        <v>2163</v>
      </c>
      <c r="M470" s="1596" t="s">
        <v>1952</v>
      </c>
      <c r="N470" s="1596"/>
      <c r="O470" s="1596"/>
      <c r="P470" s="1596"/>
      <c r="Q470" s="1596"/>
      <c r="R470" s="1596"/>
      <c r="S470" s="1596"/>
      <c r="T470" s="1596"/>
      <c r="U470" s="1596"/>
      <c r="V470" s="1596"/>
      <c r="W470" s="1596"/>
      <c r="X470" s="1596"/>
      <c r="Y470" s="1596"/>
      <c r="Z470" s="1596"/>
      <c r="AA470" s="1596"/>
      <c r="AB470" s="1596"/>
      <c r="AC470" s="1596"/>
      <c r="AD470" s="1596"/>
      <c r="AE470" s="1596"/>
      <c r="AF470" s="1596"/>
      <c r="AG470" s="1596"/>
      <c r="AH470" s="1596"/>
      <c r="AI470" s="1596"/>
      <c r="AJ470" s="1596"/>
      <c r="AK470" s="1596"/>
      <c r="AL470" s="1596"/>
      <c r="AM470" s="1596"/>
      <c r="AN470" s="1596"/>
    </row>
    <row r="471" spans="1:41">
      <c r="A471" s="1567" t="s">
        <v>1948</v>
      </c>
      <c r="B471" s="1567"/>
      <c r="C471" s="1597" t="s">
        <v>1947</v>
      </c>
      <c r="D471" s="1597"/>
      <c r="E471" s="1597"/>
      <c r="F471" s="1597"/>
      <c r="G471" s="1597"/>
      <c r="H471" s="1597"/>
      <c r="I471" s="1597"/>
      <c r="J471" s="1597"/>
      <c r="K471" s="1597"/>
      <c r="L471" s="1597"/>
      <c r="M471" s="1567" t="s">
        <v>1943</v>
      </c>
      <c r="N471" s="1567"/>
      <c r="O471" s="1567"/>
      <c r="P471" s="1567"/>
      <c r="Q471" s="1567"/>
      <c r="R471" s="1567"/>
      <c r="S471" s="1567"/>
      <c r="T471" s="1567" t="s">
        <v>202</v>
      </c>
      <c r="U471" s="1567"/>
      <c r="V471" s="1567"/>
      <c r="W471" s="1567"/>
      <c r="X471" s="1567"/>
      <c r="Y471" s="1567"/>
      <c r="Z471" s="1567"/>
      <c r="AA471" s="1601" t="s">
        <v>203</v>
      </c>
      <c r="AB471" s="1602"/>
      <c r="AC471" s="1602"/>
      <c r="AD471" s="1602"/>
      <c r="AE471" s="1602"/>
      <c r="AF471" s="1602"/>
      <c r="AG471" s="1603"/>
      <c r="AH471" s="1597" t="s">
        <v>1946</v>
      </c>
      <c r="AI471" s="1597"/>
      <c r="AJ471" s="1597"/>
      <c r="AK471" s="1597"/>
      <c r="AL471" s="1597"/>
      <c r="AM471" s="1597"/>
      <c r="AN471" s="1597"/>
    </row>
    <row r="472" spans="1:41">
      <c r="A472" s="1590" t="str">
        <f>unos!A209</f>
        <v>070</v>
      </c>
      <c r="B472" s="1591"/>
      <c r="C472" s="1592" t="str">
        <f>unos!B209</f>
        <v>Potraživanja od povezanih pravnih lica</v>
      </c>
      <c r="D472" s="1593"/>
      <c r="E472" s="1593"/>
      <c r="F472" s="1593"/>
      <c r="G472" s="1593"/>
      <c r="H472" s="1593"/>
      <c r="I472" s="1593"/>
      <c r="J472" s="1593"/>
      <c r="K472" s="1593"/>
      <c r="L472" s="1593"/>
      <c r="M472" s="1589">
        <f>unos!C209</f>
        <v>0</v>
      </c>
      <c r="N472" s="1589"/>
      <c r="O472" s="1589"/>
      <c r="P472" s="1589"/>
      <c r="Q472" s="1589"/>
      <c r="R472" s="1589"/>
      <c r="S472" s="1589"/>
      <c r="T472" s="1589"/>
      <c r="U472" s="1589"/>
      <c r="V472" s="1589"/>
      <c r="W472" s="1589"/>
      <c r="X472" s="1589"/>
      <c r="Y472" s="1589"/>
      <c r="Z472" s="1589"/>
      <c r="AA472" s="1589"/>
      <c r="AB472" s="1589"/>
      <c r="AC472" s="1589"/>
      <c r="AD472" s="1589"/>
      <c r="AE472" s="1589"/>
      <c r="AF472" s="1589"/>
      <c r="AG472" s="1589"/>
      <c r="AH472" s="1589">
        <f>M472+T472-AA472</f>
        <v>0</v>
      </c>
      <c r="AI472" s="1589"/>
      <c r="AJ472" s="1589"/>
      <c r="AK472" s="1589"/>
      <c r="AL472" s="1589"/>
      <c r="AM472" s="1589"/>
      <c r="AN472" s="1589"/>
    </row>
    <row r="473" spans="1:41">
      <c r="A473" s="1590" t="str">
        <f>unos!A210</f>
        <v>071</v>
      </c>
      <c r="B473" s="1591"/>
      <c r="C473" s="1592" t="str">
        <f>unos!B210</f>
        <v>Potraživanja po osnovu prodaje na kredit</v>
      </c>
      <c r="D473" s="1593"/>
      <c r="E473" s="1593"/>
      <c r="F473" s="1593"/>
      <c r="G473" s="1593"/>
      <c r="H473" s="1593"/>
      <c r="I473" s="1593"/>
      <c r="J473" s="1593"/>
      <c r="K473" s="1593"/>
      <c r="L473" s="1593"/>
      <c r="M473" s="1589">
        <f>unos!C210</f>
        <v>0</v>
      </c>
      <c r="N473" s="1589"/>
      <c r="O473" s="1589"/>
      <c r="P473" s="1589"/>
      <c r="Q473" s="1589"/>
      <c r="R473" s="1589"/>
      <c r="S473" s="1589"/>
      <c r="T473" s="1589"/>
      <c r="U473" s="1589"/>
      <c r="V473" s="1589"/>
      <c r="W473" s="1589"/>
      <c r="X473" s="1589"/>
      <c r="Y473" s="1589"/>
      <c r="Z473" s="1589"/>
      <c r="AA473" s="1589"/>
      <c r="AB473" s="1589"/>
      <c r="AC473" s="1589"/>
      <c r="AD473" s="1589"/>
      <c r="AE473" s="1589"/>
      <c r="AF473" s="1589"/>
      <c r="AG473" s="1589"/>
      <c r="AH473" s="1589">
        <f>M473+T473-AA473</f>
        <v>0</v>
      </c>
      <c r="AI473" s="1589"/>
      <c r="AJ473" s="1589"/>
      <c r="AK473" s="1589"/>
      <c r="AL473" s="1589"/>
      <c r="AM473" s="1589"/>
      <c r="AN473" s="1589"/>
    </row>
    <row r="474" spans="1:41">
      <c r="A474" s="1590" t="str">
        <f>unos!A211</f>
        <v>072</v>
      </c>
      <c r="B474" s="1591"/>
      <c r="C474" s="1592" t="str">
        <f>unos!B211</f>
        <v>Potraž.po osnovu ugov. o finans.najmu-lizingu</v>
      </c>
      <c r="D474" s="1593"/>
      <c r="E474" s="1593"/>
      <c r="F474" s="1593"/>
      <c r="G474" s="1593"/>
      <c r="H474" s="1593"/>
      <c r="I474" s="1593"/>
      <c r="J474" s="1593"/>
      <c r="K474" s="1593"/>
      <c r="L474" s="1593"/>
      <c r="M474" s="1589">
        <f>unos!C211</f>
        <v>0</v>
      </c>
      <c r="N474" s="1589"/>
      <c r="O474" s="1589"/>
      <c r="P474" s="1589"/>
      <c r="Q474" s="1589"/>
      <c r="R474" s="1589"/>
      <c r="S474" s="1589"/>
      <c r="T474" s="1589"/>
      <c r="U474" s="1589"/>
      <c r="V474" s="1589"/>
      <c r="W474" s="1589"/>
      <c r="X474" s="1589"/>
      <c r="Y474" s="1589"/>
      <c r="Z474" s="1589"/>
      <c r="AA474" s="1589"/>
      <c r="AB474" s="1589"/>
      <c r="AC474" s="1589"/>
      <c r="AD474" s="1589"/>
      <c r="AE474" s="1589"/>
      <c r="AF474" s="1589"/>
      <c r="AG474" s="1589"/>
      <c r="AH474" s="1589">
        <f>M474+T474-AA474</f>
        <v>0</v>
      </c>
      <c r="AI474" s="1589"/>
      <c r="AJ474" s="1589"/>
      <c r="AK474" s="1589"/>
      <c r="AL474" s="1589"/>
      <c r="AM474" s="1589"/>
      <c r="AN474" s="1589"/>
    </row>
    <row r="475" spans="1:41">
      <c r="A475" s="1590" t="str">
        <f>unos!A212</f>
        <v>078</v>
      </c>
      <c r="B475" s="1591"/>
      <c r="C475" s="1592" t="str">
        <f>unos!B212</f>
        <v>Ostala dugoročna potraživanja</v>
      </c>
      <c r="D475" s="1593"/>
      <c r="E475" s="1593"/>
      <c r="F475" s="1593"/>
      <c r="G475" s="1593"/>
      <c r="H475" s="1593"/>
      <c r="I475" s="1593"/>
      <c r="J475" s="1593"/>
      <c r="K475" s="1593"/>
      <c r="L475" s="1593"/>
      <c r="M475" s="1589">
        <f>unos!C212</f>
        <v>0</v>
      </c>
      <c r="N475" s="1589"/>
      <c r="O475" s="1589"/>
      <c r="P475" s="1589"/>
      <c r="Q475" s="1589"/>
      <c r="R475" s="1589"/>
      <c r="S475" s="1589"/>
      <c r="T475" s="1589"/>
      <c r="U475" s="1589"/>
      <c r="V475" s="1589"/>
      <c r="W475" s="1589"/>
      <c r="X475" s="1589"/>
      <c r="Y475" s="1589"/>
      <c r="Z475" s="1589"/>
      <c r="AA475" s="1589"/>
      <c r="AB475" s="1589"/>
      <c r="AC475" s="1589"/>
      <c r="AD475" s="1589"/>
      <c r="AE475" s="1589"/>
      <c r="AF475" s="1589"/>
      <c r="AG475" s="1589"/>
      <c r="AH475" s="1589">
        <f>M475+T475-AA475</f>
        <v>0</v>
      </c>
      <c r="AI475" s="1589"/>
      <c r="AJ475" s="1589"/>
      <c r="AK475" s="1589"/>
      <c r="AL475" s="1589"/>
      <c r="AM475" s="1589"/>
      <c r="AN475" s="1589"/>
    </row>
    <row r="476" spans="1:41">
      <c r="A476" s="1173"/>
      <c r="B476" s="1174"/>
      <c r="D476" s="1175"/>
      <c r="E476" s="1175"/>
      <c r="F476" s="1175"/>
      <c r="G476" s="1175"/>
      <c r="H476" s="1175"/>
      <c r="I476" s="1175"/>
      <c r="J476" s="1175"/>
      <c r="K476" s="1175"/>
      <c r="L476" s="1165" t="s">
        <v>222</v>
      </c>
      <c r="M476" s="1588">
        <f>SUM(M472:S475)</f>
        <v>0</v>
      </c>
      <c r="N476" s="1588"/>
      <c r="O476" s="1588"/>
      <c r="P476" s="1588"/>
      <c r="Q476" s="1588"/>
      <c r="R476" s="1588"/>
      <c r="S476" s="1588"/>
      <c r="T476" s="1588">
        <f>SUM(T472:Z475)</f>
        <v>0</v>
      </c>
      <c r="U476" s="1588"/>
      <c r="V476" s="1588"/>
      <c r="W476" s="1588"/>
      <c r="X476" s="1588"/>
      <c r="Y476" s="1588"/>
      <c r="Z476" s="1588"/>
      <c r="AA476" s="1588">
        <f>SUM(AA472:AG475)</f>
        <v>0</v>
      </c>
      <c r="AB476" s="1588"/>
      <c r="AC476" s="1588"/>
      <c r="AD476" s="1588"/>
      <c r="AE476" s="1588"/>
      <c r="AF476" s="1588"/>
      <c r="AG476" s="1588"/>
      <c r="AH476" s="1588">
        <f>SUM(AH472:AN475)</f>
        <v>0</v>
      </c>
      <c r="AI476" s="1588"/>
      <c r="AJ476" s="1588"/>
      <c r="AK476" s="1588"/>
      <c r="AL476" s="1588"/>
      <c r="AM476" s="1588"/>
      <c r="AN476" s="1588"/>
      <c r="AO476" s="1278">
        <f>IF(AH476-'bilans-stanja'!Z59&lt;&gt;0,"GRESKA",AH476-'bilans-stanja'!Z59)</f>
        <v>0</v>
      </c>
    </row>
    <row r="479" spans="1:41">
      <c r="B479" s="828" t="s">
        <v>2015</v>
      </c>
      <c r="M479" s="1596" t="s">
        <v>1952</v>
      </c>
      <c r="N479" s="1596"/>
      <c r="O479" s="1596"/>
      <c r="P479" s="1596"/>
      <c r="Q479" s="1596"/>
      <c r="R479" s="1596"/>
      <c r="S479" s="1596"/>
      <c r="T479" s="1596"/>
      <c r="U479" s="1596"/>
      <c r="V479" s="1596"/>
      <c r="W479" s="1596"/>
      <c r="X479" s="1596"/>
      <c r="Y479" s="1596"/>
      <c r="Z479" s="1596"/>
      <c r="AA479" s="1596"/>
      <c r="AB479" s="1596"/>
      <c r="AC479" s="1596"/>
      <c r="AD479" s="1596"/>
      <c r="AE479" s="1596"/>
      <c r="AF479" s="1596"/>
      <c r="AG479" s="1596"/>
      <c r="AH479" s="1596"/>
      <c r="AI479" s="1596"/>
      <c r="AJ479" s="1596"/>
      <c r="AK479" s="1596"/>
      <c r="AL479" s="1596"/>
      <c r="AM479" s="1596"/>
      <c r="AN479" s="1596"/>
    </row>
    <row r="480" spans="1:41">
      <c r="A480" s="1567" t="s">
        <v>1948</v>
      </c>
      <c r="B480" s="1567"/>
      <c r="C480" s="1597" t="s">
        <v>1947</v>
      </c>
      <c r="D480" s="1597"/>
      <c r="E480" s="1597"/>
      <c r="F480" s="1597"/>
      <c r="G480" s="1597"/>
      <c r="H480" s="1597"/>
      <c r="I480" s="1597"/>
      <c r="J480" s="1597"/>
      <c r="K480" s="1597"/>
      <c r="L480" s="1597"/>
      <c r="M480" s="1567" t="s">
        <v>1943</v>
      </c>
      <c r="N480" s="1567"/>
      <c r="O480" s="1567"/>
      <c r="P480" s="1567"/>
      <c r="Q480" s="1567"/>
      <c r="R480" s="1567"/>
      <c r="S480" s="1567"/>
      <c r="T480" s="1601" t="s">
        <v>203</v>
      </c>
      <c r="U480" s="1602"/>
      <c r="V480" s="1602"/>
      <c r="W480" s="1602"/>
      <c r="X480" s="1602"/>
      <c r="Y480" s="1602"/>
      <c r="Z480" s="1603"/>
      <c r="AA480" s="1601" t="s">
        <v>1889</v>
      </c>
      <c r="AB480" s="1602"/>
      <c r="AC480" s="1602"/>
      <c r="AD480" s="1602"/>
      <c r="AE480" s="1602"/>
      <c r="AF480" s="1602"/>
      <c r="AG480" s="1603"/>
      <c r="AH480" s="1597" t="s">
        <v>1946</v>
      </c>
      <c r="AI480" s="1597"/>
      <c r="AJ480" s="1597"/>
      <c r="AK480" s="1597"/>
      <c r="AL480" s="1597"/>
      <c r="AM480" s="1597"/>
      <c r="AN480" s="1597"/>
    </row>
    <row r="481" spans="1:41">
      <c r="A481" s="1590" t="str">
        <f>unos!A209</f>
        <v>070</v>
      </c>
      <c r="B481" s="1591"/>
      <c r="C481" s="1592" t="str">
        <f>unos!B209</f>
        <v>Potraživanja od povezanih pravnih lica</v>
      </c>
      <c r="D481" s="1593"/>
      <c r="E481" s="1593"/>
      <c r="F481" s="1593"/>
      <c r="G481" s="1593"/>
      <c r="H481" s="1593"/>
      <c r="I481" s="1593"/>
      <c r="J481" s="1593"/>
      <c r="K481" s="1593"/>
      <c r="L481" s="1593"/>
      <c r="M481" s="1589">
        <f>unos!D209</f>
        <v>0</v>
      </c>
      <c r="N481" s="1589"/>
      <c r="O481" s="1589"/>
      <c r="P481" s="1589"/>
      <c r="Q481" s="1589"/>
      <c r="R481" s="1589"/>
      <c r="S481" s="1589"/>
      <c r="T481" s="1589"/>
      <c r="U481" s="1589"/>
      <c r="V481" s="1589"/>
      <c r="W481" s="1589"/>
      <c r="X481" s="1589"/>
      <c r="Y481" s="1589"/>
      <c r="Z481" s="1589"/>
      <c r="AA481" s="1589"/>
      <c r="AB481" s="1589"/>
      <c r="AC481" s="1589"/>
      <c r="AD481" s="1589"/>
      <c r="AE481" s="1589"/>
      <c r="AF481" s="1589"/>
      <c r="AG481" s="1589"/>
      <c r="AH481" s="1589">
        <f>M481+AA481-T481</f>
        <v>0</v>
      </c>
      <c r="AI481" s="1589"/>
      <c r="AJ481" s="1589"/>
      <c r="AK481" s="1589"/>
      <c r="AL481" s="1589"/>
      <c r="AM481" s="1589"/>
      <c r="AN481" s="1589"/>
    </row>
    <row r="482" spans="1:41">
      <c r="A482" s="1590" t="str">
        <f>unos!A210</f>
        <v>071</v>
      </c>
      <c r="B482" s="1591"/>
      <c r="C482" s="1592" t="str">
        <f>unos!B210</f>
        <v>Potraživanja po osnovu prodaje na kredit</v>
      </c>
      <c r="D482" s="1593"/>
      <c r="E482" s="1593"/>
      <c r="F482" s="1593"/>
      <c r="G482" s="1593"/>
      <c r="H482" s="1593"/>
      <c r="I482" s="1593"/>
      <c r="J482" s="1593"/>
      <c r="K482" s="1593"/>
      <c r="L482" s="1593"/>
      <c r="M482" s="1589">
        <f>unos!D210</f>
        <v>0</v>
      </c>
      <c r="N482" s="1589"/>
      <c r="O482" s="1589"/>
      <c r="P482" s="1589"/>
      <c r="Q482" s="1589"/>
      <c r="R482" s="1589"/>
      <c r="S482" s="1589"/>
      <c r="T482" s="1589"/>
      <c r="U482" s="1589"/>
      <c r="V482" s="1589"/>
      <c r="W482" s="1589"/>
      <c r="X482" s="1589"/>
      <c r="Y482" s="1589"/>
      <c r="Z482" s="1589"/>
      <c r="AA482" s="1589"/>
      <c r="AB482" s="1589"/>
      <c r="AC482" s="1589"/>
      <c r="AD482" s="1589"/>
      <c r="AE482" s="1589"/>
      <c r="AF482" s="1589"/>
      <c r="AG482" s="1589"/>
      <c r="AH482" s="1589">
        <f>M482+AA482-T482</f>
        <v>0</v>
      </c>
      <c r="AI482" s="1589"/>
      <c r="AJ482" s="1589"/>
      <c r="AK482" s="1589"/>
      <c r="AL482" s="1589"/>
      <c r="AM482" s="1589"/>
      <c r="AN482" s="1589"/>
    </row>
    <row r="483" spans="1:41">
      <c r="A483" s="1590" t="str">
        <f>unos!A211</f>
        <v>072</v>
      </c>
      <c r="B483" s="1591"/>
      <c r="C483" s="1592" t="str">
        <f>unos!B211</f>
        <v>Potraž.po osnovu ugov. o finans.najmu-lizingu</v>
      </c>
      <c r="D483" s="1593"/>
      <c r="E483" s="1593"/>
      <c r="F483" s="1593"/>
      <c r="G483" s="1593"/>
      <c r="H483" s="1593"/>
      <c r="I483" s="1593"/>
      <c r="J483" s="1593"/>
      <c r="K483" s="1593"/>
      <c r="L483" s="1593"/>
      <c r="M483" s="1589">
        <f>unos!D211</f>
        <v>0</v>
      </c>
      <c r="N483" s="1589"/>
      <c r="O483" s="1589"/>
      <c r="P483" s="1589"/>
      <c r="Q483" s="1589"/>
      <c r="R483" s="1589"/>
      <c r="S483" s="1589"/>
      <c r="T483" s="1589"/>
      <c r="U483" s="1589"/>
      <c r="V483" s="1589"/>
      <c r="W483" s="1589"/>
      <c r="X483" s="1589"/>
      <c r="Y483" s="1589"/>
      <c r="Z483" s="1589"/>
      <c r="AA483" s="1589"/>
      <c r="AB483" s="1589"/>
      <c r="AC483" s="1589"/>
      <c r="AD483" s="1589"/>
      <c r="AE483" s="1589"/>
      <c r="AF483" s="1589"/>
      <c r="AG483" s="1589"/>
      <c r="AH483" s="1589">
        <f>M483+AA483-T483</f>
        <v>0</v>
      </c>
      <c r="AI483" s="1589"/>
      <c r="AJ483" s="1589"/>
      <c r="AK483" s="1589"/>
      <c r="AL483" s="1589"/>
      <c r="AM483" s="1589"/>
      <c r="AN483" s="1589"/>
    </row>
    <row r="484" spans="1:41">
      <c r="A484" s="1590" t="str">
        <f>unos!A212</f>
        <v>078</v>
      </c>
      <c r="B484" s="1591"/>
      <c r="C484" s="1592" t="str">
        <f>unos!B212</f>
        <v>Ostala dugoročna potraživanja</v>
      </c>
      <c r="D484" s="1593"/>
      <c r="E484" s="1593"/>
      <c r="F484" s="1593"/>
      <c r="G484" s="1593"/>
      <c r="H484" s="1593"/>
      <c r="I484" s="1593"/>
      <c r="J484" s="1593"/>
      <c r="K484" s="1593"/>
      <c r="L484" s="1593"/>
      <c r="M484" s="1589">
        <f>unos!D212</f>
        <v>0</v>
      </c>
      <c r="N484" s="1589"/>
      <c r="O484" s="1589"/>
      <c r="P484" s="1589"/>
      <c r="Q484" s="1589"/>
      <c r="R484" s="1589"/>
      <c r="S484" s="1589"/>
      <c r="T484" s="1589"/>
      <c r="U484" s="1589"/>
      <c r="V484" s="1589"/>
      <c r="W484" s="1589"/>
      <c r="X484" s="1589"/>
      <c r="Y484" s="1589"/>
      <c r="Z484" s="1589"/>
      <c r="AA484" s="1589"/>
      <c r="AB484" s="1589"/>
      <c r="AC484" s="1589"/>
      <c r="AD484" s="1589"/>
      <c r="AE484" s="1589"/>
      <c r="AF484" s="1589"/>
      <c r="AG484" s="1589"/>
      <c r="AH484" s="1589">
        <f>M484+AA484-T484</f>
        <v>0</v>
      </c>
      <c r="AI484" s="1589"/>
      <c r="AJ484" s="1589"/>
      <c r="AK484" s="1589"/>
      <c r="AL484" s="1589"/>
      <c r="AM484" s="1589"/>
      <c r="AN484" s="1589"/>
    </row>
    <row r="485" spans="1:41">
      <c r="A485" s="1173"/>
      <c r="B485" s="1174"/>
      <c r="D485" s="1175"/>
      <c r="E485" s="1175"/>
      <c r="F485" s="1175"/>
      <c r="G485" s="1175"/>
      <c r="H485" s="1175"/>
      <c r="I485" s="1175"/>
      <c r="J485" s="1175"/>
      <c r="K485" s="1175"/>
      <c r="L485" s="1165" t="s">
        <v>222</v>
      </c>
      <c r="M485" s="1600">
        <f>SUM(M481:S484)</f>
        <v>0</v>
      </c>
      <c r="N485" s="1600"/>
      <c r="O485" s="1600"/>
      <c r="P485" s="1600"/>
      <c r="Q485" s="1600"/>
      <c r="R485" s="1600"/>
      <c r="S485" s="1600"/>
      <c r="T485" s="1600">
        <f>SUM(T481:Z484)</f>
        <v>0</v>
      </c>
      <c r="U485" s="1600"/>
      <c r="V485" s="1600"/>
      <c r="W485" s="1600"/>
      <c r="X485" s="1600"/>
      <c r="Y485" s="1600"/>
      <c r="Z485" s="1600"/>
      <c r="AA485" s="1600">
        <f>SUM(AA481:AG484)</f>
        <v>0</v>
      </c>
      <c r="AB485" s="1600"/>
      <c r="AC485" s="1600"/>
      <c r="AD485" s="1600"/>
      <c r="AE485" s="1600"/>
      <c r="AF485" s="1600"/>
      <c r="AG485" s="1600"/>
      <c r="AH485" s="1600">
        <f>SUM(AH481:AN484)</f>
        <v>0</v>
      </c>
      <c r="AI485" s="1600"/>
      <c r="AJ485" s="1600"/>
      <c r="AK485" s="1600"/>
      <c r="AL485" s="1600"/>
      <c r="AM485" s="1600"/>
      <c r="AN485" s="1600"/>
      <c r="AO485" s="1278">
        <f>IF(AH485-'bilans-stanja'!AG59&lt;&gt;0,"GRESKA",AH485-'bilans-stanja'!AG59)</f>
        <v>0</v>
      </c>
    </row>
    <row r="486" spans="1:41">
      <c r="A486" s="1173"/>
      <c r="B486" s="1174"/>
      <c r="D486" s="1175"/>
      <c r="E486" s="1175"/>
      <c r="F486" s="1175"/>
      <c r="G486" s="1175"/>
      <c r="H486" s="1175"/>
      <c r="I486" s="1175"/>
      <c r="J486" s="1175"/>
      <c r="K486" s="1175"/>
      <c r="L486" s="1165"/>
      <c r="M486" s="1176"/>
      <c r="N486" s="1166"/>
      <c r="O486" s="1166"/>
      <c r="P486" s="1166"/>
      <c r="Q486" s="1166"/>
      <c r="R486" s="1166"/>
      <c r="S486" s="1166"/>
      <c r="T486" s="1176"/>
      <c r="U486" s="1166"/>
      <c r="V486" s="1166"/>
      <c r="W486" s="1166"/>
      <c r="X486" s="1166"/>
      <c r="Y486" s="1166"/>
      <c r="Z486" s="1166"/>
      <c r="AA486" s="1176"/>
      <c r="AB486" s="1166"/>
      <c r="AC486" s="1166"/>
      <c r="AD486" s="1166"/>
      <c r="AE486" s="1166"/>
      <c r="AF486" s="1166"/>
      <c r="AG486" s="1166"/>
      <c r="AH486" s="1176"/>
      <c r="AI486" s="1166"/>
      <c r="AJ486" s="1166"/>
      <c r="AK486" s="1166"/>
      <c r="AL486" s="1166"/>
      <c r="AM486" s="1166"/>
      <c r="AN486" s="1166"/>
    </row>
    <row r="487" spans="1:41">
      <c r="A487" s="1173"/>
      <c r="B487" s="1174"/>
      <c r="D487" s="1175"/>
      <c r="E487" s="1175"/>
      <c r="F487" s="1175"/>
      <c r="G487" s="1175"/>
      <c r="H487" s="1175"/>
      <c r="I487" s="1175"/>
      <c r="J487" s="1175"/>
      <c r="K487" s="1175"/>
      <c r="L487" s="1165"/>
      <c r="M487" s="1176"/>
      <c r="N487" s="1166"/>
      <c r="O487" s="1166"/>
      <c r="P487" s="1166"/>
      <c r="Q487" s="1166"/>
      <c r="R487" s="1166"/>
      <c r="S487" s="1166"/>
      <c r="T487" s="1176"/>
      <c r="U487" s="1166"/>
      <c r="V487" s="1166"/>
      <c r="W487" s="1166"/>
      <c r="X487" s="1166"/>
      <c r="Y487" s="1166"/>
      <c r="Z487" s="1166"/>
      <c r="AA487" s="1176"/>
      <c r="AB487" s="1166"/>
      <c r="AC487" s="1166"/>
      <c r="AD487" s="1166"/>
      <c r="AE487" s="1166"/>
      <c r="AF487" s="1166"/>
      <c r="AG487" s="1166"/>
      <c r="AH487" s="1176"/>
      <c r="AI487" s="1166"/>
      <c r="AJ487" s="1166"/>
      <c r="AK487" s="1166"/>
      <c r="AL487" s="1166"/>
      <c r="AM487" s="1166"/>
      <c r="AN487" s="1166"/>
    </row>
    <row r="488" spans="1:41">
      <c r="C488" s="1177" t="s">
        <v>1949</v>
      </c>
      <c r="D488" s="1178"/>
      <c r="E488" s="1178"/>
      <c r="F488" s="1178"/>
      <c r="G488" s="1178"/>
      <c r="H488" s="1178"/>
      <c r="I488" s="1178"/>
      <c r="J488" s="1178"/>
      <c r="K488" s="1178"/>
      <c r="L488" s="1178"/>
      <c r="M488" s="1178"/>
      <c r="N488" s="1178"/>
      <c r="O488" s="1178"/>
      <c r="P488" s="1178"/>
      <c r="Q488" s="1178"/>
      <c r="R488" s="1178"/>
      <c r="S488" s="1178"/>
      <c r="T488" s="1560">
        <f>M476-M485</f>
        <v>0</v>
      </c>
      <c r="U488" s="1598"/>
      <c r="V488" s="1598"/>
      <c r="W488" s="1598"/>
      <c r="X488" s="1598"/>
      <c r="Y488" s="1598"/>
      <c r="Z488" s="1599"/>
    </row>
    <row r="489" spans="1:41">
      <c r="C489" s="1177" t="s">
        <v>1950</v>
      </c>
      <c r="D489" s="1178"/>
      <c r="E489" s="1178"/>
      <c r="F489" s="1178"/>
      <c r="G489" s="1178"/>
      <c r="H489" s="1178"/>
      <c r="I489" s="1178"/>
      <c r="J489" s="1178"/>
      <c r="K489" s="1178"/>
      <c r="L489" s="1178"/>
      <c r="M489" s="1178"/>
      <c r="N489" s="1178"/>
      <c r="O489" s="1178"/>
      <c r="P489" s="1178"/>
      <c r="Q489" s="1178"/>
      <c r="R489" s="1178"/>
      <c r="S489" s="1178"/>
      <c r="T489" s="1560">
        <f>AH476-AH485</f>
        <v>0</v>
      </c>
      <c r="U489" s="1598"/>
      <c r="V489" s="1598"/>
      <c r="W489" s="1598"/>
      <c r="X489" s="1598"/>
      <c r="Y489" s="1598"/>
      <c r="Z489" s="1599"/>
    </row>
    <row r="491" spans="1:41">
      <c r="A491" s="1581"/>
      <c r="B491" s="1581"/>
      <c r="C491" s="1581"/>
      <c r="D491" s="1581"/>
      <c r="E491" s="1581"/>
      <c r="F491" s="1581"/>
      <c r="G491" s="1581"/>
      <c r="H491" s="1581"/>
      <c r="I491" s="1581"/>
      <c r="J491" s="1581"/>
      <c r="K491" s="1581"/>
      <c r="L491" s="1581"/>
      <c r="M491" s="1581"/>
      <c r="N491" s="1581"/>
      <c r="O491" s="1581"/>
      <c r="P491" s="1581"/>
      <c r="Q491" s="1581"/>
      <c r="R491" s="1581"/>
      <c r="S491" s="1581"/>
      <c r="T491" s="1581"/>
      <c r="U491" s="1581"/>
      <c r="V491" s="1581"/>
      <c r="W491" s="1581"/>
      <c r="X491" s="1581"/>
      <c r="Y491" s="1581"/>
      <c r="Z491" s="1581"/>
      <c r="AA491" s="1581"/>
      <c r="AB491" s="1581"/>
      <c r="AC491" s="1581"/>
      <c r="AD491" s="1581"/>
      <c r="AE491" s="1581"/>
      <c r="AF491" s="1581"/>
      <c r="AG491" s="1581"/>
      <c r="AH491" s="1581"/>
      <c r="AI491" s="1581"/>
      <c r="AJ491" s="1581"/>
      <c r="AK491" s="1581"/>
      <c r="AL491" s="1581"/>
      <c r="AM491" s="1581"/>
      <c r="AN491" s="1581"/>
    </row>
    <row r="492" spans="1:41">
      <c r="A492" s="1581"/>
      <c r="B492" s="1581"/>
      <c r="C492" s="1581"/>
      <c r="D492" s="1581"/>
      <c r="E492" s="1581"/>
      <c r="F492" s="1581"/>
      <c r="G492" s="1581"/>
      <c r="H492" s="1581"/>
      <c r="I492" s="1581"/>
      <c r="J492" s="1581"/>
      <c r="K492" s="1581"/>
      <c r="L492" s="1581"/>
      <c r="M492" s="1581"/>
      <c r="N492" s="1581"/>
      <c r="O492" s="1581"/>
      <c r="P492" s="1581"/>
      <c r="Q492" s="1581"/>
      <c r="R492" s="1581"/>
      <c r="S492" s="1581"/>
      <c r="T492" s="1581"/>
      <c r="U492" s="1581"/>
      <c r="V492" s="1581"/>
      <c r="W492" s="1581"/>
      <c r="X492" s="1581"/>
      <c r="Y492" s="1581"/>
      <c r="Z492" s="1581"/>
      <c r="AA492" s="1581"/>
      <c r="AB492" s="1581"/>
      <c r="AC492" s="1581"/>
      <c r="AD492" s="1581"/>
      <c r="AE492" s="1581"/>
      <c r="AF492" s="1581"/>
      <c r="AG492" s="1581"/>
      <c r="AH492" s="1581"/>
      <c r="AI492" s="1581"/>
      <c r="AJ492" s="1581"/>
      <c r="AK492" s="1581"/>
      <c r="AL492" s="1581"/>
      <c r="AM492" s="1581"/>
      <c r="AN492" s="1581"/>
    </row>
    <row r="493" spans="1:41">
      <c r="A493" s="1581"/>
      <c r="B493" s="1581"/>
      <c r="C493" s="1581"/>
      <c r="D493" s="1581"/>
      <c r="E493" s="1581"/>
      <c r="F493" s="1581"/>
      <c r="G493" s="1581"/>
      <c r="H493" s="1581"/>
      <c r="I493" s="1581"/>
      <c r="J493" s="1581"/>
      <c r="K493" s="1581"/>
      <c r="L493" s="1581"/>
      <c r="M493" s="1581"/>
      <c r="N493" s="1581"/>
      <c r="O493" s="1581"/>
      <c r="P493" s="1581"/>
      <c r="Q493" s="1581"/>
      <c r="R493" s="1581"/>
      <c r="S493" s="1581"/>
      <c r="T493" s="1581"/>
      <c r="U493" s="1581"/>
      <c r="V493" s="1581"/>
      <c r="W493" s="1581"/>
      <c r="X493" s="1581"/>
      <c r="Y493" s="1581"/>
      <c r="Z493" s="1581"/>
      <c r="AA493" s="1581"/>
      <c r="AB493" s="1581"/>
      <c r="AC493" s="1581"/>
      <c r="AD493" s="1581"/>
      <c r="AE493" s="1581"/>
      <c r="AF493" s="1581"/>
      <c r="AG493" s="1581"/>
      <c r="AH493" s="1581"/>
      <c r="AI493" s="1581"/>
      <c r="AJ493" s="1581"/>
      <c r="AK493" s="1581"/>
      <c r="AL493" s="1581"/>
      <c r="AM493" s="1581"/>
      <c r="AN493" s="1581"/>
    </row>
    <row r="494" spans="1:41">
      <c r="A494" s="1581"/>
      <c r="B494" s="1581"/>
      <c r="C494" s="1581"/>
      <c r="D494" s="1581"/>
      <c r="E494" s="1581"/>
      <c r="F494" s="1581"/>
      <c r="G494" s="1581"/>
      <c r="H494" s="1581"/>
      <c r="I494" s="1581"/>
      <c r="J494" s="1581"/>
      <c r="K494" s="1581"/>
      <c r="L494" s="1581"/>
      <c r="M494" s="1581"/>
      <c r="N494" s="1581"/>
      <c r="O494" s="1581"/>
      <c r="P494" s="1581"/>
      <c r="Q494" s="1581"/>
      <c r="R494" s="1581"/>
      <c r="S494" s="1581"/>
      <c r="T494" s="1581"/>
      <c r="U494" s="1581"/>
      <c r="V494" s="1581"/>
      <c r="W494" s="1581"/>
      <c r="X494" s="1581"/>
      <c r="Y494" s="1581"/>
      <c r="Z494" s="1581"/>
      <c r="AA494" s="1581"/>
      <c r="AB494" s="1581"/>
      <c r="AC494" s="1581"/>
      <c r="AD494" s="1581"/>
      <c r="AE494" s="1581"/>
      <c r="AF494" s="1581"/>
      <c r="AG494" s="1581"/>
      <c r="AH494" s="1581"/>
      <c r="AI494" s="1581"/>
      <c r="AJ494" s="1581"/>
      <c r="AK494" s="1581"/>
      <c r="AL494" s="1581"/>
      <c r="AM494" s="1581"/>
      <c r="AN494" s="1581"/>
    </row>
    <row r="495" spans="1:41">
      <c r="A495" s="828" t="s">
        <v>1933</v>
      </c>
      <c r="B495" s="828" t="s">
        <v>311</v>
      </c>
    </row>
    <row r="497" spans="1:41">
      <c r="M497" s="1596" t="s">
        <v>1952</v>
      </c>
      <c r="N497" s="1596"/>
      <c r="O497" s="1596"/>
      <c r="P497" s="1596"/>
      <c r="Q497" s="1596"/>
      <c r="R497" s="1596"/>
      <c r="S497" s="1596"/>
      <c r="T497" s="1596"/>
      <c r="U497" s="1596"/>
      <c r="V497" s="1596"/>
      <c r="W497" s="1596"/>
      <c r="X497" s="1596"/>
      <c r="Y497" s="1596"/>
      <c r="Z497" s="1596"/>
      <c r="AA497" s="1596"/>
      <c r="AB497" s="1596"/>
      <c r="AC497" s="1596"/>
      <c r="AD497" s="1596"/>
      <c r="AE497" s="1596"/>
      <c r="AF497" s="1596"/>
      <c r="AG497" s="1596"/>
      <c r="AH497" s="1596"/>
      <c r="AI497" s="1596"/>
      <c r="AJ497" s="1596"/>
      <c r="AK497" s="1596"/>
      <c r="AL497" s="1596"/>
      <c r="AM497" s="1596"/>
      <c r="AN497" s="1596"/>
    </row>
    <row r="498" spans="1:41">
      <c r="A498" s="1567" t="s">
        <v>1948</v>
      </c>
      <c r="B498" s="1567"/>
      <c r="C498" s="1597" t="s">
        <v>1947</v>
      </c>
      <c r="D498" s="1597"/>
      <c r="E498" s="1597"/>
      <c r="F498" s="1597"/>
      <c r="G498" s="1597"/>
      <c r="H498" s="1597"/>
      <c r="I498" s="1597"/>
      <c r="J498" s="1597"/>
      <c r="K498" s="1597"/>
      <c r="L498" s="1597"/>
      <c r="M498" s="1567" t="s">
        <v>1943</v>
      </c>
      <c r="N498" s="1567"/>
      <c r="O498" s="1567"/>
      <c r="P498" s="1567"/>
      <c r="Q498" s="1567"/>
      <c r="R498" s="1567"/>
      <c r="S498" s="1567"/>
      <c r="T498" s="1567" t="s">
        <v>202</v>
      </c>
      <c r="U498" s="1567"/>
      <c r="V498" s="1567"/>
      <c r="W498" s="1567"/>
      <c r="X498" s="1567"/>
      <c r="Y498" s="1567"/>
      <c r="Z498" s="1567"/>
      <c r="AA498" s="1567" t="s">
        <v>203</v>
      </c>
      <c r="AB498" s="1567"/>
      <c r="AC498" s="1567"/>
      <c r="AD498" s="1567"/>
      <c r="AE498" s="1567"/>
      <c r="AF498" s="1567"/>
      <c r="AG498" s="1567"/>
      <c r="AH498" s="1597" t="s">
        <v>1946</v>
      </c>
      <c r="AI498" s="1597"/>
      <c r="AJ498" s="1597"/>
      <c r="AK498" s="1597"/>
      <c r="AL498" s="1597"/>
      <c r="AM498" s="1597"/>
      <c r="AN498" s="1597"/>
    </row>
    <row r="499" spans="1:41">
      <c r="A499" s="1590" t="str">
        <f>unos!A214</f>
        <v>090</v>
      </c>
      <c r="B499" s="1591"/>
      <c r="C499" s="1592" t="str">
        <f>unos!B214</f>
        <v>Odložena porezna sredstva</v>
      </c>
      <c r="D499" s="1593"/>
      <c r="E499" s="1593"/>
      <c r="F499" s="1593"/>
      <c r="G499" s="1593"/>
      <c r="H499" s="1593"/>
      <c r="I499" s="1593"/>
      <c r="J499" s="1593"/>
      <c r="K499" s="1593"/>
      <c r="L499" s="1593"/>
      <c r="M499" s="1589">
        <f>unos!C214</f>
        <v>0</v>
      </c>
      <c r="N499" s="1589"/>
      <c r="O499" s="1589"/>
      <c r="P499" s="1589"/>
      <c r="Q499" s="1589"/>
      <c r="R499" s="1589"/>
      <c r="S499" s="1589"/>
      <c r="T499" s="1589"/>
      <c r="U499" s="1589"/>
      <c r="V499" s="1589"/>
      <c r="W499" s="1589"/>
      <c r="X499" s="1589"/>
      <c r="Y499" s="1589"/>
      <c r="Z499" s="1589"/>
      <c r="AA499" s="1589"/>
      <c r="AB499" s="1589"/>
      <c r="AC499" s="1589"/>
      <c r="AD499" s="1589"/>
      <c r="AE499" s="1589"/>
      <c r="AF499" s="1589"/>
      <c r="AG499" s="1589"/>
      <c r="AH499" s="1589">
        <f>M499+T499-AA499</f>
        <v>0</v>
      </c>
      <c r="AI499" s="1589"/>
      <c r="AJ499" s="1589"/>
      <c r="AK499" s="1589"/>
      <c r="AL499" s="1589"/>
      <c r="AM499" s="1589"/>
      <c r="AN499" s="1589"/>
    </row>
    <row r="500" spans="1:41">
      <c r="A500" s="1590" t="str">
        <f>unos!A215</f>
        <v>091</v>
      </c>
      <c r="B500" s="1591"/>
      <c r="C500" s="1592" t="str">
        <f>unos!B215</f>
        <v>Unaprijed plaćeni troškovi-duže od 12.mjeseci</v>
      </c>
      <c r="D500" s="1593"/>
      <c r="E500" s="1593"/>
      <c r="F500" s="1593"/>
      <c r="G500" s="1593"/>
      <c r="H500" s="1593"/>
      <c r="I500" s="1593"/>
      <c r="J500" s="1593"/>
      <c r="K500" s="1593"/>
      <c r="L500" s="1593"/>
      <c r="M500" s="1589">
        <f>unos!C215</f>
        <v>0</v>
      </c>
      <c r="N500" s="1589"/>
      <c r="O500" s="1589"/>
      <c r="P500" s="1589"/>
      <c r="Q500" s="1589"/>
      <c r="R500" s="1589"/>
      <c r="S500" s="1589"/>
      <c r="T500" s="1589"/>
      <c r="U500" s="1589"/>
      <c r="V500" s="1589"/>
      <c r="W500" s="1589"/>
      <c r="X500" s="1589"/>
      <c r="Y500" s="1589"/>
      <c r="Z500" s="1589"/>
      <c r="AA500" s="1589"/>
      <c r="AB500" s="1589"/>
      <c r="AC500" s="1589"/>
      <c r="AD500" s="1589"/>
      <c r="AE500" s="1589"/>
      <c r="AF500" s="1589"/>
      <c r="AG500" s="1589"/>
      <c r="AH500" s="1589">
        <f>M500+T500-AA500</f>
        <v>0</v>
      </c>
      <c r="AI500" s="1589"/>
      <c r="AJ500" s="1589"/>
      <c r="AK500" s="1589"/>
      <c r="AL500" s="1589"/>
      <c r="AM500" s="1589"/>
      <c r="AN500" s="1589"/>
    </row>
    <row r="501" spans="1:41">
      <c r="A501" s="1590" t="str">
        <f>unos!A216</f>
        <v>098</v>
      </c>
      <c r="B501" s="1591"/>
      <c r="C501" s="1592" t="str">
        <f>unos!B216</f>
        <v>Ostala dugoročna razgraničenja</v>
      </c>
      <c r="D501" s="1593"/>
      <c r="E501" s="1593"/>
      <c r="F501" s="1593"/>
      <c r="G501" s="1593"/>
      <c r="H501" s="1593"/>
      <c r="I501" s="1593"/>
      <c r="J501" s="1593"/>
      <c r="K501" s="1593"/>
      <c r="L501" s="1593"/>
      <c r="M501" s="1589">
        <f>unos!C216</f>
        <v>0</v>
      </c>
      <c r="N501" s="1589"/>
      <c r="O501" s="1589"/>
      <c r="P501" s="1589"/>
      <c r="Q501" s="1589"/>
      <c r="R501" s="1589"/>
      <c r="S501" s="1589"/>
      <c r="T501" s="1589"/>
      <c r="U501" s="1589"/>
      <c r="V501" s="1589"/>
      <c r="W501" s="1589"/>
      <c r="X501" s="1589"/>
      <c r="Y501" s="1589"/>
      <c r="Z501" s="1589"/>
      <c r="AA501" s="1589"/>
      <c r="AB501" s="1589"/>
      <c r="AC501" s="1589"/>
      <c r="AD501" s="1589"/>
      <c r="AE501" s="1589"/>
      <c r="AF501" s="1589"/>
      <c r="AG501" s="1589"/>
      <c r="AH501" s="1589">
        <f>M501+T501-AA501</f>
        <v>0</v>
      </c>
      <c r="AI501" s="1589"/>
      <c r="AJ501" s="1589"/>
      <c r="AK501" s="1589"/>
      <c r="AL501" s="1589"/>
      <c r="AM501" s="1589"/>
      <c r="AN501" s="1589"/>
    </row>
    <row r="502" spans="1:41">
      <c r="A502" s="1173"/>
      <c r="B502" s="1174"/>
      <c r="D502" s="1175"/>
      <c r="E502" s="1175"/>
      <c r="F502" s="1175"/>
      <c r="G502" s="1175"/>
      <c r="H502" s="1175"/>
      <c r="I502" s="1175"/>
      <c r="J502" s="1175"/>
      <c r="K502" s="1175"/>
      <c r="L502" s="1165" t="s">
        <v>222</v>
      </c>
      <c r="M502" s="1588">
        <f>SUM(M499:S501)</f>
        <v>0</v>
      </c>
      <c r="N502" s="1588"/>
      <c r="O502" s="1588"/>
      <c r="P502" s="1588"/>
      <c r="Q502" s="1588"/>
      <c r="R502" s="1588"/>
      <c r="S502" s="1588"/>
      <c r="T502" s="1588">
        <f>SUM(T499:Z501)</f>
        <v>0</v>
      </c>
      <c r="U502" s="1588"/>
      <c r="V502" s="1588"/>
      <c r="W502" s="1588"/>
      <c r="X502" s="1588"/>
      <c r="Y502" s="1588"/>
      <c r="Z502" s="1588"/>
      <c r="AA502" s="1588">
        <f>SUM(AA499:AG501)</f>
        <v>0</v>
      </c>
      <c r="AB502" s="1588"/>
      <c r="AC502" s="1588"/>
      <c r="AD502" s="1588"/>
      <c r="AE502" s="1588"/>
      <c r="AF502" s="1588"/>
      <c r="AG502" s="1588"/>
      <c r="AH502" s="1588">
        <f>SUM(AH499:AN501)</f>
        <v>0</v>
      </c>
      <c r="AI502" s="1588"/>
      <c r="AJ502" s="1588"/>
      <c r="AK502" s="1588"/>
      <c r="AL502" s="1588"/>
      <c r="AM502" s="1588"/>
      <c r="AN502" s="1588"/>
      <c r="AO502" s="1278">
        <f>IF(AH502-'bilans-stanja'!AN63-'bilans-stanja'!AN62&lt;&gt;0,"GRESKA",AH502-'bilans-stanja'!AN63-'bilans-stanja'!AN62)</f>
        <v>0</v>
      </c>
    </row>
    <row r="503" spans="1:41" ht="13.5" customHeight="1"/>
    <row r="504" spans="1:41">
      <c r="A504" s="1581"/>
      <c r="B504" s="1581"/>
      <c r="C504" s="1581"/>
      <c r="D504" s="1581"/>
      <c r="E504" s="1581"/>
      <c r="F504" s="1581"/>
      <c r="G504" s="1581"/>
      <c r="H504" s="1581"/>
      <c r="I504" s="1581"/>
      <c r="J504" s="1581"/>
      <c r="K504" s="1581"/>
      <c r="L504" s="1581"/>
      <c r="M504" s="1581"/>
      <c r="N504" s="1581"/>
      <c r="O504" s="1581"/>
      <c r="P504" s="1581"/>
      <c r="Q504" s="1581"/>
      <c r="R504" s="1581"/>
      <c r="S504" s="1581"/>
      <c r="T504" s="1581"/>
      <c r="U504" s="1581"/>
      <c r="V504" s="1581"/>
      <c r="W504" s="1581"/>
      <c r="X504" s="1581"/>
      <c r="Y504" s="1581"/>
      <c r="Z504" s="1581"/>
      <c r="AA504" s="1581"/>
      <c r="AB504" s="1581"/>
      <c r="AC504" s="1581"/>
      <c r="AD504" s="1581"/>
      <c r="AE504" s="1581"/>
      <c r="AF504" s="1581"/>
      <c r="AG504" s="1581"/>
      <c r="AH504" s="1581"/>
      <c r="AI504" s="1581"/>
      <c r="AJ504" s="1581"/>
      <c r="AK504" s="1581"/>
      <c r="AL504" s="1581"/>
      <c r="AM504" s="1581"/>
      <c r="AN504" s="1581"/>
    </row>
    <row r="505" spans="1:41">
      <c r="A505" s="1581"/>
      <c r="B505" s="1581"/>
      <c r="C505" s="1581"/>
      <c r="D505" s="1581"/>
      <c r="E505" s="1581"/>
      <c r="F505" s="1581"/>
      <c r="G505" s="1581"/>
      <c r="H505" s="1581"/>
      <c r="I505" s="1581"/>
      <c r="J505" s="1581"/>
      <c r="K505" s="1581"/>
      <c r="L505" s="1581"/>
      <c r="M505" s="1581"/>
      <c r="N505" s="1581"/>
      <c r="O505" s="1581"/>
      <c r="P505" s="1581"/>
      <c r="Q505" s="1581"/>
      <c r="R505" s="1581"/>
      <c r="S505" s="1581"/>
      <c r="T505" s="1581"/>
      <c r="U505" s="1581"/>
      <c r="V505" s="1581"/>
      <c r="W505" s="1581"/>
      <c r="X505" s="1581"/>
      <c r="Y505" s="1581"/>
      <c r="Z505" s="1581"/>
      <c r="AA505" s="1581"/>
      <c r="AB505" s="1581"/>
      <c r="AC505" s="1581"/>
      <c r="AD505" s="1581"/>
      <c r="AE505" s="1581"/>
      <c r="AF505" s="1581"/>
      <c r="AG505" s="1581"/>
      <c r="AH505" s="1581"/>
      <c r="AI505" s="1581"/>
      <c r="AJ505" s="1581"/>
      <c r="AK505" s="1581"/>
      <c r="AL505" s="1581"/>
      <c r="AM505" s="1581"/>
      <c r="AN505" s="1581"/>
    </row>
    <row r="506" spans="1:41">
      <c r="A506" s="1581"/>
      <c r="B506" s="1581"/>
      <c r="C506" s="1581"/>
      <c r="D506" s="1581"/>
      <c r="E506" s="1581"/>
      <c r="F506" s="1581"/>
      <c r="G506" s="1581"/>
      <c r="H506" s="1581"/>
      <c r="I506" s="1581"/>
      <c r="J506" s="1581"/>
      <c r="K506" s="1581"/>
      <c r="L506" s="1581"/>
      <c r="M506" s="1581"/>
      <c r="N506" s="1581"/>
      <c r="O506" s="1581"/>
      <c r="P506" s="1581"/>
      <c r="Q506" s="1581"/>
      <c r="R506" s="1581"/>
      <c r="S506" s="1581"/>
      <c r="T506" s="1581"/>
      <c r="U506" s="1581"/>
      <c r="V506" s="1581"/>
      <c r="W506" s="1581"/>
      <c r="X506" s="1581"/>
      <c r="Y506" s="1581"/>
      <c r="Z506" s="1581"/>
      <c r="AA506" s="1581"/>
      <c r="AB506" s="1581"/>
      <c r="AC506" s="1581"/>
      <c r="AD506" s="1581"/>
      <c r="AE506" s="1581"/>
      <c r="AF506" s="1581"/>
      <c r="AG506" s="1581"/>
      <c r="AH506" s="1581"/>
      <c r="AI506" s="1581"/>
      <c r="AJ506" s="1581"/>
      <c r="AK506" s="1581"/>
      <c r="AL506" s="1581"/>
      <c r="AM506" s="1581"/>
      <c r="AN506" s="1581"/>
    </row>
    <row r="507" spans="1:41">
      <c r="A507" s="1581"/>
      <c r="B507" s="1581"/>
      <c r="C507" s="1581"/>
      <c r="D507" s="1581"/>
      <c r="E507" s="1581"/>
      <c r="F507" s="1581"/>
      <c r="G507" s="1581"/>
      <c r="H507" s="1581"/>
      <c r="I507" s="1581"/>
      <c r="J507" s="1581"/>
      <c r="K507" s="1581"/>
      <c r="L507" s="1581"/>
      <c r="M507" s="1581"/>
      <c r="N507" s="1581"/>
      <c r="O507" s="1581"/>
      <c r="P507" s="1581"/>
      <c r="Q507" s="1581"/>
      <c r="R507" s="1581"/>
      <c r="S507" s="1581"/>
      <c r="T507" s="1581"/>
      <c r="U507" s="1581"/>
      <c r="V507" s="1581"/>
      <c r="W507" s="1581"/>
      <c r="X507" s="1581"/>
      <c r="Y507" s="1581"/>
      <c r="Z507" s="1581"/>
      <c r="AA507" s="1581"/>
      <c r="AB507" s="1581"/>
      <c r="AC507" s="1581"/>
      <c r="AD507" s="1581"/>
      <c r="AE507" s="1581"/>
      <c r="AF507" s="1581"/>
      <c r="AG507" s="1581"/>
      <c r="AH507" s="1581"/>
      <c r="AI507" s="1581"/>
      <c r="AJ507" s="1581"/>
      <c r="AK507" s="1581"/>
      <c r="AL507" s="1581"/>
      <c r="AM507" s="1581"/>
      <c r="AN507" s="1581"/>
    </row>
    <row r="508" spans="1:41">
      <c r="A508" s="828" t="s">
        <v>1933</v>
      </c>
      <c r="B508" s="828" t="s">
        <v>362</v>
      </c>
    </row>
    <row r="510" spans="1:41">
      <c r="C510" s="828" t="s">
        <v>2163</v>
      </c>
      <c r="M510" s="1596" t="s">
        <v>1952</v>
      </c>
      <c r="N510" s="1596"/>
      <c r="O510" s="1596"/>
      <c r="P510" s="1596"/>
      <c r="Q510" s="1596"/>
      <c r="R510" s="1596"/>
      <c r="S510" s="1596"/>
      <c r="T510" s="1596"/>
      <c r="U510" s="1596"/>
      <c r="V510" s="1596"/>
      <c r="W510" s="1596"/>
      <c r="X510" s="1596"/>
      <c r="Y510" s="1596"/>
      <c r="Z510" s="1596"/>
      <c r="AA510" s="1596"/>
      <c r="AB510" s="1596"/>
      <c r="AC510" s="1596"/>
      <c r="AD510" s="1596"/>
      <c r="AE510" s="1596"/>
      <c r="AF510" s="1596"/>
      <c r="AG510" s="1596"/>
      <c r="AH510" s="1596"/>
      <c r="AI510" s="1596"/>
      <c r="AJ510" s="1596"/>
      <c r="AK510" s="1596"/>
      <c r="AL510" s="1596"/>
      <c r="AM510" s="1596"/>
      <c r="AN510" s="1596"/>
    </row>
    <row r="511" spans="1:41">
      <c r="A511" s="1567" t="s">
        <v>1948</v>
      </c>
      <c r="B511" s="1567"/>
      <c r="C511" s="1597" t="s">
        <v>1947</v>
      </c>
      <c r="D511" s="1597"/>
      <c r="E511" s="1597"/>
      <c r="F511" s="1597"/>
      <c r="G511" s="1597"/>
      <c r="H511" s="1597"/>
      <c r="I511" s="1597"/>
      <c r="J511" s="1597"/>
      <c r="K511" s="1597"/>
      <c r="L511" s="1597"/>
      <c r="M511" s="1567" t="s">
        <v>1943</v>
      </c>
      <c r="N511" s="1567"/>
      <c r="O511" s="1567"/>
      <c r="P511" s="1567"/>
      <c r="Q511" s="1567"/>
      <c r="R511" s="1567"/>
      <c r="S511" s="1567"/>
      <c r="T511" s="1567" t="s">
        <v>202</v>
      </c>
      <c r="U511" s="1567"/>
      <c r="V511" s="1567"/>
      <c r="W511" s="1567"/>
      <c r="X511" s="1567"/>
      <c r="Y511" s="1567"/>
      <c r="Z511" s="1567"/>
      <c r="AA511" s="1567" t="s">
        <v>203</v>
      </c>
      <c r="AB511" s="1567"/>
      <c r="AC511" s="1567"/>
      <c r="AD511" s="1567"/>
      <c r="AE511" s="1567"/>
      <c r="AF511" s="1567"/>
      <c r="AG511" s="1567"/>
      <c r="AH511" s="1597" t="s">
        <v>1946</v>
      </c>
      <c r="AI511" s="1597"/>
      <c r="AJ511" s="1597"/>
      <c r="AK511" s="1597"/>
      <c r="AL511" s="1597"/>
      <c r="AM511" s="1597"/>
      <c r="AN511" s="1597"/>
    </row>
    <row r="512" spans="1:41">
      <c r="A512" s="1590" t="s">
        <v>1095</v>
      </c>
      <c r="B512" s="1591"/>
      <c r="C512" s="1592" t="s">
        <v>62</v>
      </c>
      <c r="D512" s="1593"/>
      <c r="E512" s="1593"/>
      <c r="F512" s="1593"/>
      <c r="G512" s="1593"/>
      <c r="H512" s="1593"/>
      <c r="I512" s="1593"/>
      <c r="J512" s="1593"/>
      <c r="K512" s="1593"/>
      <c r="L512" s="1593"/>
      <c r="M512" s="1563">
        <f>SUM(unos!C217:C223)-SUM(unos!D217:D223)</f>
        <v>0</v>
      </c>
      <c r="N512" s="1594"/>
      <c r="O512" s="1594"/>
      <c r="P512" s="1594"/>
      <c r="Q512" s="1594"/>
      <c r="R512" s="1594"/>
      <c r="S512" s="1595"/>
      <c r="T512" s="1589"/>
      <c r="U512" s="1589"/>
      <c r="V512" s="1589"/>
      <c r="W512" s="1589"/>
      <c r="X512" s="1589"/>
      <c r="Y512" s="1589"/>
      <c r="Z512" s="1589"/>
      <c r="AA512" s="1589"/>
      <c r="AB512" s="1589"/>
      <c r="AC512" s="1589"/>
      <c r="AD512" s="1589"/>
      <c r="AE512" s="1589"/>
      <c r="AF512" s="1589"/>
      <c r="AG512" s="1589"/>
      <c r="AH512" s="1589">
        <f t="shared" ref="AH512:AH517" si="20">M512+T512-AA512</f>
        <v>0</v>
      </c>
      <c r="AI512" s="1589"/>
      <c r="AJ512" s="1589"/>
      <c r="AK512" s="1589"/>
      <c r="AL512" s="1589"/>
      <c r="AM512" s="1589"/>
      <c r="AN512" s="1589"/>
    </row>
    <row r="513" spans="1:41">
      <c r="A513" s="1590" t="s">
        <v>439</v>
      </c>
      <c r="B513" s="1591"/>
      <c r="C513" s="1592" t="s">
        <v>63</v>
      </c>
      <c r="D513" s="1593"/>
      <c r="E513" s="1593"/>
      <c r="F513" s="1593"/>
      <c r="G513" s="1593"/>
      <c r="H513" s="1593"/>
      <c r="I513" s="1593"/>
      <c r="J513" s="1593"/>
      <c r="K513" s="1593"/>
      <c r="L513" s="1593"/>
      <c r="M513" s="1563">
        <f>SUM(unos!C224:C231)-SUM(unos!D224:D231)</f>
        <v>0</v>
      </c>
      <c r="N513" s="1594"/>
      <c r="O513" s="1594"/>
      <c r="P513" s="1594"/>
      <c r="Q513" s="1594"/>
      <c r="R513" s="1594"/>
      <c r="S513" s="1595"/>
      <c r="T513" s="1589"/>
      <c r="U513" s="1589"/>
      <c r="V513" s="1589"/>
      <c r="W513" s="1589"/>
      <c r="X513" s="1589"/>
      <c r="Y513" s="1589"/>
      <c r="Z513" s="1589"/>
      <c r="AA513" s="1589"/>
      <c r="AB513" s="1589"/>
      <c r="AC513" s="1589"/>
      <c r="AD513" s="1589"/>
      <c r="AE513" s="1589"/>
      <c r="AF513" s="1589"/>
      <c r="AG513" s="1589"/>
      <c r="AH513" s="1589">
        <f t="shared" si="20"/>
        <v>0</v>
      </c>
      <c r="AI513" s="1589"/>
      <c r="AJ513" s="1589"/>
      <c r="AK513" s="1589"/>
      <c r="AL513" s="1589"/>
      <c r="AM513" s="1589"/>
      <c r="AN513" s="1589"/>
    </row>
    <row r="514" spans="1:41">
      <c r="A514" s="1590" t="s">
        <v>440</v>
      </c>
      <c r="B514" s="1591"/>
      <c r="C514" s="1592" t="s">
        <v>2583</v>
      </c>
      <c r="D514" s="1593"/>
      <c r="E514" s="1593"/>
      <c r="F514" s="1593"/>
      <c r="G514" s="1593"/>
      <c r="H514" s="1593"/>
      <c r="I514" s="1593"/>
      <c r="J514" s="1593"/>
      <c r="K514" s="1593"/>
      <c r="L514" s="1593"/>
      <c r="M514" s="1563">
        <f>SUM(unos!C232:C240)-SUM(unos!D232:D240)</f>
        <v>0</v>
      </c>
      <c r="N514" s="1594"/>
      <c r="O514" s="1594"/>
      <c r="P514" s="1594"/>
      <c r="Q514" s="1594"/>
      <c r="R514" s="1594"/>
      <c r="S514" s="1595"/>
      <c r="T514" s="1589"/>
      <c r="U514" s="1589"/>
      <c r="V514" s="1589"/>
      <c r="W514" s="1589"/>
      <c r="X514" s="1589"/>
      <c r="Y514" s="1589"/>
      <c r="Z514" s="1589"/>
      <c r="AA514" s="1589"/>
      <c r="AB514" s="1589"/>
      <c r="AC514" s="1589"/>
      <c r="AD514" s="1589"/>
      <c r="AE514" s="1589"/>
      <c r="AF514" s="1589"/>
      <c r="AG514" s="1589"/>
      <c r="AH514" s="1589">
        <f t="shared" si="20"/>
        <v>0</v>
      </c>
      <c r="AI514" s="1589"/>
      <c r="AJ514" s="1589"/>
      <c r="AK514" s="1589"/>
      <c r="AL514" s="1589"/>
      <c r="AM514" s="1589"/>
      <c r="AN514" s="1589"/>
    </row>
    <row r="515" spans="1:41">
      <c r="A515" s="1590" t="s">
        <v>1096</v>
      </c>
      <c r="B515" s="1591"/>
      <c r="C515" s="1592" t="s">
        <v>1020</v>
      </c>
      <c r="D515" s="1593"/>
      <c r="E515" s="1593"/>
      <c r="F515" s="1593"/>
      <c r="G515" s="1593"/>
      <c r="H515" s="1593"/>
      <c r="I515" s="1593"/>
      <c r="J515" s="1593"/>
      <c r="K515" s="1593"/>
      <c r="L515" s="1593"/>
      <c r="M515" s="1589">
        <f>SUM(unos!C241:C250)-SUM(unos!D241:D250)</f>
        <v>0</v>
      </c>
      <c r="N515" s="1589"/>
      <c r="O515" s="1589"/>
      <c r="P515" s="1589"/>
      <c r="Q515" s="1589"/>
      <c r="R515" s="1589"/>
      <c r="S515" s="1589"/>
      <c r="T515" s="1589"/>
      <c r="U515" s="1589"/>
      <c r="V515" s="1589"/>
      <c r="W515" s="1589"/>
      <c r="X515" s="1589"/>
      <c r="Y515" s="1589"/>
      <c r="Z515" s="1589"/>
      <c r="AA515" s="1589"/>
      <c r="AB515" s="1589"/>
      <c r="AC515" s="1589"/>
      <c r="AD515" s="1589"/>
      <c r="AE515" s="1589"/>
      <c r="AF515" s="1589"/>
      <c r="AG515" s="1589"/>
      <c r="AH515" s="1589">
        <f t="shared" si="20"/>
        <v>0</v>
      </c>
      <c r="AI515" s="1589"/>
      <c r="AJ515" s="1589"/>
      <c r="AK515" s="1589"/>
      <c r="AL515" s="1589"/>
      <c r="AM515" s="1589"/>
      <c r="AN515" s="1589"/>
    </row>
    <row r="516" spans="1:41">
      <c r="A516" s="1590" t="s">
        <v>1097</v>
      </c>
      <c r="B516" s="1591"/>
      <c r="C516" s="1592" t="s">
        <v>64</v>
      </c>
      <c r="D516" s="1593"/>
      <c r="E516" s="1593"/>
      <c r="F516" s="1593"/>
      <c r="G516" s="1593"/>
      <c r="H516" s="1593"/>
      <c r="I516" s="1593"/>
      <c r="J516" s="1593"/>
      <c r="K516" s="1593"/>
      <c r="L516" s="1593"/>
      <c r="M516" s="1589">
        <f>SUM(unos!C251:C259)-SUM(unos!D251:D259)</f>
        <v>0</v>
      </c>
      <c r="N516" s="1589"/>
      <c r="O516" s="1589"/>
      <c r="P516" s="1589"/>
      <c r="Q516" s="1589"/>
      <c r="R516" s="1589"/>
      <c r="S516" s="1589"/>
      <c r="T516" s="1589"/>
      <c r="U516" s="1589"/>
      <c r="V516" s="1589"/>
      <c r="W516" s="1589"/>
      <c r="X516" s="1589"/>
      <c r="Y516" s="1589"/>
      <c r="Z516" s="1589"/>
      <c r="AA516" s="1589"/>
      <c r="AB516" s="1589"/>
      <c r="AC516" s="1589"/>
      <c r="AD516" s="1589"/>
      <c r="AE516" s="1589"/>
      <c r="AF516" s="1589"/>
      <c r="AG516" s="1589"/>
      <c r="AH516" s="1589">
        <f t="shared" si="20"/>
        <v>0</v>
      </c>
      <c r="AI516" s="1589"/>
      <c r="AJ516" s="1589"/>
      <c r="AK516" s="1589"/>
      <c r="AL516" s="1589"/>
      <c r="AM516" s="1589"/>
      <c r="AN516" s="1589"/>
    </row>
    <row r="517" spans="1:41">
      <c r="A517" s="1590" t="s">
        <v>1098</v>
      </c>
      <c r="B517" s="1591"/>
      <c r="C517" s="1592" t="s">
        <v>65</v>
      </c>
      <c r="D517" s="1593"/>
      <c r="E517" s="1593"/>
      <c r="F517" s="1593"/>
      <c r="G517" s="1593"/>
      <c r="H517" s="1593"/>
      <c r="I517" s="1593"/>
      <c r="J517" s="1593"/>
      <c r="K517" s="1593"/>
      <c r="L517" s="1593"/>
      <c r="M517" s="1589">
        <f>SUM(unos!C260:C262)-SUM(unos!D260:D262)</f>
        <v>0</v>
      </c>
      <c r="N517" s="1589"/>
      <c r="O517" s="1589"/>
      <c r="P517" s="1589"/>
      <c r="Q517" s="1589"/>
      <c r="R517" s="1589"/>
      <c r="S517" s="1589"/>
      <c r="T517" s="1589"/>
      <c r="U517" s="1589"/>
      <c r="V517" s="1589"/>
      <c r="W517" s="1589"/>
      <c r="X517" s="1589"/>
      <c r="Y517" s="1589"/>
      <c r="Z517" s="1589"/>
      <c r="AA517" s="1589"/>
      <c r="AB517" s="1589"/>
      <c r="AC517" s="1589"/>
      <c r="AD517" s="1589"/>
      <c r="AE517" s="1589"/>
      <c r="AF517" s="1589"/>
      <c r="AG517" s="1589"/>
      <c r="AH517" s="1589">
        <f t="shared" si="20"/>
        <v>0</v>
      </c>
      <c r="AI517" s="1589"/>
      <c r="AJ517" s="1589"/>
      <c r="AK517" s="1589"/>
      <c r="AL517" s="1589"/>
      <c r="AM517" s="1589"/>
      <c r="AN517" s="1589"/>
    </row>
    <row r="518" spans="1:41">
      <c r="A518" s="1173"/>
      <c r="B518" s="1174"/>
      <c r="D518" s="1175"/>
      <c r="E518" s="1175"/>
      <c r="F518" s="1175"/>
      <c r="G518" s="1175"/>
      <c r="H518" s="1175"/>
      <c r="I518" s="1175"/>
      <c r="J518" s="1175"/>
      <c r="K518" s="1175"/>
      <c r="L518" s="1165" t="s">
        <v>222</v>
      </c>
      <c r="M518" s="1588">
        <f>SUM(M512:S517)</f>
        <v>0</v>
      </c>
      <c r="N518" s="1588"/>
      <c r="O518" s="1588"/>
      <c r="P518" s="1588"/>
      <c r="Q518" s="1588"/>
      <c r="R518" s="1588"/>
      <c r="S518" s="1588"/>
      <c r="T518" s="1588">
        <f>SUM(T512:Z517)</f>
        <v>0</v>
      </c>
      <c r="U518" s="1588"/>
      <c r="V518" s="1588"/>
      <c r="W518" s="1588"/>
      <c r="X518" s="1588"/>
      <c r="Y518" s="1588"/>
      <c r="Z518" s="1588"/>
      <c r="AA518" s="1588">
        <f>SUM(AA512:AG517)</f>
        <v>0</v>
      </c>
      <c r="AB518" s="1588"/>
      <c r="AC518" s="1588"/>
      <c r="AD518" s="1588"/>
      <c r="AE518" s="1588"/>
      <c r="AF518" s="1588"/>
      <c r="AG518" s="1588"/>
      <c r="AH518" s="1588">
        <f>SUM(AH512:AN517)</f>
        <v>0</v>
      </c>
      <c r="AI518" s="1588"/>
      <c r="AJ518" s="1588"/>
      <c r="AK518" s="1588"/>
      <c r="AL518" s="1588"/>
      <c r="AM518" s="1588"/>
      <c r="AN518" s="1588"/>
      <c r="AO518" s="1278">
        <f>IF(AH518-'bilans-stanja'!AN65&lt;&gt;0,"GRESKA",AH518-'bilans-stanja'!AN65)</f>
        <v>0</v>
      </c>
    </row>
    <row r="520" spans="1:41">
      <c r="A520" s="1581"/>
      <c r="B520" s="1581"/>
      <c r="C520" s="1581"/>
      <c r="D520" s="1581"/>
      <c r="E520" s="1581"/>
      <c r="F520" s="1581"/>
      <c r="G520" s="1581"/>
      <c r="H520" s="1581"/>
      <c r="I520" s="1581"/>
      <c r="J520" s="1581"/>
      <c r="K520" s="1581"/>
      <c r="L520" s="1581"/>
      <c r="M520" s="1581"/>
      <c r="N520" s="1581"/>
      <c r="O520" s="1581"/>
      <c r="P520" s="1581"/>
      <c r="Q520" s="1581"/>
      <c r="R520" s="1581"/>
      <c r="S520" s="1581"/>
      <c r="T520" s="1581"/>
      <c r="U520" s="1581"/>
      <c r="V520" s="1581"/>
      <c r="W520" s="1581"/>
      <c r="X520" s="1581"/>
      <c r="Y520" s="1581"/>
      <c r="Z520" s="1581"/>
      <c r="AA520" s="1581"/>
      <c r="AB520" s="1581"/>
      <c r="AC520" s="1581"/>
      <c r="AD520" s="1581"/>
      <c r="AE520" s="1581"/>
      <c r="AF520" s="1581"/>
      <c r="AG520" s="1581"/>
      <c r="AH520" s="1581"/>
      <c r="AI520" s="1581"/>
      <c r="AJ520" s="1581"/>
      <c r="AK520" s="1581"/>
      <c r="AL520" s="1581"/>
      <c r="AM520" s="1581"/>
      <c r="AN520" s="1581"/>
    </row>
    <row r="521" spans="1:41">
      <c r="A521" s="1581"/>
      <c r="B521" s="1581"/>
      <c r="C521" s="1581"/>
      <c r="D521" s="1581"/>
      <c r="E521" s="1581"/>
      <c r="F521" s="1581"/>
      <c r="G521" s="1581"/>
      <c r="H521" s="1581"/>
      <c r="I521" s="1581"/>
      <c r="J521" s="1581"/>
      <c r="K521" s="1581"/>
      <c r="L521" s="1581"/>
      <c r="M521" s="1581"/>
      <c r="N521" s="1581"/>
      <c r="O521" s="1581"/>
      <c r="P521" s="1581"/>
      <c r="Q521" s="1581"/>
      <c r="R521" s="1581"/>
      <c r="S521" s="1581"/>
      <c r="T521" s="1581"/>
      <c r="U521" s="1581"/>
      <c r="V521" s="1581"/>
      <c r="W521" s="1581"/>
      <c r="X521" s="1581"/>
      <c r="Y521" s="1581"/>
      <c r="Z521" s="1581"/>
      <c r="AA521" s="1581"/>
      <c r="AB521" s="1581"/>
      <c r="AC521" s="1581"/>
      <c r="AD521" s="1581"/>
      <c r="AE521" s="1581"/>
      <c r="AF521" s="1581"/>
      <c r="AG521" s="1581"/>
      <c r="AH521" s="1581"/>
      <c r="AI521" s="1581"/>
      <c r="AJ521" s="1581"/>
      <c r="AK521" s="1581"/>
      <c r="AL521" s="1581"/>
      <c r="AM521" s="1581"/>
      <c r="AN521" s="1581"/>
    </row>
    <row r="522" spans="1:41">
      <c r="A522" s="1581"/>
      <c r="B522" s="1581"/>
      <c r="C522" s="1581"/>
      <c r="D522" s="1581"/>
      <c r="E522" s="1581"/>
      <c r="F522" s="1581"/>
      <c r="G522" s="1581"/>
      <c r="H522" s="1581"/>
      <c r="I522" s="1581"/>
      <c r="J522" s="1581"/>
      <c r="K522" s="1581"/>
      <c r="L522" s="1581"/>
      <c r="M522" s="1581"/>
      <c r="N522" s="1581"/>
      <c r="O522" s="1581"/>
      <c r="P522" s="1581"/>
      <c r="Q522" s="1581"/>
      <c r="R522" s="1581"/>
      <c r="S522" s="1581"/>
      <c r="T522" s="1581"/>
      <c r="U522" s="1581"/>
      <c r="V522" s="1581"/>
      <c r="W522" s="1581"/>
      <c r="X522" s="1581"/>
      <c r="Y522" s="1581"/>
      <c r="Z522" s="1581"/>
      <c r="AA522" s="1581"/>
      <c r="AB522" s="1581"/>
      <c r="AC522" s="1581"/>
      <c r="AD522" s="1581"/>
      <c r="AE522" s="1581"/>
      <c r="AF522" s="1581"/>
      <c r="AG522" s="1581"/>
      <c r="AH522" s="1581"/>
      <c r="AI522" s="1581"/>
      <c r="AJ522" s="1581"/>
      <c r="AK522" s="1581"/>
      <c r="AL522" s="1581"/>
      <c r="AM522" s="1581"/>
      <c r="AN522" s="1581"/>
    </row>
    <row r="523" spans="1:41">
      <c r="A523" s="1581"/>
      <c r="B523" s="1581"/>
      <c r="C523" s="1581"/>
      <c r="D523" s="1581"/>
      <c r="E523" s="1581"/>
      <c r="F523" s="1581"/>
      <c r="G523" s="1581"/>
      <c r="H523" s="1581"/>
      <c r="I523" s="1581"/>
      <c r="J523" s="1581"/>
      <c r="K523" s="1581"/>
      <c r="L523" s="1581"/>
      <c r="M523" s="1581"/>
      <c r="N523" s="1581"/>
      <c r="O523" s="1581"/>
      <c r="P523" s="1581"/>
      <c r="Q523" s="1581"/>
      <c r="R523" s="1581"/>
      <c r="S523" s="1581"/>
      <c r="T523" s="1581"/>
      <c r="U523" s="1581"/>
      <c r="V523" s="1581"/>
      <c r="W523" s="1581"/>
      <c r="X523" s="1581"/>
      <c r="Y523" s="1581"/>
      <c r="Z523" s="1581"/>
      <c r="AA523" s="1581"/>
      <c r="AB523" s="1581"/>
      <c r="AC523" s="1581"/>
      <c r="AD523" s="1581"/>
      <c r="AE523" s="1581"/>
      <c r="AF523" s="1581"/>
      <c r="AG523" s="1581"/>
      <c r="AH523" s="1581"/>
      <c r="AI523" s="1581"/>
      <c r="AJ523" s="1581"/>
      <c r="AK523" s="1581"/>
      <c r="AL523" s="1581"/>
      <c r="AM523" s="1581"/>
      <c r="AN523" s="1581"/>
    </row>
    <row r="524" spans="1:41" ht="12.75" customHeight="1">
      <c r="A524" s="828" t="s">
        <v>1933</v>
      </c>
      <c r="B524" s="828" t="s">
        <v>66</v>
      </c>
    </row>
    <row r="526" spans="1:41" ht="14.25" customHeight="1">
      <c r="W526" s="1170" t="s">
        <v>1995</v>
      </c>
      <c r="X526" s="1171"/>
      <c r="Y526" s="1171"/>
      <c r="Z526" s="1171"/>
      <c r="AA526" s="1171"/>
      <c r="AB526" s="1171"/>
      <c r="AC526" s="1171"/>
      <c r="AD526" s="1171"/>
      <c r="AE526" s="1171"/>
      <c r="AF526" s="1171"/>
      <c r="AG526" s="1171"/>
      <c r="AH526" s="1171"/>
      <c r="AI526" s="1171"/>
      <c r="AJ526" s="1171"/>
      <c r="AK526" s="1171"/>
      <c r="AL526" s="1171"/>
      <c r="AM526" s="1171"/>
      <c r="AN526" s="1172"/>
    </row>
    <row r="527" spans="1:41">
      <c r="A527" s="1582" t="s">
        <v>1996</v>
      </c>
      <c r="B527" s="1583"/>
      <c r="C527" s="1583"/>
      <c r="D527" s="1584"/>
      <c r="E527" s="1567" t="s">
        <v>796</v>
      </c>
      <c r="F527" s="1567"/>
      <c r="G527" s="1567"/>
      <c r="H527" s="1567"/>
      <c r="I527" s="1567"/>
      <c r="J527" s="1567"/>
      <c r="K527" s="1567"/>
      <c r="L527" s="1567"/>
      <c r="M527" s="1567"/>
      <c r="N527" s="1567"/>
      <c r="O527" s="1567"/>
      <c r="P527" s="1567"/>
      <c r="Q527" s="1567"/>
      <c r="R527" s="1567"/>
      <c r="S527" s="1567"/>
      <c r="T527" s="1567"/>
      <c r="U527" s="1567"/>
      <c r="V527" s="1567"/>
      <c r="W527" s="1568" t="s">
        <v>1039</v>
      </c>
      <c r="X527" s="1569"/>
      <c r="Y527" s="1569"/>
      <c r="Z527" s="1569"/>
      <c r="AA527" s="1569"/>
      <c r="AB527" s="1569"/>
      <c r="AC527" s="1569"/>
      <c r="AD527" s="1569"/>
      <c r="AE527" s="1570"/>
      <c r="AF527" s="1571" t="s">
        <v>278</v>
      </c>
      <c r="AG527" s="1572"/>
      <c r="AH527" s="1572"/>
      <c r="AI527" s="1572"/>
      <c r="AJ527" s="1572"/>
      <c r="AK527" s="1572"/>
      <c r="AL527" s="1572"/>
      <c r="AM527" s="1572"/>
      <c r="AN527" s="1573"/>
      <c r="AO527" s="1187" t="s">
        <v>2766</v>
      </c>
    </row>
    <row r="528" spans="1:41">
      <c r="A528" s="1574" t="str">
        <f>unos!A263</f>
        <v>200</v>
      </c>
      <c r="B528" s="1575"/>
      <c r="C528" s="1575"/>
      <c r="D528" s="1576"/>
      <c r="E528" s="1558" t="str">
        <f>unos!B263</f>
        <v>Transakcijski račun -domaća valuta</v>
      </c>
      <c r="F528" s="1559"/>
      <c r="G528" s="1559"/>
      <c r="H528" s="1559"/>
      <c r="I528" s="1559"/>
      <c r="J528" s="1559"/>
      <c r="K528" s="1559"/>
      <c r="L528" s="1559"/>
      <c r="M528" s="1559"/>
      <c r="N528" s="1559"/>
      <c r="O528" s="1559"/>
      <c r="P528" s="1559"/>
      <c r="Q528" s="1559"/>
      <c r="R528" s="1559"/>
      <c r="S528" s="1559"/>
      <c r="T528" s="1559"/>
      <c r="U528" s="1559"/>
      <c r="V528" s="1559"/>
      <c r="W528" s="1560">
        <f>unos!C263</f>
        <v>0</v>
      </c>
      <c r="X528" s="1561"/>
      <c r="Y528" s="1561"/>
      <c r="Z528" s="1561"/>
      <c r="AA528" s="1561"/>
      <c r="AB528" s="1561"/>
      <c r="AC528" s="1561"/>
      <c r="AD528" s="1561"/>
      <c r="AE528" s="1562"/>
      <c r="AF528" s="1563">
        <f>unos!F263</f>
        <v>0</v>
      </c>
      <c r="AG528" s="1561"/>
      <c r="AH528" s="1561"/>
      <c r="AI528" s="1561"/>
      <c r="AJ528" s="1561"/>
      <c r="AK528" s="1561"/>
      <c r="AL528" s="1561"/>
      <c r="AM528" s="1561"/>
      <c r="AN528" s="1562"/>
      <c r="AO528" s="1184">
        <f>IF(OR(W528=0,AF528=0),0,ROUND(AF528/W528,4))</f>
        <v>0</v>
      </c>
    </row>
    <row r="529" spans="1:41">
      <c r="A529" s="1574" t="str">
        <f>unos!A264</f>
        <v>201</v>
      </c>
      <c r="B529" s="1575"/>
      <c r="C529" s="1575"/>
      <c r="D529" s="1576"/>
      <c r="E529" s="1558" t="str">
        <f>unos!B264</f>
        <v>Transakcijski račun -strana valuta</v>
      </c>
      <c r="F529" s="1559"/>
      <c r="G529" s="1559"/>
      <c r="H529" s="1559"/>
      <c r="I529" s="1559"/>
      <c r="J529" s="1559"/>
      <c r="K529" s="1559"/>
      <c r="L529" s="1559"/>
      <c r="M529" s="1559"/>
      <c r="N529" s="1559"/>
      <c r="O529" s="1559"/>
      <c r="P529" s="1559"/>
      <c r="Q529" s="1559"/>
      <c r="R529" s="1559"/>
      <c r="S529" s="1559"/>
      <c r="T529" s="1559"/>
      <c r="U529" s="1559"/>
      <c r="V529" s="1559"/>
      <c r="W529" s="1560">
        <f>unos!C264</f>
        <v>0</v>
      </c>
      <c r="X529" s="1561"/>
      <c r="Y529" s="1561"/>
      <c r="Z529" s="1561"/>
      <c r="AA529" s="1561"/>
      <c r="AB529" s="1561"/>
      <c r="AC529" s="1561"/>
      <c r="AD529" s="1561"/>
      <c r="AE529" s="1562"/>
      <c r="AF529" s="1563">
        <f>unos!F264</f>
        <v>0</v>
      </c>
      <c r="AG529" s="1561"/>
      <c r="AH529" s="1561"/>
      <c r="AI529" s="1561"/>
      <c r="AJ529" s="1561"/>
      <c r="AK529" s="1561"/>
      <c r="AL529" s="1561"/>
      <c r="AM529" s="1561"/>
      <c r="AN529" s="1562"/>
      <c r="AO529" s="1184">
        <f t="shared" ref="AO529:AO538" si="21">IF(OR(W529=0,AF529=0),0,ROUND(AF529/W529,4))</f>
        <v>0</v>
      </c>
    </row>
    <row r="530" spans="1:41">
      <c r="A530" s="1574" t="str">
        <f>unos!A265</f>
        <v>202</v>
      </c>
      <c r="B530" s="1575"/>
      <c r="C530" s="1575"/>
      <c r="D530" s="1576"/>
      <c r="E530" s="1558" t="str">
        <f>unos!B265</f>
        <v>Izdvojena novčana sredstva</v>
      </c>
      <c r="F530" s="1559"/>
      <c r="G530" s="1559"/>
      <c r="H530" s="1559"/>
      <c r="I530" s="1559"/>
      <c r="J530" s="1559"/>
      <c r="K530" s="1559"/>
      <c r="L530" s="1559"/>
      <c r="M530" s="1559"/>
      <c r="N530" s="1559"/>
      <c r="O530" s="1559"/>
      <c r="P530" s="1559"/>
      <c r="Q530" s="1559"/>
      <c r="R530" s="1559"/>
      <c r="S530" s="1559"/>
      <c r="T530" s="1559"/>
      <c r="U530" s="1559"/>
      <c r="V530" s="1559"/>
      <c r="W530" s="1560">
        <f>unos!C265</f>
        <v>0</v>
      </c>
      <c r="X530" s="1561"/>
      <c r="Y530" s="1561"/>
      <c r="Z530" s="1561"/>
      <c r="AA530" s="1561"/>
      <c r="AB530" s="1561"/>
      <c r="AC530" s="1561"/>
      <c r="AD530" s="1561"/>
      <c r="AE530" s="1562"/>
      <c r="AF530" s="1563">
        <f>unos!F265</f>
        <v>0</v>
      </c>
      <c r="AG530" s="1561"/>
      <c r="AH530" s="1561"/>
      <c r="AI530" s="1561"/>
      <c r="AJ530" s="1561"/>
      <c r="AK530" s="1561"/>
      <c r="AL530" s="1561"/>
      <c r="AM530" s="1561"/>
      <c r="AN530" s="1562"/>
      <c r="AO530" s="1184">
        <f t="shared" si="21"/>
        <v>0</v>
      </c>
    </row>
    <row r="531" spans="1:41">
      <c r="A531" s="1574" t="str">
        <f>unos!A266</f>
        <v>203</v>
      </c>
      <c r="B531" s="1575"/>
      <c r="C531" s="1575"/>
      <c r="D531" s="1576"/>
      <c r="E531" s="1558" t="str">
        <f>unos!B266</f>
        <v>Akreditivi - domaća valuta</v>
      </c>
      <c r="F531" s="1559"/>
      <c r="G531" s="1559"/>
      <c r="H531" s="1559"/>
      <c r="I531" s="1559"/>
      <c r="J531" s="1559"/>
      <c r="K531" s="1559"/>
      <c r="L531" s="1559"/>
      <c r="M531" s="1559"/>
      <c r="N531" s="1559"/>
      <c r="O531" s="1559"/>
      <c r="P531" s="1559"/>
      <c r="Q531" s="1559"/>
      <c r="R531" s="1559"/>
      <c r="S531" s="1559"/>
      <c r="T531" s="1559"/>
      <c r="U531" s="1559"/>
      <c r="V531" s="1559"/>
      <c r="W531" s="1560">
        <f>unos!C266</f>
        <v>0</v>
      </c>
      <c r="X531" s="1561"/>
      <c r="Y531" s="1561"/>
      <c r="Z531" s="1561"/>
      <c r="AA531" s="1561"/>
      <c r="AB531" s="1561"/>
      <c r="AC531" s="1561"/>
      <c r="AD531" s="1561"/>
      <c r="AE531" s="1562"/>
      <c r="AF531" s="1563">
        <f>unos!F266</f>
        <v>0</v>
      </c>
      <c r="AG531" s="1561"/>
      <c r="AH531" s="1561"/>
      <c r="AI531" s="1561"/>
      <c r="AJ531" s="1561"/>
      <c r="AK531" s="1561"/>
      <c r="AL531" s="1561"/>
      <c r="AM531" s="1561"/>
      <c r="AN531" s="1562"/>
      <c r="AO531" s="1184">
        <f t="shared" si="21"/>
        <v>0</v>
      </c>
    </row>
    <row r="532" spans="1:41">
      <c r="A532" s="1574" t="str">
        <f>unos!A267</f>
        <v>204</v>
      </c>
      <c r="B532" s="1575"/>
      <c r="C532" s="1575"/>
      <c r="D532" s="1576"/>
      <c r="E532" s="1558" t="str">
        <f>unos!B267</f>
        <v>Akreditivi - stana valuta</v>
      </c>
      <c r="F532" s="1559"/>
      <c r="G532" s="1559"/>
      <c r="H532" s="1559"/>
      <c r="I532" s="1559"/>
      <c r="J532" s="1559"/>
      <c r="K532" s="1559"/>
      <c r="L532" s="1559"/>
      <c r="M532" s="1559"/>
      <c r="N532" s="1559"/>
      <c r="O532" s="1559"/>
      <c r="P532" s="1559"/>
      <c r="Q532" s="1559"/>
      <c r="R532" s="1559"/>
      <c r="S532" s="1559"/>
      <c r="T532" s="1559"/>
      <c r="U532" s="1559"/>
      <c r="V532" s="1559"/>
      <c r="W532" s="1560">
        <f>unos!C267</f>
        <v>0</v>
      </c>
      <c r="X532" s="1561"/>
      <c r="Y532" s="1561"/>
      <c r="Z532" s="1561"/>
      <c r="AA532" s="1561"/>
      <c r="AB532" s="1561"/>
      <c r="AC532" s="1561"/>
      <c r="AD532" s="1561"/>
      <c r="AE532" s="1562"/>
      <c r="AF532" s="1563">
        <f>unos!F267</f>
        <v>0</v>
      </c>
      <c r="AG532" s="1561"/>
      <c r="AH532" s="1561"/>
      <c r="AI532" s="1561"/>
      <c r="AJ532" s="1561"/>
      <c r="AK532" s="1561"/>
      <c r="AL532" s="1561"/>
      <c r="AM532" s="1561"/>
      <c r="AN532" s="1562"/>
      <c r="AO532" s="1184">
        <f t="shared" si="21"/>
        <v>0</v>
      </c>
    </row>
    <row r="533" spans="1:41">
      <c r="A533" s="1574" t="str">
        <f>unos!A268</f>
        <v>205</v>
      </c>
      <c r="B533" s="1575"/>
      <c r="C533" s="1575"/>
      <c r="D533" s="1576"/>
      <c r="E533" s="1558" t="str">
        <f>unos!B268</f>
        <v>Blagajne - domaća valuta</v>
      </c>
      <c r="F533" s="1559"/>
      <c r="G533" s="1559"/>
      <c r="H533" s="1559"/>
      <c r="I533" s="1559"/>
      <c r="J533" s="1559"/>
      <c r="K533" s="1559"/>
      <c r="L533" s="1559"/>
      <c r="M533" s="1559"/>
      <c r="N533" s="1559"/>
      <c r="O533" s="1559"/>
      <c r="P533" s="1559"/>
      <c r="Q533" s="1559"/>
      <c r="R533" s="1559"/>
      <c r="S533" s="1559"/>
      <c r="T533" s="1559"/>
      <c r="U533" s="1559"/>
      <c r="V533" s="1559"/>
      <c r="W533" s="1560">
        <f>unos!C268</f>
        <v>0</v>
      </c>
      <c r="X533" s="1561"/>
      <c r="Y533" s="1561"/>
      <c r="Z533" s="1561"/>
      <c r="AA533" s="1561"/>
      <c r="AB533" s="1561"/>
      <c r="AC533" s="1561"/>
      <c r="AD533" s="1561"/>
      <c r="AE533" s="1562"/>
      <c r="AF533" s="1563">
        <f>unos!F268</f>
        <v>0</v>
      </c>
      <c r="AG533" s="1561"/>
      <c r="AH533" s="1561"/>
      <c r="AI533" s="1561"/>
      <c r="AJ533" s="1561"/>
      <c r="AK533" s="1561"/>
      <c r="AL533" s="1561"/>
      <c r="AM533" s="1561"/>
      <c r="AN533" s="1562"/>
      <c r="AO533" s="1184">
        <f t="shared" si="21"/>
        <v>0</v>
      </c>
    </row>
    <row r="534" spans="1:41">
      <c r="A534" s="1574" t="str">
        <f>unos!A269</f>
        <v>206</v>
      </c>
      <c r="B534" s="1575"/>
      <c r="C534" s="1575"/>
      <c r="D534" s="1576"/>
      <c r="E534" s="1558" t="str">
        <f>unos!B269</f>
        <v>Blagajna - strana valuta</v>
      </c>
      <c r="F534" s="1559"/>
      <c r="G534" s="1559"/>
      <c r="H534" s="1559"/>
      <c r="I534" s="1559"/>
      <c r="J534" s="1559"/>
      <c r="K534" s="1559"/>
      <c r="L534" s="1559"/>
      <c r="M534" s="1559"/>
      <c r="N534" s="1559"/>
      <c r="O534" s="1559"/>
      <c r="P534" s="1559"/>
      <c r="Q534" s="1559"/>
      <c r="R534" s="1559"/>
      <c r="S534" s="1559"/>
      <c r="T534" s="1559"/>
      <c r="U534" s="1559"/>
      <c r="V534" s="1559"/>
      <c r="W534" s="1560">
        <f>unos!C269</f>
        <v>0</v>
      </c>
      <c r="X534" s="1561"/>
      <c r="Y534" s="1561"/>
      <c r="Z534" s="1561"/>
      <c r="AA534" s="1561"/>
      <c r="AB534" s="1561"/>
      <c r="AC534" s="1561"/>
      <c r="AD534" s="1561"/>
      <c r="AE534" s="1562"/>
      <c r="AF534" s="1563">
        <f>unos!F269</f>
        <v>0</v>
      </c>
      <c r="AG534" s="1561"/>
      <c r="AH534" s="1561"/>
      <c r="AI534" s="1561"/>
      <c r="AJ534" s="1561"/>
      <c r="AK534" s="1561"/>
      <c r="AL534" s="1561"/>
      <c r="AM534" s="1561"/>
      <c r="AN534" s="1562"/>
      <c r="AO534" s="1184">
        <f t="shared" si="21"/>
        <v>0</v>
      </c>
    </row>
    <row r="535" spans="1:41">
      <c r="A535" s="1574" t="str">
        <f>unos!A270</f>
        <v>207</v>
      </c>
      <c r="B535" s="1575"/>
      <c r="C535" s="1575"/>
      <c r="D535" s="1576"/>
      <c r="E535" s="1558" t="str">
        <f>unos!B270</f>
        <v>Gotovinski ekvivalenti</v>
      </c>
      <c r="F535" s="1559"/>
      <c r="G535" s="1559"/>
      <c r="H535" s="1559"/>
      <c r="I535" s="1559"/>
      <c r="J535" s="1559"/>
      <c r="K535" s="1559"/>
      <c r="L535" s="1559"/>
      <c r="M535" s="1559"/>
      <c r="N535" s="1559"/>
      <c r="O535" s="1559"/>
      <c r="P535" s="1559"/>
      <c r="Q535" s="1559"/>
      <c r="R535" s="1559"/>
      <c r="S535" s="1559"/>
      <c r="T535" s="1559"/>
      <c r="U535" s="1559"/>
      <c r="V535" s="1559"/>
      <c r="W535" s="1560">
        <f>unos!C270</f>
        <v>0</v>
      </c>
      <c r="X535" s="1561"/>
      <c r="Y535" s="1561"/>
      <c r="Z535" s="1561"/>
      <c r="AA535" s="1561"/>
      <c r="AB535" s="1561"/>
      <c r="AC535" s="1561"/>
      <c r="AD535" s="1561"/>
      <c r="AE535" s="1562"/>
      <c r="AF535" s="1563">
        <f>unos!F270</f>
        <v>0</v>
      </c>
      <c r="AG535" s="1561"/>
      <c r="AH535" s="1561"/>
      <c r="AI535" s="1561"/>
      <c r="AJ535" s="1561"/>
      <c r="AK535" s="1561"/>
      <c r="AL535" s="1561"/>
      <c r="AM535" s="1561"/>
      <c r="AN535" s="1562"/>
      <c r="AO535" s="1184">
        <f t="shared" si="21"/>
        <v>0</v>
      </c>
    </row>
    <row r="536" spans="1:41">
      <c r="A536" s="1574" t="str">
        <f>unos!A271</f>
        <v>208</v>
      </c>
      <c r="B536" s="1575"/>
      <c r="C536" s="1575"/>
      <c r="D536" s="1576"/>
      <c r="E536" s="1558" t="str">
        <f>unos!B271</f>
        <v>Ostala novčana sredstva</v>
      </c>
      <c r="F536" s="1559"/>
      <c r="G536" s="1559"/>
      <c r="H536" s="1559"/>
      <c r="I536" s="1559"/>
      <c r="J536" s="1559"/>
      <c r="K536" s="1559"/>
      <c r="L536" s="1559"/>
      <c r="M536" s="1559"/>
      <c r="N536" s="1559"/>
      <c r="O536" s="1559"/>
      <c r="P536" s="1559"/>
      <c r="Q536" s="1559"/>
      <c r="R536" s="1559"/>
      <c r="S536" s="1559"/>
      <c r="T536" s="1559"/>
      <c r="U536" s="1559"/>
      <c r="V536" s="1559"/>
      <c r="W536" s="1560">
        <f>unos!C271</f>
        <v>0</v>
      </c>
      <c r="X536" s="1561"/>
      <c r="Y536" s="1561"/>
      <c r="Z536" s="1561"/>
      <c r="AA536" s="1561"/>
      <c r="AB536" s="1561"/>
      <c r="AC536" s="1561"/>
      <c r="AD536" s="1561"/>
      <c r="AE536" s="1562"/>
      <c r="AF536" s="1563">
        <f>unos!F271</f>
        <v>0</v>
      </c>
      <c r="AG536" s="1561"/>
      <c r="AH536" s="1561"/>
      <c r="AI536" s="1561"/>
      <c r="AJ536" s="1561"/>
      <c r="AK536" s="1561"/>
      <c r="AL536" s="1561"/>
      <c r="AM536" s="1561"/>
      <c r="AN536" s="1562"/>
      <c r="AO536" s="1184">
        <f t="shared" si="21"/>
        <v>0</v>
      </c>
    </row>
    <row r="537" spans="1:41">
      <c r="A537" s="1574" t="str">
        <f>unos!A272</f>
        <v>209</v>
      </c>
      <c r="B537" s="1575"/>
      <c r="C537" s="1575"/>
      <c r="D537" s="1576"/>
      <c r="E537" s="1558" t="str">
        <f>unos!B272</f>
        <v>Oročena novčana sredstva</v>
      </c>
      <c r="F537" s="1559"/>
      <c r="G537" s="1559"/>
      <c r="H537" s="1559"/>
      <c r="I537" s="1559"/>
      <c r="J537" s="1559"/>
      <c r="K537" s="1559"/>
      <c r="L537" s="1559"/>
      <c r="M537" s="1559"/>
      <c r="N537" s="1559"/>
      <c r="O537" s="1559"/>
      <c r="P537" s="1559"/>
      <c r="Q537" s="1559"/>
      <c r="R537" s="1559"/>
      <c r="S537" s="1559"/>
      <c r="T537" s="1559"/>
      <c r="U537" s="1559"/>
      <c r="V537" s="1559"/>
      <c r="W537" s="1560">
        <f>unos!C272</f>
        <v>0</v>
      </c>
      <c r="X537" s="1561"/>
      <c r="Y537" s="1561"/>
      <c r="Z537" s="1561"/>
      <c r="AA537" s="1561"/>
      <c r="AB537" s="1561"/>
      <c r="AC537" s="1561"/>
      <c r="AD537" s="1561"/>
      <c r="AE537" s="1562"/>
      <c r="AF537" s="1563">
        <f>unos!F272</f>
        <v>0</v>
      </c>
      <c r="AG537" s="1561"/>
      <c r="AH537" s="1561"/>
      <c r="AI537" s="1561"/>
      <c r="AJ537" s="1561"/>
      <c r="AK537" s="1561"/>
      <c r="AL537" s="1561"/>
      <c r="AM537" s="1561"/>
      <c r="AN537" s="1562"/>
      <c r="AO537" s="1184">
        <f t="shared" si="21"/>
        <v>0</v>
      </c>
    </row>
    <row r="538" spans="1:41">
      <c r="A538" s="1577"/>
      <c r="B538" s="1577"/>
      <c r="C538" s="1577"/>
      <c r="D538" s="1577"/>
      <c r="E538" s="1167"/>
      <c r="F538" s="1168"/>
      <c r="G538" s="1168"/>
      <c r="H538" s="1168"/>
      <c r="I538" s="1168"/>
      <c r="J538" s="1168"/>
      <c r="K538" s="1168"/>
      <c r="L538" s="1168"/>
      <c r="M538" s="1168"/>
      <c r="N538" s="1168"/>
      <c r="O538" s="1168"/>
      <c r="P538" s="1168"/>
      <c r="Q538" s="1168"/>
      <c r="R538" s="1168"/>
      <c r="S538" s="1167"/>
      <c r="T538" s="1167"/>
      <c r="U538" s="1167"/>
      <c r="V538" s="1169" t="s">
        <v>1997</v>
      </c>
      <c r="W538" s="1578">
        <f>SUM(W528:W537)</f>
        <v>0</v>
      </c>
      <c r="X538" s="1579"/>
      <c r="Y538" s="1579"/>
      <c r="Z538" s="1579"/>
      <c r="AA538" s="1579"/>
      <c r="AB538" s="1579"/>
      <c r="AC538" s="1579"/>
      <c r="AD538" s="1579"/>
      <c r="AE538" s="1580"/>
      <c r="AF538" s="1578">
        <f>SUM(AF528:AF537)</f>
        <v>0</v>
      </c>
      <c r="AG538" s="1579"/>
      <c r="AH538" s="1579"/>
      <c r="AI538" s="1579"/>
      <c r="AJ538" s="1579"/>
      <c r="AK538" s="1579"/>
      <c r="AL538" s="1579"/>
      <c r="AM538" s="1579"/>
      <c r="AN538" s="1580"/>
      <c r="AO538" s="1185">
        <f t="shared" si="21"/>
        <v>0</v>
      </c>
    </row>
    <row r="540" spans="1:41">
      <c r="A540" s="1581"/>
      <c r="B540" s="1581"/>
      <c r="C540" s="1581"/>
      <c r="D540" s="1581"/>
      <c r="E540" s="1581"/>
      <c r="F540" s="1581"/>
      <c r="G540" s="1581"/>
      <c r="H540" s="1581"/>
      <c r="I540" s="1581"/>
      <c r="J540" s="1581"/>
      <c r="K540" s="1581"/>
      <c r="L540" s="1581"/>
      <c r="M540" s="1581"/>
      <c r="N540" s="1581"/>
      <c r="O540" s="1581"/>
      <c r="P540" s="1581"/>
      <c r="Q540" s="1581"/>
      <c r="R540" s="1581"/>
      <c r="S540" s="1581"/>
      <c r="T540" s="1581"/>
      <c r="U540" s="1581"/>
      <c r="V540" s="1581"/>
      <c r="W540" s="1581"/>
      <c r="X540" s="1581"/>
      <c r="Y540" s="1581"/>
      <c r="Z540" s="1581"/>
      <c r="AA540" s="1581"/>
      <c r="AB540" s="1581"/>
      <c r="AC540" s="1581"/>
      <c r="AD540" s="1581"/>
      <c r="AE540" s="1581"/>
      <c r="AF540" s="1581"/>
      <c r="AG540" s="1581"/>
      <c r="AH540" s="1581"/>
      <c r="AI540" s="1581"/>
      <c r="AJ540" s="1581"/>
      <c r="AK540" s="1581"/>
      <c r="AL540" s="1581"/>
      <c r="AM540" s="1581"/>
      <c r="AN540" s="1581"/>
    </row>
    <row r="541" spans="1:41">
      <c r="A541" s="1581"/>
      <c r="B541" s="1581"/>
      <c r="C541" s="1581"/>
      <c r="D541" s="1581"/>
      <c r="E541" s="1581"/>
      <c r="F541" s="1581"/>
      <c r="G541" s="1581"/>
      <c r="H541" s="1581"/>
      <c r="I541" s="1581"/>
      <c r="J541" s="1581"/>
      <c r="K541" s="1581"/>
      <c r="L541" s="1581"/>
      <c r="M541" s="1581"/>
      <c r="N541" s="1581"/>
      <c r="O541" s="1581"/>
      <c r="P541" s="1581"/>
      <c r="Q541" s="1581"/>
      <c r="R541" s="1581"/>
      <c r="S541" s="1581"/>
      <c r="T541" s="1581"/>
      <c r="U541" s="1581"/>
      <c r="V541" s="1581"/>
      <c r="W541" s="1581"/>
      <c r="X541" s="1581"/>
      <c r="Y541" s="1581"/>
      <c r="Z541" s="1581"/>
      <c r="AA541" s="1581"/>
      <c r="AB541" s="1581"/>
      <c r="AC541" s="1581"/>
      <c r="AD541" s="1581"/>
      <c r="AE541" s="1581"/>
      <c r="AF541" s="1581"/>
      <c r="AG541" s="1581"/>
      <c r="AH541" s="1581"/>
      <c r="AI541" s="1581"/>
      <c r="AJ541" s="1581"/>
      <c r="AK541" s="1581"/>
      <c r="AL541" s="1581"/>
      <c r="AM541" s="1581"/>
      <c r="AN541" s="1581"/>
    </row>
    <row r="542" spans="1:41">
      <c r="A542" s="1581"/>
      <c r="B542" s="1581"/>
      <c r="C542" s="1581"/>
      <c r="D542" s="1581"/>
      <c r="E542" s="1581"/>
      <c r="F542" s="1581"/>
      <c r="G542" s="1581"/>
      <c r="H542" s="1581"/>
      <c r="I542" s="1581"/>
      <c r="J542" s="1581"/>
      <c r="K542" s="1581"/>
      <c r="L542" s="1581"/>
      <c r="M542" s="1581"/>
      <c r="N542" s="1581"/>
      <c r="O542" s="1581"/>
      <c r="P542" s="1581"/>
      <c r="Q542" s="1581"/>
      <c r="R542" s="1581"/>
      <c r="S542" s="1581"/>
      <c r="T542" s="1581"/>
      <c r="U542" s="1581"/>
      <c r="V542" s="1581"/>
      <c r="W542" s="1581"/>
      <c r="X542" s="1581"/>
      <c r="Y542" s="1581"/>
      <c r="Z542" s="1581"/>
      <c r="AA542" s="1581"/>
      <c r="AB542" s="1581"/>
      <c r="AC542" s="1581"/>
      <c r="AD542" s="1581"/>
      <c r="AE542" s="1581"/>
      <c r="AF542" s="1581"/>
      <c r="AG542" s="1581"/>
      <c r="AH542" s="1581"/>
      <c r="AI542" s="1581"/>
      <c r="AJ542" s="1581"/>
      <c r="AK542" s="1581"/>
      <c r="AL542" s="1581"/>
      <c r="AM542" s="1581"/>
      <c r="AN542" s="1581"/>
    </row>
    <row r="543" spans="1:41">
      <c r="A543" s="1581"/>
      <c r="B543" s="1581"/>
      <c r="C543" s="1581"/>
      <c r="D543" s="1581"/>
      <c r="E543" s="1581"/>
      <c r="F543" s="1581"/>
      <c r="G543" s="1581"/>
      <c r="H543" s="1581"/>
      <c r="I543" s="1581"/>
      <c r="J543" s="1581"/>
      <c r="K543" s="1581"/>
      <c r="L543" s="1581"/>
      <c r="M543" s="1581"/>
      <c r="N543" s="1581"/>
      <c r="O543" s="1581"/>
      <c r="P543" s="1581"/>
      <c r="Q543" s="1581"/>
      <c r="R543" s="1581"/>
      <c r="S543" s="1581"/>
      <c r="T543" s="1581"/>
      <c r="U543" s="1581"/>
      <c r="V543" s="1581"/>
      <c r="W543" s="1581"/>
      <c r="X543" s="1581"/>
      <c r="Y543" s="1581"/>
      <c r="Z543" s="1581"/>
      <c r="AA543" s="1581"/>
      <c r="AB543" s="1581"/>
      <c r="AC543" s="1581"/>
      <c r="AD543" s="1581"/>
      <c r="AE543" s="1581"/>
      <c r="AF543" s="1581"/>
      <c r="AG543" s="1581"/>
      <c r="AH543" s="1581"/>
      <c r="AI543" s="1581"/>
      <c r="AJ543" s="1581"/>
      <c r="AK543" s="1581"/>
      <c r="AL543" s="1581"/>
      <c r="AM543" s="1581"/>
      <c r="AN543" s="1581"/>
    </row>
    <row r="545" spans="1:41" ht="12.75" customHeight="1">
      <c r="A545" s="828" t="s">
        <v>1933</v>
      </c>
      <c r="B545" s="828" t="s">
        <v>67</v>
      </c>
    </row>
    <row r="547" spans="1:41" ht="14.25" customHeight="1">
      <c r="W547" s="1170" t="s">
        <v>1995</v>
      </c>
      <c r="X547" s="1171"/>
      <c r="Y547" s="1171"/>
      <c r="Z547" s="1171"/>
      <c r="AA547" s="1171"/>
      <c r="AB547" s="1171"/>
      <c r="AC547" s="1171"/>
      <c r="AD547" s="1171"/>
      <c r="AE547" s="1171"/>
      <c r="AF547" s="1171"/>
      <c r="AG547" s="1171"/>
      <c r="AH547" s="1171"/>
      <c r="AI547" s="1171"/>
      <c r="AJ547" s="1171"/>
      <c r="AK547" s="1171"/>
      <c r="AL547" s="1171"/>
      <c r="AM547" s="1171"/>
      <c r="AN547" s="1172"/>
    </row>
    <row r="548" spans="1:41">
      <c r="A548" s="1582" t="s">
        <v>1996</v>
      </c>
      <c r="B548" s="1583"/>
      <c r="C548" s="1583"/>
      <c r="D548" s="1584"/>
      <c r="E548" s="1567" t="s">
        <v>796</v>
      </c>
      <c r="F548" s="1567"/>
      <c r="G548" s="1567"/>
      <c r="H548" s="1567"/>
      <c r="I548" s="1567"/>
      <c r="J548" s="1567"/>
      <c r="K548" s="1567"/>
      <c r="L548" s="1567"/>
      <c r="M548" s="1567"/>
      <c r="N548" s="1567"/>
      <c r="O548" s="1567"/>
      <c r="P548" s="1567"/>
      <c r="Q548" s="1567"/>
      <c r="R548" s="1567"/>
      <c r="S548" s="1567"/>
      <c r="T548" s="1567"/>
      <c r="U548" s="1567"/>
      <c r="V548" s="1567"/>
      <c r="W548" s="1568" t="s">
        <v>1039</v>
      </c>
      <c r="X548" s="1569"/>
      <c r="Y548" s="1569"/>
      <c r="Z548" s="1569"/>
      <c r="AA548" s="1569"/>
      <c r="AB548" s="1569"/>
      <c r="AC548" s="1569"/>
      <c r="AD548" s="1569"/>
      <c r="AE548" s="1570"/>
      <c r="AF548" s="1571" t="s">
        <v>278</v>
      </c>
      <c r="AG548" s="1572"/>
      <c r="AH548" s="1572"/>
      <c r="AI548" s="1572"/>
      <c r="AJ548" s="1572"/>
      <c r="AK548" s="1572"/>
      <c r="AL548" s="1572"/>
      <c r="AM548" s="1572"/>
      <c r="AN548" s="1573"/>
      <c r="AO548" s="1187" t="s">
        <v>2766</v>
      </c>
    </row>
    <row r="549" spans="1:41">
      <c r="A549" s="1574" t="str">
        <f>unos!A273</f>
        <v>210</v>
      </c>
      <c r="B549" s="1575"/>
      <c r="C549" s="1575"/>
      <c r="D549" s="1576"/>
      <c r="E549" s="1558" t="str">
        <f>unos!B273</f>
        <v>Kupci - povezana pravna lica</v>
      </c>
      <c r="F549" s="1559"/>
      <c r="G549" s="1559"/>
      <c r="H549" s="1559"/>
      <c r="I549" s="1559"/>
      <c r="J549" s="1559"/>
      <c r="K549" s="1559"/>
      <c r="L549" s="1559"/>
      <c r="M549" s="1559"/>
      <c r="N549" s="1559"/>
      <c r="O549" s="1559"/>
      <c r="P549" s="1559"/>
      <c r="Q549" s="1559"/>
      <c r="R549" s="1559"/>
      <c r="S549" s="1559"/>
      <c r="T549" s="1559"/>
      <c r="U549" s="1559"/>
      <c r="V549" s="1559"/>
      <c r="W549" s="1560">
        <f>unos!C273</f>
        <v>0</v>
      </c>
      <c r="X549" s="1561"/>
      <c r="Y549" s="1561"/>
      <c r="Z549" s="1561"/>
      <c r="AA549" s="1561"/>
      <c r="AB549" s="1561"/>
      <c r="AC549" s="1561"/>
      <c r="AD549" s="1561"/>
      <c r="AE549" s="1562"/>
      <c r="AF549" s="1563">
        <f>unos!F273</f>
        <v>0</v>
      </c>
      <c r="AG549" s="1561"/>
      <c r="AH549" s="1561"/>
      <c r="AI549" s="1561"/>
      <c r="AJ549" s="1561"/>
      <c r="AK549" s="1561"/>
      <c r="AL549" s="1561"/>
      <c r="AM549" s="1561"/>
      <c r="AN549" s="1562"/>
      <c r="AO549" s="1184">
        <f>IF(OR(W549=0,AF549=0),0,ROUND(AF549/W549,4))</f>
        <v>0</v>
      </c>
    </row>
    <row r="550" spans="1:41">
      <c r="A550" s="1574" t="str">
        <f>unos!A274</f>
        <v>211</v>
      </c>
      <c r="B550" s="1575"/>
      <c r="C550" s="1575"/>
      <c r="D550" s="1576"/>
      <c r="E550" s="1558" t="str">
        <f>unos!B274</f>
        <v>Kupci u zemlji</v>
      </c>
      <c r="F550" s="1559"/>
      <c r="G550" s="1559"/>
      <c r="H550" s="1559"/>
      <c r="I550" s="1559"/>
      <c r="J550" s="1559"/>
      <c r="K550" s="1559"/>
      <c r="L550" s="1559"/>
      <c r="M550" s="1559"/>
      <c r="N550" s="1559"/>
      <c r="O550" s="1559"/>
      <c r="P550" s="1559"/>
      <c r="Q550" s="1559"/>
      <c r="R550" s="1559"/>
      <c r="S550" s="1559"/>
      <c r="T550" s="1559"/>
      <c r="U550" s="1559"/>
      <c r="V550" s="1559"/>
      <c r="W550" s="1560">
        <f>unos!C274</f>
        <v>0</v>
      </c>
      <c r="X550" s="1561"/>
      <c r="Y550" s="1561"/>
      <c r="Z550" s="1561"/>
      <c r="AA550" s="1561"/>
      <c r="AB550" s="1561"/>
      <c r="AC550" s="1561"/>
      <c r="AD550" s="1561"/>
      <c r="AE550" s="1562"/>
      <c r="AF550" s="1563">
        <f>unos!F274</f>
        <v>0</v>
      </c>
      <c r="AG550" s="1561"/>
      <c r="AH550" s="1561"/>
      <c r="AI550" s="1561"/>
      <c r="AJ550" s="1561"/>
      <c r="AK550" s="1561"/>
      <c r="AL550" s="1561"/>
      <c r="AM550" s="1561"/>
      <c r="AN550" s="1562"/>
      <c r="AO550" s="1184">
        <f>IF(OR(W550=0,AF550=0),0,ROUND(AF550/W550,4))</f>
        <v>0</v>
      </c>
    </row>
    <row r="551" spans="1:41">
      <c r="A551" s="1574" t="str">
        <f>unos!A275</f>
        <v>212</v>
      </c>
      <c r="B551" s="1575"/>
      <c r="C551" s="1575"/>
      <c r="D551" s="1576"/>
      <c r="E551" s="1558" t="str">
        <f>unos!B275</f>
        <v>Kupci u inostranstvu</v>
      </c>
      <c r="F551" s="1559"/>
      <c r="G551" s="1559"/>
      <c r="H551" s="1559"/>
      <c r="I551" s="1559"/>
      <c r="J551" s="1559"/>
      <c r="K551" s="1559"/>
      <c r="L551" s="1559"/>
      <c r="M551" s="1559"/>
      <c r="N551" s="1559"/>
      <c r="O551" s="1559"/>
      <c r="P551" s="1559"/>
      <c r="Q551" s="1559"/>
      <c r="R551" s="1559"/>
      <c r="S551" s="1559"/>
      <c r="T551" s="1559"/>
      <c r="U551" s="1559"/>
      <c r="V551" s="1559"/>
      <c r="W551" s="1560">
        <f>unos!C275</f>
        <v>0</v>
      </c>
      <c r="X551" s="1561"/>
      <c r="Y551" s="1561"/>
      <c r="Z551" s="1561"/>
      <c r="AA551" s="1561"/>
      <c r="AB551" s="1561"/>
      <c r="AC551" s="1561"/>
      <c r="AD551" s="1561"/>
      <c r="AE551" s="1562"/>
      <c r="AF551" s="1563">
        <f>unos!F275</f>
        <v>0</v>
      </c>
      <c r="AG551" s="1561"/>
      <c r="AH551" s="1561"/>
      <c r="AI551" s="1561"/>
      <c r="AJ551" s="1561"/>
      <c r="AK551" s="1561"/>
      <c r="AL551" s="1561"/>
      <c r="AM551" s="1561"/>
      <c r="AN551" s="1562"/>
      <c r="AO551" s="1184">
        <f>IF(OR(W551=0,AF551=0),0,ROUND(AF551/W551,4))</f>
        <v>0</v>
      </c>
    </row>
    <row r="552" spans="1:41">
      <c r="A552" s="1574" t="str">
        <f>unos!A276</f>
        <v>219</v>
      </c>
      <c r="B552" s="1586"/>
      <c r="C552" s="1586"/>
      <c r="D552" s="1587"/>
      <c r="E552" s="1558" t="str">
        <f>unos!B276</f>
        <v xml:space="preserve">Ispravka vrijednosti potraž. </v>
      </c>
      <c r="F552" s="1559"/>
      <c r="G552" s="1559"/>
      <c r="H552" s="1559"/>
      <c r="I552" s="1559"/>
      <c r="J552" s="1559"/>
      <c r="K552" s="1559"/>
      <c r="L552" s="1559"/>
      <c r="M552" s="1559"/>
      <c r="N552" s="1559"/>
      <c r="O552" s="1559"/>
      <c r="P552" s="1559"/>
      <c r="Q552" s="1559"/>
      <c r="R552" s="1559"/>
      <c r="S552" s="1559"/>
      <c r="T552" s="1559"/>
      <c r="U552" s="1559"/>
      <c r="V552" s="1559"/>
      <c r="W552" s="1560">
        <f>SUM(unos!D273:D275)</f>
        <v>0</v>
      </c>
      <c r="X552" s="1561"/>
      <c r="Y552" s="1561"/>
      <c r="Z552" s="1561"/>
      <c r="AA552" s="1561"/>
      <c r="AB552" s="1561"/>
      <c r="AC552" s="1561"/>
      <c r="AD552" s="1561"/>
      <c r="AE552" s="1562"/>
      <c r="AF552" s="1563">
        <f>SUM(unos!G273:G275)</f>
        <v>0</v>
      </c>
      <c r="AG552" s="1561"/>
      <c r="AH552" s="1561"/>
      <c r="AI552" s="1561"/>
      <c r="AJ552" s="1561"/>
      <c r="AK552" s="1561"/>
      <c r="AL552" s="1561"/>
      <c r="AM552" s="1561"/>
      <c r="AN552" s="1562"/>
      <c r="AO552" s="1184">
        <f>IF(OR(W552=0,AF552=0),0,ROUND(AF552/W552,4))</f>
        <v>0</v>
      </c>
    </row>
    <row r="553" spans="1:41">
      <c r="A553" s="1577"/>
      <c r="B553" s="1577"/>
      <c r="C553" s="1577"/>
      <c r="D553" s="1577"/>
      <c r="E553" s="1167"/>
      <c r="F553" s="1168"/>
      <c r="G553" s="1168"/>
      <c r="H553" s="1168"/>
      <c r="I553" s="1168"/>
      <c r="J553" s="1168"/>
      <c r="K553" s="1168"/>
      <c r="L553" s="1168"/>
      <c r="M553" s="1168"/>
      <c r="N553" s="1168"/>
      <c r="O553" s="1168"/>
      <c r="P553" s="1168"/>
      <c r="Q553" s="1168"/>
      <c r="R553" s="1168"/>
      <c r="S553" s="1167"/>
      <c r="T553" s="1167"/>
      <c r="U553" s="1167"/>
      <c r="V553" s="1169" t="s">
        <v>1997</v>
      </c>
      <c r="W553" s="1578">
        <f>SUM(W549:W552)</f>
        <v>0</v>
      </c>
      <c r="X553" s="1579"/>
      <c r="Y553" s="1579"/>
      <c r="Z553" s="1579"/>
      <c r="AA553" s="1579"/>
      <c r="AB553" s="1579"/>
      <c r="AC553" s="1579"/>
      <c r="AD553" s="1579"/>
      <c r="AE553" s="1580"/>
      <c r="AF553" s="1578">
        <f>SUM(AF549:AF552)</f>
        <v>0</v>
      </c>
      <c r="AG553" s="1579"/>
      <c r="AH553" s="1579"/>
      <c r="AI553" s="1579"/>
      <c r="AJ553" s="1579"/>
      <c r="AK553" s="1579"/>
      <c r="AL553" s="1579"/>
      <c r="AM553" s="1579"/>
      <c r="AN553" s="1580"/>
      <c r="AO553" s="1185">
        <f>IF(OR(W553=0,AF553=0),0,ROUND(AF553/W553,4))</f>
        <v>0</v>
      </c>
    </row>
    <row r="555" spans="1:41">
      <c r="A555" s="1581"/>
      <c r="B555" s="1581"/>
      <c r="C555" s="1581"/>
      <c r="D555" s="1581"/>
      <c r="E555" s="1581"/>
      <c r="F555" s="1581"/>
      <c r="G555" s="1581"/>
      <c r="H555" s="1581"/>
      <c r="I555" s="1581"/>
      <c r="J555" s="1581"/>
      <c r="K555" s="1581"/>
      <c r="L555" s="1581"/>
      <c r="M555" s="1581"/>
      <c r="N555" s="1581"/>
      <c r="O555" s="1581"/>
      <c r="P555" s="1581"/>
      <c r="Q555" s="1581"/>
      <c r="R555" s="1581"/>
      <c r="S555" s="1581"/>
      <c r="T555" s="1581"/>
      <c r="U555" s="1581"/>
      <c r="V555" s="1581"/>
      <c r="W555" s="1581"/>
      <c r="X555" s="1581"/>
      <c r="Y555" s="1581"/>
      <c r="Z555" s="1581"/>
      <c r="AA555" s="1581"/>
      <c r="AB555" s="1581"/>
      <c r="AC555" s="1581"/>
      <c r="AD555" s="1581"/>
      <c r="AE555" s="1581"/>
      <c r="AF555" s="1581"/>
      <c r="AG555" s="1581"/>
      <c r="AH555" s="1581"/>
      <c r="AI555" s="1581"/>
      <c r="AJ555" s="1581"/>
      <c r="AK555" s="1581"/>
      <c r="AL555" s="1581"/>
      <c r="AM555" s="1581"/>
      <c r="AN555" s="1581"/>
    </row>
    <row r="556" spans="1:41">
      <c r="A556" s="1581"/>
      <c r="B556" s="1581"/>
      <c r="C556" s="1581"/>
      <c r="D556" s="1581"/>
      <c r="E556" s="1581"/>
      <c r="F556" s="1581"/>
      <c r="G556" s="1581"/>
      <c r="H556" s="1581"/>
      <c r="I556" s="1581"/>
      <c r="J556" s="1581"/>
      <c r="K556" s="1581"/>
      <c r="L556" s="1581"/>
      <c r="M556" s="1581"/>
      <c r="N556" s="1581"/>
      <c r="O556" s="1581"/>
      <c r="P556" s="1581"/>
      <c r="Q556" s="1581"/>
      <c r="R556" s="1581"/>
      <c r="S556" s="1581"/>
      <c r="T556" s="1581"/>
      <c r="U556" s="1581"/>
      <c r="V556" s="1581"/>
      <c r="W556" s="1581"/>
      <c r="X556" s="1581"/>
      <c r="Y556" s="1581"/>
      <c r="Z556" s="1581"/>
      <c r="AA556" s="1581"/>
      <c r="AB556" s="1581"/>
      <c r="AC556" s="1581"/>
      <c r="AD556" s="1581"/>
      <c r="AE556" s="1581"/>
      <c r="AF556" s="1581"/>
      <c r="AG556" s="1581"/>
      <c r="AH556" s="1581"/>
      <c r="AI556" s="1581"/>
      <c r="AJ556" s="1581"/>
      <c r="AK556" s="1581"/>
      <c r="AL556" s="1581"/>
      <c r="AM556" s="1581"/>
      <c r="AN556" s="1581"/>
    </row>
    <row r="557" spans="1:41">
      <c r="A557" s="1581"/>
      <c r="B557" s="1581"/>
      <c r="C557" s="1581"/>
      <c r="D557" s="1581"/>
      <c r="E557" s="1581"/>
      <c r="F557" s="1581"/>
      <c r="G557" s="1581"/>
      <c r="H557" s="1581"/>
      <c r="I557" s="1581"/>
      <c r="J557" s="1581"/>
      <c r="K557" s="1581"/>
      <c r="L557" s="1581"/>
      <c r="M557" s="1581"/>
      <c r="N557" s="1581"/>
      <c r="O557" s="1581"/>
      <c r="P557" s="1581"/>
      <c r="Q557" s="1581"/>
      <c r="R557" s="1581"/>
      <c r="S557" s="1581"/>
      <c r="T557" s="1581"/>
      <c r="U557" s="1581"/>
      <c r="V557" s="1581"/>
      <c r="W557" s="1581"/>
      <c r="X557" s="1581"/>
      <c r="Y557" s="1581"/>
      <c r="Z557" s="1581"/>
      <c r="AA557" s="1581"/>
      <c r="AB557" s="1581"/>
      <c r="AC557" s="1581"/>
      <c r="AD557" s="1581"/>
      <c r="AE557" s="1581"/>
      <c r="AF557" s="1581"/>
      <c r="AG557" s="1581"/>
      <c r="AH557" s="1581"/>
      <c r="AI557" s="1581"/>
      <c r="AJ557" s="1581"/>
      <c r="AK557" s="1581"/>
      <c r="AL557" s="1581"/>
      <c r="AM557" s="1581"/>
      <c r="AN557" s="1581"/>
    </row>
    <row r="558" spans="1:41">
      <c r="A558" s="1581"/>
      <c r="B558" s="1581"/>
      <c r="C558" s="1581"/>
      <c r="D558" s="1581"/>
      <c r="E558" s="1581"/>
      <c r="F558" s="1581"/>
      <c r="G558" s="1581"/>
      <c r="H558" s="1581"/>
      <c r="I558" s="1581"/>
      <c r="J558" s="1581"/>
      <c r="K558" s="1581"/>
      <c r="L558" s="1581"/>
      <c r="M558" s="1581"/>
      <c r="N558" s="1581"/>
      <c r="O558" s="1581"/>
      <c r="P558" s="1581"/>
      <c r="Q558" s="1581"/>
      <c r="R558" s="1581"/>
      <c r="S558" s="1581"/>
      <c r="T558" s="1581"/>
      <c r="U558" s="1581"/>
      <c r="V558" s="1581"/>
      <c r="W558" s="1581"/>
      <c r="X558" s="1581"/>
      <c r="Y558" s="1581"/>
      <c r="Z558" s="1581"/>
      <c r="AA558" s="1581"/>
      <c r="AB558" s="1581"/>
      <c r="AC558" s="1581"/>
      <c r="AD558" s="1581"/>
      <c r="AE558" s="1581"/>
      <c r="AF558" s="1581"/>
      <c r="AG558" s="1581"/>
      <c r="AH558" s="1581"/>
      <c r="AI558" s="1581"/>
      <c r="AJ558" s="1581"/>
      <c r="AK558" s="1581"/>
      <c r="AL558" s="1581"/>
      <c r="AM558" s="1581"/>
      <c r="AN558" s="1581"/>
    </row>
    <row r="559" spans="1:41" ht="12.75" customHeight="1">
      <c r="A559" s="828" t="s">
        <v>1933</v>
      </c>
      <c r="B559" s="828" t="s">
        <v>68</v>
      </c>
    </row>
    <row r="561" spans="1:41" ht="14.25" customHeight="1">
      <c r="W561" s="1170" t="s">
        <v>1995</v>
      </c>
      <c r="X561" s="1171"/>
      <c r="Y561" s="1171"/>
      <c r="Z561" s="1171"/>
      <c r="AA561" s="1171"/>
      <c r="AB561" s="1171"/>
      <c r="AC561" s="1171"/>
      <c r="AD561" s="1171"/>
      <c r="AE561" s="1171"/>
      <c r="AF561" s="1171"/>
      <c r="AG561" s="1171"/>
      <c r="AH561" s="1171"/>
      <c r="AI561" s="1171"/>
      <c r="AJ561" s="1171"/>
      <c r="AK561" s="1171"/>
      <c r="AL561" s="1171"/>
      <c r="AM561" s="1171"/>
      <c r="AN561" s="1172"/>
    </row>
    <row r="562" spans="1:41">
      <c r="A562" s="1582" t="s">
        <v>1996</v>
      </c>
      <c r="B562" s="1583"/>
      <c r="C562" s="1583"/>
      <c r="D562" s="1584"/>
      <c r="E562" s="1567" t="s">
        <v>796</v>
      </c>
      <c r="F562" s="1567"/>
      <c r="G562" s="1567"/>
      <c r="H562" s="1567"/>
      <c r="I562" s="1567"/>
      <c r="J562" s="1567"/>
      <c r="K562" s="1567"/>
      <c r="L562" s="1567"/>
      <c r="M562" s="1567"/>
      <c r="N562" s="1567"/>
      <c r="O562" s="1567"/>
      <c r="P562" s="1567"/>
      <c r="Q562" s="1567"/>
      <c r="R562" s="1567"/>
      <c r="S562" s="1567"/>
      <c r="T562" s="1567"/>
      <c r="U562" s="1567"/>
      <c r="V562" s="1567"/>
      <c r="W562" s="1568" t="s">
        <v>1039</v>
      </c>
      <c r="X562" s="1569"/>
      <c r="Y562" s="1569"/>
      <c r="Z562" s="1569"/>
      <c r="AA562" s="1569"/>
      <c r="AB562" s="1569"/>
      <c r="AC562" s="1569"/>
      <c r="AD562" s="1569"/>
      <c r="AE562" s="1570"/>
      <c r="AF562" s="1571" t="s">
        <v>278</v>
      </c>
      <c r="AG562" s="1572"/>
      <c r="AH562" s="1572"/>
      <c r="AI562" s="1572"/>
      <c r="AJ562" s="1572"/>
      <c r="AK562" s="1572"/>
      <c r="AL562" s="1572"/>
      <c r="AM562" s="1572"/>
      <c r="AN562" s="1573"/>
      <c r="AO562" s="1187" t="s">
        <v>2766</v>
      </c>
    </row>
    <row r="563" spans="1:41">
      <c r="A563" s="1574" t="str">
        <f>unos!A277</f>
        <v>220</v>
      </c>
      <c r="B563" s="1575"/>
      <c r="C563" s="1575"/>
      <c r="D563" s="1576"/>
      <c r="E563" s="1558" t="str">
        <f>unos!B277</f>
        <v>Potraživanja od izvoznika</v>
      </c>
      <c r="F563" s="1559"/>
      <c r="G563" s="1559"/>
      <c r="H563" s="1559"/>
      <c r="I563" s="1559"/>
      <c r="J563" s="1559"/>
      <c r="K563" s="1559"/>
      <c r="L563" s="1559"/>
      <c r="M563" s="1559"/>
      <c r="N563" s="1559"/>
      <c r="O563" s="1559"/>
      <c r="P563" s="1559"/>
      <c r="Q563" s="1559"/>
      <c r="R563" s="1559"/>
      <c r="S563" s="1559"/>
      <c r="T563" s="1559"/>
      <c r="U563" s="1559"/>
      <c r="V563" s="1559"/>
      <c r="W563" s="1560">
        <f>unos!C277</f>
        <v>0</v>
      </c>
      <c r="X563" s="1561"/>
      <c r="Y563" s="1561"/>
      <c r="Z563" s="1561"/>
      <c r="AA563" s="1561"/>
      <c r="AB563" s="1561"/>
      <c r="AC563" s="1561"/>
      <c r="AD563" s="1561"/>
      <c r="AE563" s="1562"/>
      <c r="AF563" s="1563">
        <f>unos!F277</f>
        <v>0</v>
      </c>
      <c r="AG563" s="1561"/>
      <c r="AH563" s="1561"/>
      <c r="AI563" s="1561"/>
      <c r="AJ563" s="1561"/>
      <c r="AK563" s="1561"/>
      <c r="AL563" s="1561"/>
      <c r="AM563" s="1561"/>
      <c r="AN563" s="1562"/>
      <c r="AO563" s="1184">
        <f>IF(OR(W563=0,AF563=0),0,ROUND(AF563/W563,4))</f>
        <v>0</v>
      </c>
    </row>
    <row r="564" spans="1:41">
      <c r="A564" s="1574" t="str">
        <f>unos!A278</f>
        <v>221</v>
      </c>
      <c r="B564" s="1575"/>
      <c r="C564" s="1575"/>
      <c r="D564" s="1576"/>
      <c r="E564" s="1558" t="str">
        <f>unos!B278</f>
        <v>Potraživanja od uvoznika za tuđi račun</v>
      </c>
      <c r="F564" s="1559"/>
      <c r="G564" s="1559"/>
      <c r="H564" s="1559"/>
      <c r="I564" s="1559"/>
      <c r="J564" s="1559"/>
      <c r="K564" s="1559"/>
      <c r="L564" s="1559"/>
      <c r="M564" s="1559"/>
      <c r="N564" s="1559"/>
      <c r="O564" s="1559"/>
      <c r="P564" s="1559"/>
      <c r="Q564" s="1559"/>
      <c r="R564" s="1559"/>
      <c r="S564" s="1559"/>
      <c r="T564" s="1559"/>
      <c r="U564" s="1559"/>
      <c r="V564" s="1559"/>
      <c r="W564" s="1560">
        <f>unos!C278</f>
        <v>0</v>
      </c>
      <c r="X564" s="1561"/>
      <c r="Y564" s="1561"/>
      <c r="Z564" s="1561"/>
      <c r="AA564" s="1561"/>
      <c r="AB564" s="1561"/>
      <c r="AC564" s="1561"/>
      <c r="AD564" s="1561"/>
      <c r="AE564" s="1562"/>
      <c r="AF564" s="1563">
        <f>unos!F278</f>
        <v>0</v>
      </c>
      <c r="AG564" s="1561"/>
      <c r="AH564" s="1561"/>
      <c r="AI564" s="1561"/>
      <c r="AJ564" s="1561"/>
      <c r="AK564" s="1561"/>
      <c r="AL564" s="1561"/>
      <c r="AM564" s="1561"/>
      <c r="AN564" s="1562"/>
      <c r="AO564" s="1184">
        <f t="shared" ref="AO564:AO569" si="22">IF(OR(W564=0,AF564=0),0,ROUND(AF564/W564,4))</f>
        <v>0</v>
      </c>
    </row>
    <row r="565" spans="1:41">
      <c r="A565" s="1574" t="str">
        <f>unos!A279</f>
        <v>222</v>
      </c>
      <c r="B565" s="1575"/>
      <c r="C565" s="1575"/>
      <c r="D565" s="1576"/>
      <c r="E565" s="1558" t="str">
        <f>unos!B279</f>
        <v>Potraž.po osnovu konsign. i komision.prodaje</v>
      </c>
      <c r="F565" s="1559"/>
      <c r="G565" s="1559"/>
      <c r="H565" s="1559"/>
      <c r="I565" s="1559"/>
      <c r="J565" s="1559"/>
      <c r="K565" s="1559"/>
      <c r="L565" s="1559"/>
      <c r="M565" s="1559"/>
      <c r="N565" s="1559"/>
      <c r="O565" s="1559"/>
      <c r="P565" s="1559"/>
      <c r="Q565" s="1559"/>
      <c r="R565" s="1559"/>
      <c r="S565" s="1559"/>
      <c r="T565" s="1559"/>
      <c r="U565" s="1559"/>
      <c r="V565" s="1559"/>
      <c r="W565" s="1560">
        <f>unos!C279</f>
        <v>0</v>
      </c>
      <c r="X565" s="1561"/>
      <c r="Y565" s="1561"/>
      <c r="Z565" s="1561"/>
      <c r="AA565" s="1561"/>
      <c r="AB565" s="1561"/>
      <c r="AC565" s="1561"/>
      <c r="AD565" s="1561"/>
      <c r="AE565" s="1562"/>
      <c r="AF565" s="1563">
        <f>unos!F279</f>
        <v>0</v>
      </c>
      <c r="AG565" s="1561"/>
      <c r="AH565" s="1561"/>
      <c r="AI565" s="1561"/>
      <c r="AJ565" s="1561"/>
      <c r="AK565" s="1561"/>
      <c r="AL565" s="1561"/>
      <c r="AM565" s="1561"/>
      <c r="AN565" s="1562"/>
      <c r="AO565" s="1184">
        <f t="shared" si="22"/>
        <v>0</v>
      </c>
    </row>
    <row r="566" spans="1:41">
      <c r="A566" s="1574" t="str">
        <f>unos!A280</f>
        <v>223</v>
      </c>
      <c r="B566" s="1575"/>
      <c r="C566" s="1575"/>
      <c r="D566" s="1576"/>
      <c r="E566" s="1558" t="str">
        <f>unos!B280</f>
        <v>Potraživanja iz zajedničkih poslova</v>
      </c>
      <c r="F566" s="1559"/>
      <c r="G566" s="1559"/>
      <c r="H566" s="1559"/>
      <c r="I566" s="1559"/>
      <c r="J566" s="1559"/>
      <c r="K566" s="1559"/>
      <c r="L566" s="1559"/>
      <c r="M566" s="1559"/>
      <c r="N566" s="1559"/>
      <c r="O566" s="1559"/>
      <c r="P566" s="1559"/>
      <c r="Q566" s="1559"/>
      <c r="R566" s="1559"/>
      <c r="S566" s="1559"/>
      <c r="T566" s="1559"/>
      <c r="U566" s="1559"/>
      <c r="V566" s="1559"/>
      <c r="W566" s="1560">
        <f>unos!C280</f>
        <v>0</v>
      </c>
      <c r="X566" s="1561"/>
      <c r="Y566" s="1561"/>
      <c r="Z566" s="1561"/>
      <c r="AA566" s="1561"/>
      <c r="AB566" s="1561"/>
      <c r="AC566" s="1561"/>
      <c r="AD566" s="1561"/>
      <c r="AE566" s="1562"/>
      <c r="AF566" s="1563">
        <f>unos!F280</f>
        <v>0</v>
      </c>
      <c r="AG566" s="1561"/>
      <c r="AH566" s="1561"/>
      <c r="AI566" s="1561"/>
      <c r="AJ566" s="1561"/>
      <c r="AK566" s="1561"/>
      <c r="AL566" s="1561"/>
      <c r="AM566" s="1561"/>
      <c r="AN566" s="1562"/>
      <c r="AO566" s="1184">
        <f t="shared" si="22"/>
        <v>0</v>
      </c>
    </row>
    <row r="567" spans="1:41">
      <c r="A567" s="1574" t="str">
        <f>unos!A281</f>
        <v>228</v>
      </c>
      <c r="B567" s="1575"/>
      <c r="C567" s="1575"/>
      <c r="D567" s="1576"/>
      <c r="E567" s="1558" t="str">
        <f>unos!B281</f>
        <v>Ostala potraživanja iz specifičnih poslova</v>
      </c>
      <c r="F567" s="1559"/>
      <c r="G567" s="1559"/>
      <c r="H567" s="1559"/>
      <c r="I567" s="1559"/>
      <c r="J567" s="1559"/>
      <c r="K567" s="1559"/>
      <c r="L567" s="1559"/>
      <c r="M567" s="1559"/>
      <c r="N567" s="1559"/>
      <c r="O567" s="1559"/>
      <c r="P567" s="1559"/>
      <c r="Q567" s="1559"/>
      <c r="R567" s="1559"/>
      <c r="S567" s="1559"/>
      <c r="T567" s="1559"/>
      <c r="U567" s="1559"/>
      <c r="V567" s="1559"/>
      <c r="W567" s="1560">
        <f>unos!C281</f>
        <v>0</v>
      </c>
      <c r="X567" s="1561"/>
      <c r="Y567" s="1561"/>
      <c r="Z567" s="1561"/>
      <c r="AA567" s="1561"/>
      <c r="AB567" s="1561"/>
      <c r="AC567" s="1561"/>
      <c r="AD567" s="1561"/>
      <c r="AE567" s="1562"/>
      <c r="AF567" s="1563">
        <f>unos!F281</f>
        <v>0</v>
      </c>
      <c r="AG567" s="1561"/>
      <c r="AH567" s="1561"/>
      <c r="AI567" s="1561"/>
      <c r="AJ567" s="1561"/>
      <c r="AK567" s="1561"/>
      <c r="AL567" s="1561"/>
      <c r="AM567" s="1561"/>
      <c r="AN567" s="1562"/>
      <c r="AO567" s="1184">
        <f t="shared" si="22"/>
        <v>0</v>
      </c>
    </row>
    <row r="568" spans="1:41">
      <c r="A568" s="1574" t="str">
        <f>unos!A282</f>
        <v>229</v>
      </c>
      <c r="B568" s="1575"/>
      <c r="C568" s="1575"/>
      <c r="D568" s="1576"/>
      <c r="E568" s="1558" t="str">
        <f>unos!B282</f>
        <v>Isravka vrijednosti potr.iz specif.poslova</v>
      </c>
      <c r="F568" s="1559"/>
      <c r="G568" s="1559"/>
      <c r="H568" s="1559"/>
      <c r="I568" s="1559"/>
      <c r="J568" s="1559"/>
      <c r="K568" s="1559"/>
      <c r="L568" s="1559"/>
      <c r="M568" s="1559"/>
      <c r="N568" s="1559"/>
      <c r="O568" s="1559"/>
      <c r="P568" s="1559"/>
      <c r="Q568" s="1559"/>
      <c r="R568" s="1559"/>
      <c r="S568" s="1559"/>
      <c r="T568" s="1559"/>
      <c r="U568" s="1559"/>
      <c r="V568" s="1559"/>
      <c r="W568" s="1560">
        <f>SUM(unos!D277:D282)</f>
        <v>0</v>
      </c>
      <c r="X568" s="1561"/>
      <c r="Y568" s="1561"/>
      <c r="Z568" s="1561"/>
      <c r="AA568" s="1561"/>
      <c r="AB568" s="1561"/>
      <c r="AC568" s="1561"/>
      <c r="AD568" s="1561"/>
      <c r="AE568" s="1562"/>
      <c r="AF568" s="1563">
        <f>SUM(unos!G277:G282)</f>
        <v>0</v>
      </c>
      <c r="AG568" s="1561"/>
      <c r="AH568" s="1561"/>
      <c r="AI568" s="1561"/>
      <c r="AJ568" s="1561"/>
      <c r="AK568" s="1561"/>
      <c r="AL568" s="1561"/>
      <c r="AM568" s="1561"/>
      <c r="AN568" s="1562"/>
      <c r="AO568" s="1184">
        <f t="shared" si="22"/>
        <v>0</v>
      </c>
    </row>
    <row r="569" spans="1:41">
      <c r="A569" s="1577"/>
      <c r="B569" s="1577"/>
      <c r="C569" s="1577"/>
      <c r="D569" s="1577"/>
      <c r="E569" s="1167"/>
      <c r="F569" s="1168"/>
      <c r="G569" s="1168"/>
      <c r="H569" s="1168"/>
      <c r="I569" s="1168"/>
      <c r="J569" s="1168"/>
      <c r="K569" s="1168"/>
      <c r="L569" s="1168"/>
      <c r="M569" s="1168"/>
      <c r="N569" s="1168"/>
      <c r="O569" s="1168"/>
      <c r="P569" s="1168"/>
      <c r="Q569" s="1168"/>
      <c r="R569" s="1168"/>
      <c r="S569" s="1167"/>
      <c r="T569" s="1167"/>
      <c r="U569" s="1167"/>
      <c r="V569" s="1169" t="s">
        <v>1997</v>
      </c>
      <c r="W569" s="1578">
        <f>SUM(W563:W568)</f>
        <v>0</v>
      </c>
      <c r="X569" s="1579"/>
      <c r="Y569" s="1579"/>
      <c r="Z569" s="1579"/>
      <c r="AA569" s="1579"/>
      <c r="AB569" s="1579"/>
      <c r="AC569" s="1579"/>
      <c r="AD569" s="1579"/>
      <c r="AE569" s="1580"/>
      <c r="AF569" s="1578">
        <f>SUM(AF563:AF568)</f>
        <v>0</v>
      </c>
      <c r="AG569" s="1579"/>
      <c r="AH569" s="1579"/>
      <c r="AI569" s="1579"/>
      <c r="AJ569" s="1579"/>
      <c r="AK569" s="1579"/>
      <c r="AL569" s="1579"/>
      <c r="AM569" s="1579"/>
      <c r="AN569" s="1580"/>
      <c r="AO569" s="1185">
        <f t="shared" si="22"/>
        <v>0</v>
      </c>
    </row>
    <row r="571" spans="1:41">
      <c r="A571" s="1581"/>
      <c r="B571" s="1581"/>
      <c r="C571" s="1581"/>
      <c r="D571" s="1581"/>
      <c r="E571" s="1581"/>
      <c r="F571" s="1581"/>
      <c r="G571" s="1581"/>
      <c r="H571" s="1581"/>
      <c r="I571" s="1581"/>
      <c r="J571" s="1581"/>
      <c r="K571" s="1581"/>
      <c r="L571" s="1581"/>
      <c r="M571" s="1581"/>
      <c r="N571" s="1581"/>
      <c r="O571" s="1581"/>
      <c r="P571" s="1581"/>
      <c r="Q571" s="1581"/>
      <c r="R571" s="1581"/>
      <c r="S571" s="1581"/>
      <c r="T571" s="1581"/>
      <c r="U571" s="1581"/>
      <c r="V571" s="1581"/>
      <c r="W571" s="1581"/>
      <c r="X571" s="1581"/>
      <c r="Y571" s="1581"/>
      <c r="Z571" s="1581"/>
      <c r="AA571" s="1581"/>
      <c r="AB571" s="1581"/>
      <c r="AC571" s="1581"/>
      <c r="AD571" s="1581"/>
      <c r="AE571" s="1581"/>
      <c r="AF571" s="1581"/>
      <c r="AG571" s="1581"/>
      <c r="AH571" s="1581"/>
      <c r="AI571" s="1581"/>
      <c r="AJ571" s="1581"/>
      <c r="AK571" s="1581"/>
      <c r="AL571" s="1581"/>
      <c r="AM571" s="1581"/>
      <c r="AN571" s="1581"/>
    </row>
    <row r="572" spans="1:41">
      <c r="A572" s="1581"/>
      <c r="B572" s="1581"/>
      <c r="C572" s="1581"/>
      <c r="D572" s="1581"/>
      <c r="E572" s="1581"/>
      <c r="F572" s="1581"/>
      <c r="G572" s="1581"/>
      <c r="H572" s="1581"/>
      <c r="I572" s="1581"/>
      <c r="J572" s="1581"/>
      <c r="K572" s="1581"/>
      <c r="L572" s="1581"/>
      <c r="M572" s="1581"/>
      <c r="N572" s="1581"/>
      <c r="O572" s="1581"/>
      <c r="P572" s="1581"/>
      <c r="Q572" s="1581"/>
      <c r="R572" s="1581"/>
      <c r="S572" s="1581"/>
      <c r="T572" s="1581"/>
      <c r="U572" s="1581"/>
      <c r="V572" s="1581"/>
      <c r="W572" s="1581"/>
      <c r="X572" s="1581"/>
      <c r="Y572" s="1581"/>
      <c r="Z572" s="1581"/>
      <c r="AA572" s="1581"/>
      <c r="AB572" s="1581"/>
      <c r="AC572" s="1581"/>
      <c r="AD572" s="1581"/>
      <c r="AE572" s="1581"/>
      <c r="AF572" s="1581"/>
      <c r="AG572" s="1581"/>
      <c r="AH572" s="1581"/>
      <c r="AI572" s="1581"/>
      <c r="AJ572" s="1581"/>
      <c r="AK572" s="1581"/>
      <c r="AL572" s="1581"/>
      <c r="AM572" s="1581"/>
      <c r="AN572" s="1581"/>
    </row>
    <row r="573" spans="1:41">
      <c r="A573" s="1581"/>
      <c r="B573" s="1581"/>
      <c r="C573" s="1581"/>
      <c r="D573" s="1581"/>
      <c r="E573" s="1581"/>
      <c r="F573" s="1581"/>
      <c r="G573" s="1581"/>
      <c r="H573" s="1581"/>
      <c r="I573" s="1581"/>
      <c r="J573" s="1581"/>
      <c r="K573" s="1581"/>
      <c r="L573" s="1581"/>
      <c r="M573" s="1581"/>
      <c r="N573" s="1581"/>
      <c r="O573" s="1581"/>
      <c r="P573" s="1581"/>
      <c r="Q573" s="1581"/>
      <c r="R573" s="1581"/>
      <c r="S573" s="1581"/>
      <c r="T573" s="1581"/>
      <c r="U573" s="1581"/>
      <c r="V573" s="1581"/>
      <c r="W573" s="1581"/>
      <c r="X573" s="1581"/>
      <c r="Y573" s="1581"/>
      <c r="Z573" s="1581"/>
      <c r="AA573" s="1581"/>
      <c r="AB573" s="1581"/>
      <c r="AC573" s="1581"/>
      <c r="AD573" s="1581"/>
      <c r="AE573" s="1581"/>
      <c r="AF573" s="1581"/>
      <c r="AG573" s="1581"/>
      <c r="AH573" s="1581"/>
      <c r="AI573" s="1581"/>
      <c r="AJ573" s="1581"/>
      <c r="AK573" s="1581"/>
      <c r="AL573" s="1581"/>
      <c r="AM573" s="1581"/>
      <c r="AN573" s="1581"/>
    </row>
    <row r="574" spans="1:41">
      <c r="A574" s="1581"/>
      <c r="B574" s="1581"/>
      <c r="C574" s="1581"/>
      <c r="D574" s="1581"/>
      <c r="E574" s="1581"/>
      <c r="F574" s="1581"/>
      <c r="G574" s="1581"/>
      <c r="H574" s="1581"/>
      <c r="I574" s="1581"/>
      <c r="J574" s="1581"/>
      <c r="K574" s="1581"/>
      <c r="L574" s="1581"/>
      <c r="M574" s="1581"/>
      <c r="N574" s="1581"/>
      <c r="O574" s="1581"/>
      <c r="P574" s="1581"/>
      <c r="Q574" s="1581"/>
      <c r="R574" s="1581"/>
      <c r="S574" s="1581"/>
      <c r="T574" s="1581"/>
      <c r="U574" s="1581"/>
      <c r="V574" s="1581"/>
      <c r="W574" s="1581"/>
      <c r="X574" s="1581"/>
      <c r="Y574" s="1581"/>
      <c r="Z574" s="1581"/>
      <c r="AA574" s="1581"/>
      <c r="AB574" s="1581"/>
      <c r="AC574" s="1581"/>
      <c r="AD574" s="1581"/>
      <c r="AE574" s="1581"/>
      <c r="AF574" s="1581"/>
      <c r="AG574" s="1581"/>
      <c r="AH574" s="1581"/>
      <c r="AI574" s="1581"/>
      <c r="AJ574" s="1581"/>
      <c r="AK574" s="1581"/>
      <c r="AL574" s="1581"/>
      <c r="AM574" s="1581"/>
      <c r="AN574" s="1581"/>
    </row>
    <row r="575" spans="1:41" ht="12.75" customHeight="1">
      <c r="A575" s="828" t="s">
        <v>1933</v>
      </c>
      <c r="B575" s="828" t="s">
        <v>651</v>
      </c>
    </row>
    <row r="577" spans="1:41" ht="14.25" customHeight="1">
      <c r="W577" s="1170" t="s">
        <v>1995</v>
      </c>
      <c r="X577" s="1171"/>
      <c r="Y577" s="1171"/>
      <c r="Z577" s="1171"/>
      <c r="AA577" s="1171"/>
      <c r="AB577" s="1171"/>
      <c r="AC577" s="1171"/>
      <c r="AD577" s="1171"/>
      <c r="AE577" s="1171"/>
      <c r="AF577" s="1171"/>
      <c r="AG577" s="1171"/>
      <c r="AH577" s="1171"/>
      <c r="AI577" s="1171"/>
      <c r="AJ577" s="1171"/>
      <c r="AK577" s="1171"/>
      <c r="AL577" s="1171"/>
      <c r="AM577" s="1171"/>
      <c r="AN577" s="1172"/>
    </row>
    <row r="578" spans="1:41">
      <c r="A578" s="1582" t="s">
        <v>1996</v>
      </c>
      <c r="B578" s="1583"/>
      <c r="C578" s="1583"/>
      <c r="D578" s="1584"/>
      <c r="E578" s="1567" t="s">
        <v>796</v>
      </c>
      <c r="F578" s="1567"/>
      <c r="G578" s="1567"/>
      <c r="H578" s="1567"/>
      <c r="I578" s="1567"/>
      <c r="J578" s="1567"/>
      <c r="K578" s="1567"/>
      <c r="L578" s="1567"/>
      <c r="M578" s="1567"/>
      <c r="N578" s="1567"/>
      <c r="O578" s="1567"/>
      <c r="P578" s="1567"/>
      <c r="Q578" s="1567"/>
      <c r="R578" s="1567"/>
      <c r="S578" s="1567"/>
      <c r="T578" s="1567"/>
      <c r="U578" s="1567"/>
      <c r="V578" s="1567"/>
      <c r="W578" s="1568" t="s">
        <v>1039</v>
      </c>
      <c r="X578" s="1569"/>
      <c r="Y578" s="1569"/>
      <c r="Z578" s="1569"/>
      <c r="AA578" s="1569"/>
      <c r="AB578" s="1569"/>
      <c r="AC578" s="1569"/>
      <c r="AD578" s="1569"/>
      <c r="AE578" s="1570"/>
      <c r="AF578" s="1571" t="s">
        <v>278</v>
      </c>
      <c r="AG578" s="1572"/>
      <c r="AH578" s="1572"/>
      <c r="AI578" s="1572"/>
      <c r="AJ578" s="1572"/>
      <c r="AK578" s="1572"/>
      <c r="AL578" s="1572"/>
      <c r="AM578" s="1572"/>
      <c r="AN578" s="1573"/>
      <c r="AO578" s="1187" t="s">
        <v>2766</v>
      </c>
    </row>
    <row r="579" spans="1:41">
      <c r="A579" s="1574" t="str">
        <f>unos!A283</f>
        <v>230</v>
      </c>
      <c r="B579" s="1575"/>
      <c r="C579" s="1575"/>
      <c r="D579" s="1576"/>
      <c r="E579" s="1558" t="str">
        <f>unos!B283</f>
        <v>Potr.za kamatu i dividendu od povez.prav.lica</v>
      </c>
      <c r="F579" s="1559"/>
      <c r="G579" s="1559"/>
      <c r="H579" s="1559"/>
      <c r="I579" s="1559"/>
      <c r="J579" s="1559"/>
      <c r="K579" s="1559"/>
      <c r="L579" s="1559"/>
      <c r="M579" s="1559"/>
      <c r="N579" s="1559"/>
      <c r="O579" s="1559"/>
      <c r="P579" s="1559"/>
      <c r="Q579" s="1559"/>
      <c r="R579" s="1559"/>
      <c r="S579" s="1559"/>
      <c r="T579" s="1559"/>
      <c r="U579" s="1559"/>
      <c r="V579" s="1559"/>
      <c r="W579" s="1560">
        <f>unos!C283</f>
        <v>0</v>
      </c>
      <c r="X579" s="1561"/>
      <c r="Y579" s="1561"/>
      <c r="Z579" s="1561"/>
      <c r="AA579" s="1561"/>
      <c r="AB579" s="1561"/>
      <c r="AC579" s="1561"/>
      <c r="AD579" s="1561"/>
      <c r="AE579" s="1562"/>
      <c r="AF579" s="1563">
        <f>unos!F283</f>
        <v>0</v>
      </c>
      <c r="AG579" s="1561"/>
      <c r="AH579" s="1561"/>
      <c r="AI579" s="1561"/>
      <c r="AJ579" s="1561"/>
      <c r="AK579" s="1561"/>
      <c r="AL579" s="1561"/>
      <c r="AM579" s="1561"/>
      <c r="AN579" s="1562"/>
      <c r="AO579" s="1184">
        <f>IF(OR(W579=0,AF579=0),0,ROUND(AF579/W579,4))</f>
        <v>0</v>
      </c>
    </row>
    <row r="580" spans="1:41">
      <c r="A580" s="1574" t="str">
        <f>unos!A284</f>
        <v>231</v>
      </c>
      <c r="B580" s="1575"/>
      <c r="C580" s="1575"/>
      <c r="D580" s="1576"/>
      <c r="E580" s="1558" t="str">
        <f>unos!B284</f>
        <v>Potr.za kamatu i dividendu od drug.subjekata</v>
      </c>
      <c r="F580" s="1559"/>
      <c r="G580" s="1559"/>
      <c r="H580" s="1559"/>
      <c r="I580" s="1559"/>
      <c r="J580" s="1559"/>
      <c r="K580" s="1559"/>
      <c r="L580" s="1559"/>
      <c r="M580" s="1559"/>
      <c r="N580" s="1559"/>
      <c r="O580" s="1559"/>
      <c r="P580" s="1559"/>
      <c r="Q580" s="1559"/>
      <c r="R580" s="1559"/>
      <c r="S580" s="1559"/>
      <c r="T580" s="1559"/>
      <c r="U580" s="1559"/>
      <c r="V580" s="1559"/>
      <c r="W580" s="1560">
        <f>unos!C284</f>
        <v>0</v>
      </c>
      <c r="X580" s="1561"/>
      <c r="Y580" s="1561"/>
      <c r="Z580" s="1561"/>
      <c r="AA580" s="1561"/>
      <c r="AB580" s="1561"/>
      <c r="AC580" s="1561"/>
      <c r="AD580" s="1561"/>
      <c r="AE580" s="1562"/>
      <c r="AF580" s="1563">
        <f>unos!F284</f>
        <v>0</v>
      </c>
      <c r="AG580" s="1561"/>
      <c r="AH580" s="1561"/>
      <c r="AI580" s="1561"/>
      <c r="AJ580" s="1561"/>
      <c r="AK580" s="1561"/>
      <c r="AL580" s="1561"/>
      <c r="AM580" s="1561"/>
      <c r="AN580" s="1562"/>
      <c r="AO580" s="1184">
        <f t="shared" ref="AO580:AO587" si="23">IF(OR(W580=0,AF580=0),0,ROUND(AF580/W580,4))</f>
        <v>0</v>
      </c>
    </row>
    <row r="581" spans="1:41">
      <c r="A581" s="1574" t="str">
        <f>unos!A285</f>
        <v>232</v>
      </c>
      <c r="B581" s="1575"/>
      <c r="C581" s="1575"/>
      <c r="D581" s="1576"/>
      <c r="E581" s="1558" t="str">
        <f>unos!B285</f>
        <v>Potraživanja od zaposlenika</v>
      </c>
      <c r="F581" s="1559"/>
      <c r="G581" s="1559"/>
      <c r="H581" s="1559"/>
      <c r="I581" s="1559"/>
      <c r="J581" s="1559"/>
      <c r="K581" s="1559"/>
      <c r="L581" s="1559"/>
      <c r="M581" s="1559"/>
      <c r="N581" s="1559"/>
      <c r="O581" s="1559"/>
      <c r="P581" s="1559"/>
      <c r="Q581" s="1559"/>
      <c r="R581" s="1559"/>
      <c r="S581" s="1559"/>
      <c r="T581" s="1559"/>
      <c r="U581" s="1559"/>
      <c r="V581" s="1559"/>
      <c r="W581" s="1560">
        <f>unos!C285</f>
        <v>0</v>
      </c>
      <c r="X581" s="1561"/>
      <c r="Y581" s="1561"/>
      <c r="Z581" s="1561"/>
      <c r="AA581" s="1561"/>
      <c r="AB581" s="1561"/>
      <c r="AC581" s="1561"/>
      <c r="AD581" s="1561"/>
      <c r="AE581" s="1562"/>
      <c r="AF581" s="1563">
        <f>unos!F285</f>
        <v>0</v>
      </c>
      <c r="AG581" s="1561"/>
      <c r="AH581" s="1561"/>
      <c r="AI581" s="1561"/>
      <c r="AJ581" s="1561"/>
      <c r="AK581" s="1561"/>
      <c r="AL581" s="1561"/>
      <c r="AM581" s="1561"/>
      <c r="AN581" s="1562"/>
      <c r="AO581" s="1184">
        <f t="shared" si="23"/>
        <v>0</v>
      </c>
    </row>
    <row r="582" spans="1:41">
      <c r="A582" s="1574" t="str">
        <f>unos!A286</f>
        <v>233</v>
      </c>
      <c r="B582" s="1575"/>
      <c r="C582" s="1575"/>
      <c r="D582" s="1576"/>
      <c r="E582" s="1558" t="str">
        <f>unos!B286</f>
        <v>Potraživanja od državnih organa i institucija</v>
      </c>
      <c r="F582" s="1559"/>
      <c r="G582" s="1559"/>
      <c r="H582" s="1559"/>
      <c r="I582" s="1559"/>
      <c r="J582" s="1559"/>
      <c r="K582" s="1559"/>
      <c r="L582" s="1559"/>
      <c r="M582" s="1559"/>
      <c r="N582" s="1559"/>
      <c r="O582" s="1559"/>
      <c r="P582" s="1559"/>
      <c r="Q582" s="1559"/>
      <c r="R582" s="1559"/>
      <c r="S582" s="1559"/>
      <c r="T582" s="1559"/>
      <c r="U582" s="1559"/>
      <c r="V582" s="1559"/>
      <c r="W582" s="1560">
        <f>unos!C286</f>
        <v>0</v>
      </c>
      <c r="X582" s="1561"/>
      <c r="Y582" s="1561"/>
      <c r="Z582" s="1561"/>
      <c r="AA582" s="1561"/>
      <c r="AB582" s="1561"/>
      <c r="AC582" s="1561"/>
      <c r="AD582" s="1561"/>
      <c r="AE582" s="1562"/>
      <c r="AF582" s="1563">
        <f>unos!F286</f>
        <v>0</v>
      </c>
      <c r="AG582" s="1561"/>
      <c r="AH582" s="1561"/>
      <c r="AI582" s="1561"/>
      <c r="AJ582" s="1561"/>
      <c r="AK582" s="1561"/>
      <c r="AL582" s="1561"/>
      <c r="AM582" s="1561"/>
      <c r="AN582" s="1562"/>
      <c r="AO582" s="1184">
        <f t="shared" si="23"/>
        <v>0</v>
      </c>
    </row>
    <row r="583" spans="1:41">
      <c r="A583" s="1574" t="str">
        <f>unos!A287</f>
        <v>234</v>
      </c>
      <c r="B583" s="1575"/>
      <c r="C583" s="1575"/>
      <c r="D583" s="1576"/>
      <c r="E583" s="1558" t="str">
        <f>unos!B287</f>
        <v>Potraživanje za više paćeni porez na dobit</v>
      </c>
      <c r="F583" s="1559"/>
      <c r="G583" s="1559"/>
      <c r="H583" s="1559"/>
      <c r="I583" s="1559"/>
      <c r="J583" s="1559"/>
      <c r="K583" s="1559"/>
      <c r="L583" s="1559"/>
      <c r="M583" s="1559"/>
      <c r="N583" s="1559"/>
      <c r="O583" s="1559"/>
      <c r="P583" s="1559"/>
      <c r="Q583" s="1559"/>
      <c r="R583" s="1559"/>
      <c r="S583" s="1559"/>
      <c r="T583" s="1559"/>
      <c r="U583" s="1559"/>
      <c r="V583" s="1559"/>
      <c r="W583" s="1560">
        <f>unos!C287</f>
        <v>0</v>
      </c>
      <c r="X583" s="1561"/>
      <c r="Y583" s="1561"/>
      <c r="Z583" s="1561"/>
      <c r="AA583" s="1561"/>
      <c r="AB583" s="1561"/>
      <c r="AC583" s="1561"/>
      <c r="AD583" s="1561"/>
      <c r="AE583" s="1562"/>
      <c r="AF583" s="1563">
        <f>unos!F287</f>
        <v>0</v>
      </c>
      <c r="AG583" s="1561"/>
      <c r="AH583" s="1561"/>
      <c r="AI583" s="1561"/>
      <c r="AJ583" s="1561"/>
      <c r="AK583" s="1561"/>
      <c r="AL583" s="1561"/>
      <c r="AM583" s="1561"/>
      <c r="AN583" s="1562"/>
      <c r="AO583" s="1184">
        <f t="shared" si="23"/>
        <v>0</v>
      </c>
    </row>
    <row r="584" spans="1:41">
      <c r="A584" s="1574" t="str">
        <f>unos!A288</f>
        <v>235</v>
      </c>
      <c r="B584" s="1575"/>
      <c r="C584" s="1575"/>
      <c r="D584" s="1576"/>
      <c r="E584" s="1558" t="str">
        <f>unos!B288</f>
        <v>Potr.za više plaćene ostale poreze i doprinos</v>
      </c>
      <c r="F584" s="1559"/>
      <c r="G584" s="1559"/>
      <c r="H584" s="1559"/>
      <c r="I584" s="1559"/>
      <c r="J584" s="1559"/>
      <c r="K584" s="1559"/>
      <c r="L584" s="1559"/>
      <c r="M584" s="1559"/>
      <c r="N584" s="1559"/>
      <c r="O584" s="1559"/>
      <c r="P584" s="1559"/>
      <c r="Q584" s="1559"/>
      <c r="R584" s="1559"/>
      <c r="S584" s="1559"/>
      <c r="T584" s="1559"/>
      <c r="U584" s="1559"/>
      <c r="V584" s="1559"/>
      <c r="W584" s="1560">
        <f>unos!C288</f>
        <v>0</v>
      </c>
      <c r="X584" s="1561"/>
      <c r="Y584" s="1561"/>
      <c r="Z584" s="1561"/>
      <c r="AA584" s="1561"/>
      <c r="AB584" s="1561"/>
      <c r="AC584" s="1561"/>
      <c r="AD584" s="1561"/>
      <c r="AE584" s="1562"/>
      <c r="AF584" s="1563">
        <f>unos!F288</f>
        <v>0</v>
      </c>
      <c r="AG584" s="1561"/>
      <c r="AH584" s="1561"/>
      <c r="AI584" s="1561"/>
      <c r="AJ584" s="1561"/>
      <c r="AK584" s="1561"/>
      <c r="AL584" s="1561"/>
      <c r="AM584" s="1561"/>
      <c r="AN584" s="1562"/>
      <c r="AO584" s="1184">
        <f t="shared" si="23"/>
        <v>0</v>
      </c>
    </row>
    <row r="585" spans="1:41">
      <c r="A585" s="1574" t="str">
        <f>unos!A289</f>
        <v>238</v>
      </c>
      <c r="B585" s="1575"/>
      <c r="C585" s="1575"/>
      <c r="D585" s="1576"/>
      <c r="E585" s="1558" t="str">
        <f>unos!B289</f>
        <v>Ostala kratkoročna potraživanja</v>
      </c>
      <c r="F585" s="1559"/>
      <c r="G585" s="1559"/>
      <c r="H585" s="1559"/>
      <c r="I585" s="1559"/>
      <c r="J585" s="1559"/>
      <c r="K585" s="1559"/>
      <c r="L585" s="1559"/>
      <c r="M585" s="1559"/>
      <c r="N585" s="1559"/>
      <c r="O585" s="1559"/>
      <c r="P585" s="1559"/>
      <c r="Q585" s="1559"/>
      <c r="R585" s="1559"/>
      <c r="S585" s="1559"/>
      <c r="T585" s="1559"/>
      <c r="U585" s="1559"/>
      <c r="V585" s="1559"/>
      <c r="W585" s="1560">
        <f>unos!C289</f>
        <v>0</v>
      </c>
      <c r="X585" s="1561"/>
      <c r="Y585" s="1561"/>
      <c r="Z585" s="1561"/>
      <c r="AA585" s="1561"/>
      <c r="AB585" s="1561"/>
      <c r="AC585" s="1561"/>
      <c r="AD585" s="1561"/>
      <c r="AE585" s="1562"/>
      <c r="AF585" s="1563">
        <f>unos!F289</f>
        <v>0</v>
      </c>
      <c r="AG585" s="1561"/>
      <c r="AH585" s="1561"/>
      <c r="AI585" s="1561"/>
      <c r="AJ585" s="1561"/>
      <c r="AK585" s="1561"/>
      <c r="AL585" s="1561"/>
      <c r="AM585" s="1561"/>
      <c r="AN585" s="1562"/>
      <c r="AO585" s="1184">
        <f t="shared" si="23"/>
        <v>0</v>
      </c>
    </row>
    <row r="586" spans="1:41">
      <c r="A586" s="1574" t="str">
        <f>unos!A290</f>
        <v>239</v>
      </c>
      <c r="B586" s="1575"/>
      <c r="C586" s="1575"/>
      <c r="D586" s="1576"/>
      <c r="E586" s="1558" t="str">
        <f>unos!B290</f>
        <v>Ispravka vrijednosti drugih kratk.potraživanj</v>
      </c>
      <c r="F586" s="1559"/>
      <c r="G586" s="1559"/>
      <c r="H586" s="1559"/>
      <c r="I586" s="1559"/>
      <c r="J586" s="1559"/>
      <c r="K586" s="1559"/>
      <c r="L586" s="1559"/>
      <c r="M586" s="1559"/>
      <c r="N586" s="1559"/>
      <c r="O586" s="1559"/>
      <c r="P586" s="1559"/>
      <c r="Q586" s="1559"/>
      <c r="R586" s="1559"/>
      <c r="S586" s="1559"/>
      <c r="T586" s="1559"/>
      <c r="U586" s="1559"/>
      <c r="V586" s="1559"/>
      <c r="W586" s="1560">
        <f>SUM(unos!D283:D290)</f>
        <v>0</v>
      </c>
      <c r="X586" s="1561"/>
      <c r="Y586" s="1561"/>
      <c r="Z586" s="1561"/>
      <c r="AA586" s="1561"/>
      <c r="AB586" s="1561"/>
      <c r="AC586" s="1561"/>
      <c r="AD586" s="1561"/>
      <c r="AE586" s="1562"/>
      <c r="AF586" s="1563">
        <f>SUM(unos!G283:G290)</f>
        <v>0</v>
      </c>
      <c r="AG586" s="1561"/>
      <c r="AH586" s="1561"/>
      <c r="AI586" s="1561"/>
      <c r="AJ586" s="1561"/>
      <c r="AK586" s="1561"/>
      <c r="AL586" s="1561"/>
      <c r="AM586" s="1561"/>
      <c r="AN586" s="1562"/>
      <c r="AO586" s="1184">
        <f t="shared" si="23"/>
        <v>0</v>
      </c>
    </row>
    <row r="587" spans="1:41">
      <c r="A587" s="1577"/>
      <c r="B587" s="1577"/>
      <c r="C587" s="1577"/>
      <c r="D587" s="1577"/>
      <c r="E587" s="1167"/>
      <c r="F587" s="1168"/>
      <c r="G587" s="1168"/>
      <c r="H587" s="1168"/>
      <c r="I587" s="1168"/>
      <c r="J587" s="1168"/>
      <c r="K587" s="1168"/>
      <c r="L587" s="1168"/>
      <c r="M587" s="1168"/>
      <c r="N587" s="1168"/>
      <c r="O587" s="1168"/>
      <c r="P587" s="1168"/>
      <c r="Q587" s="1168"/>
      <c r="R587" s="1168"/>
      <c r="S587" s="1167"/>
      <c r="T587" s="1167"/>
      <c r="U587" s="1167"/>
      <c r="V587" s="1169" t="s">
        <v>1997</v>
      </c>
      <c r="W587" s="1578">
        <f>SUM(W579:W586)</f>
        <v>0</v>
      </c>
      <c r="X587" s="1579"/>
      <c r="Y587" s="1579"/>
      <c r="Z587" s="1579"/>
      <c r="AA587" s="1579"/>
      <c r="AB587" s="1579"/>
      <c r="AC587" s="1579"/>
      <c r="AD587" s="1579"/>
      <c r="AE587" s="1580"/>
      <c r="AF587" s="1578">
        <f>SUM(AF579:AF586)</f>
        <v>0</v>
      </c>
      <c r="AG587" s="1579"/>
      <c r="AH587" s="1579"/>
      <c r="AI587" s="1579"/>
      <c r="AJ587" s="1579"/>
      <c r="AK587" s="1579"/>
      <c r="AL587" s="1579"/>
      <c r="AM587" s="1579"/>
      <c r="AN587" s="1580"/>
      <c r="AO587" s="1185">
        <f t="shared" si="23"/>
        <v>0</v>
      </c>
    </row>
    <row r="589" spans="1:41">
      <c r="A589" s="1581"/>
      <c r="B589" s="1581"/>
      <c r="C589" s="1581"/>
      <c r="D589" s="1581"/>
      <c r="E589" s="1581"/>
      <c r="F589" s="1581"/>
      <c r="G589" s="1581"/>
      <c r="H589" s="1581"/>
      <c r="I589" s="1581"/>
      <c r="J589" s="1581"/>
      <c r="K589" s="1581"/>
      <c r="L589" s="1581"/>
      <c r="M589" s="1581"/>
      <c r="N589" s="1581"/>
      <c r="O589" s="1581"/>
      <c r="P589" s="1581"/>
      <c r="Q589" s="1581"/>
      <c r="R589" s="1581"/>
      <c r="S589" s="1581"/>
      <c r="T589" s="1581"/>
      <c r="U589" s="1581"/>
      <c r="V589" s="1581"/>
      <c r="W589" s="1581"/>
      <c r="X589" s="1581"/>
      <c r="Y589" s="1581"/>
      <c r="Z589" s="1581"/>
      <c r="AA589" s="1581"/>
      <c r="AB589" s="1581"/>
      <c r="AC589" s="1581"/>
      <c r="AD589" s="1581"/>
      <c r="AE589" s="1581"/>
      <c r="AF589" s="1581"/>
      <c r="AG589" s="1581"/>
      <c r="AH589" s="1581"/>
      <c r="AI589" s="1581"/>
      <c r="AJ589" s="1581"/>
      <c r="AK589" s="1581"/>
      <c r="AL589" s="1581"/>
      <c r="AM589" s="1581"/>
      <c r="AN589" s="1581"/>
    </row>
    <row r="590" spans="1:41">
      <c r="A590" s="1581"/>
      <c r="B590" s="1581"/>
      <c r="C590" s="1581"/>
      <c r="D590" s="1581"/>
      <c r="E590" s="1581"/>
      <c r="F590" s="1581"/>
      <c r="G590" s="1581"/>
      <c r="H590" s="1581"/>
      <c r="I590" s="1581"/>
      <c r="J590" s="1581"/>
      <c r="K590" s="1581"/>
      <c r="L590" s="1581"/>
      <c r="M590" s="1581"/>
      <c r="N590" s="1581"/>
      <c r="O590" s="1581"/>
      <c r="P590" s="1581"/>
      <c r="Q590" s="1581"/>
      <c r="R590" s="1581"/>
      <c r="S590" s="1581"/>
      <c r="T590" s="1581"/>
      <c r="U590" s="1581"/>
      <c r="V590" s="1581"/>
      <c r="W590" s="1581"/>
      <c r="X590" s="1581"/>
      <c r="Y590" s="1581"/>
      <c r="Z590" s="1581"/>
      <c r="AA590" s="1581"/>
      <c r="AB590" s="1581"/>
      <c r="AC590" s="1581"/>
      <c r="AD590" s="1581"/>
      <c r="AE590" s="1581"/>
      <c r="AF590" s="1581"/>
      <c r="AG590" s="1581"/>
      <c r="AH590" s="1581"/>
      <c r="AI590" s="1581"/>
      <c r="AJ590" s="1581"/>
      <c r="AK590" s="1581"/>
      <c r="AL590" s="1581"/>
      <c r="AM590" s="1581"/>
      <c r="AN590" s="1581"/>
    </row>
    <row r="591" spans="1:41">
      <c r="A591" s="1581"/>
      <c r="B591" s="1581"/>
      <c r="C591" s="1581"/>
      <c r="D591" s="1581"/>
      <c r="E591" s="1581"/>
      <c r="F591" s="1581"/>
      <c r="G591" s="1581"/>
      <c r="H591" s="1581"/>
      <c r="I591" s="1581"/>
      <c r="J591" s="1581"/>
      <c r="K591" s="1581"/>
      <c r="L591" s="1581"/>
      <c r="M591" s="1581"/>
      <c r="N591" s="1581"/>
      <c r="O591" s="1581"/>
      <c r="P591" s="1581"/>
      <c r="Q591" s="1581"/>
      <c r="R591" s="1581"/>
      <c r="S591" s="1581"/>
      <c r="T591" s="1581"/>
      <c r="U591" s="1581"/>
      <c r="V591" s="1581"/>
      <c r="W591" s="1581"/>
      <c r="X591" s="1581"/>
      <c r="Y591" s="1581"/>
      <c r="Z591" s="1581"/>
      <c r="AA591" s="1581"/>
      <c r="AB591" s="1581"/>
      <c r="AC591" s="1581"/>
      <c r="AD591" s="1581"/>
      <c r="AE591" s="1581"/>
      <c r="AF591" s="1581"/>
      <c r="AG591" s="1581"/>
      <c r="AH591" s="1581"/>
      <c r="AI591" s="1581"/>
      <c r="AJ591" s="1581"/>
      <c r="AK591" s="1581"/>
      <c r="AL591" s="1581"/>
      <c r="AM591" s="1581"/>
      <c r="AN591" s="1581"/>
    </row>
    <row r="592" spans="1:41">
      <c r="A592" s="1581"/>
      <c r="B592" s="1581"/>
      <c r="C592" s="1581"/>
      <c r="D592" s="1581"/>
      <c r="E592" s="1581"/>
      <c r="F592" s="1581"/>
      <c r="G592" s="1581"/>
      <c r="H592" s="1581"/>
      <c r="I592" s="1581"/>
      <c r="J592" s="1581"/>
      <c r="K592" s="1581"/>
      <c r="L592" s="1581"/>
      <c r="M592" s="1581"/>
      <c r="N592" s="1581"/>
      <c r="O592" s="1581"/>
      <c r="P592" s="1581"/>
      <c r="Q592" s="1581"/>
      <c r="R592" s="1581"/>
      <c r="S592" s="1581"/>
      <c r="T592" s="1581"/>
      <c r="U592" s="1581"/>
      <c r="V592" s="1581"/>
      <c r="W592" s="1581"/>
      <c r="X592" s="1581"/>
      <c r="Y592" s="1581"/>
      <c r="Z592" s="1581"/>
      <c r="AA592" s="1581"/>
      <c r="AB592" s="1581"/>
      <c r="AC592" s="1581"/>
      <c r="AD592" s="1581"/>
      <c r="AE592" s="1581"/>
      <c r="AF592" s="1581"/>
      <c r="AG592" s="1581"/>
      <c r="AH592" s="1581"/>
      <c r="AI592" s="1581"/>
      <c r="AJ592" s="1581"/>
      <c r="AK592" s="1581"/>
      <c r="AL592" s="1581"/>
      <c r="AM592" s="1581"/>
      <c r="AN592" s="1581"/>
    </row>
    <row r="593" spans="1:41" ht="12.75" customHeight="1">
      <c r="A593" s="828" t="s">
        <v>1933</v>
      </c>
      <c r="B593" s="828" t="s">
        <v>652</v>
      </c>
    </row>
    <row r="595" spans="1:41" ht="14.25" customHeight="1">
      <c r="W595" s="1170" t="s">
        <v>1995</v>
      </c>
      <c r="X595" s="1171"/>
      <c r="Y595" s="1171"/>
      <c r="Z595" s="1171"/>
      <c r="AA595" s="1171"/>
      <c r="AB595" s="1171"/>
      <c r="AC595" s="1171"/>
      <c r="AD595" s="1171"/>
      <c r="AE595" s="1171"/>
      <c r="AF595" s="1171"/>
      <c r="AG595" s="1171"/>
      <c r="AH595" s="1171"/>
      <c r="AI595" s="1171"/>
      <c r="AJ595" s="1171"/>
      <c r="AK595" s="1171"/>
      <c r="AL595" s="1171"/>
      <c r="AM595" s="1171"/>
      <c r="AN595" s="1172"/>
    </row>
    <row r="596" spans="1:41">
      <c r="A596" s="1582" t="s">
        <v>1996</v>
      </c>
      <c r="B596" s="1583"/>
      <c r="C596" s="1583"/>
      <c r="D596" s="1584"/>
      <c r="E596" s="1567" t="s">
        <v>796</v>
      </c>
      <c r="F596" s="1567"/>
      <c r="G596" s="1567"/>
      <c r="H596" s="1567"/>
      <c r="I596" s="1567"/>
      <c r="J596" s="1567"/>
      <c r="K596" s="1567"/>
      <c r="L596" s="1567"/>
      <c r="M596" s="1567"/>
      <c r="N596" s="1567"/>
      <c r="O596" s="1567"/>
      <c r="P596" s="1567"/>
      <c r="Q596" s="1567"/>
      <c r="R596" s="1567"/>
      <c r="S596" s="1567"/>
      <c r="T596" s="1567"/>
      <c r="U596" s="1567"/>
      <c r="V596" s="1567"/>
      <c r="W596" s="1568" t="s">
        <v>1039</v>
      </c>
      <c r="X596" s="1569"/>
      <c r="Y596" s="1569"/>
      <c r="Z596" s="1569"/>
      <c r="AA596" s="1569"/>
      <c r="AB596" s="1569"/>
      <c r="AC596" s="1569"/>
      <c r="AD596" s="1569"/>
      <c r="AE596" s="1570"/>
      <c r="AF596" s="1571" t="s">
        <v>278</v>
      </c>
      <c r="AG596" s="1572"/>
      <c r="AH596" s="1572"/>
      <c r="AI596" s="1572"/>
      <c r="AJ596" s="1572"/>
      <c r="AK596" s="1572"/>
      <c r="AL596" s="1572"/>
      <c r="AM596" s="1572"/>
      <c r="AN596" s="1573"/>
      <c r="AO596" s="1187" t="s">
        <v>2766</v>
      </c>
    </row>
    <row r="597" spans="1:41">
      <c r="A597" s="1574" t="str">
        <f>unos!A291</f>
        <v>240</v>
      </c>
      <c r="B597" s="1575"/>
      <c r="C597" s="1575"/>
      <c r="D597" s="1576"/>
      <c r="E597" s="1558" t="str">
        <f>unos!B291</f>
        <v>Kratkoročni krediti povezanim pravnim licima</v>
      </c>
      <c r="F597" s="1559"/>
      <c r="G597" s="1559"/>
      <c r="H597" s="1559"/>
      <c r="I597" s="1559"/>
      <c r="J597" s="1559"/>
      <c r="K597" s="1559"/>
      <c r="L597" s="1559"/>
      <c r="M597" s="1559"/>
      <c r="N597" s="1559"/>
      <c r="O597" s="1559"/>
      <c r="P597" s="1559"/>
      <c r="Q597" s="1559"/>
      <c r="R597" s="1559"/>
      <c r="S597" s="1559"/>
      <c r="T597" s="1559"/>
      <c r="U597" s="1559"/>
      <c r="V597" s="1559"/>
      <c r="W597" s="1560">
        <f>unos!C291</f>
        <v>0</v>
      </c>
      <c r="X597" s="1561"/>
      <c r="Y597" s="1561"/>
      <c r="Z597" s="1561"/>
      <c r="AA597" s="1561"/>
      <c r="AB597" s="1561"/>
      <c r="AC597" s="1561"/>
      <c r="AD597" s="1561"/>
      <c r="AE597" s="1562"/>
      <c r="AF597" s="1563">
        <f>unos!F291</f>
        <v>0</v>
      </c>
      <c r="AG597" s="1561"/>
      <c r="AH597" s="1561"/>
      <c r="AI597" s="1561"/>
      <c r="AJ597" s="1561"/>
      <c r="AK597" s="1561"/>
      <c r="AL597" s="1561"/>
      <c r="AM597" s="1561"/>
      <c r="AN597" s="1562"/>
      <c r="AO597" s="1184">
        <f>IF(OR(W597=0,AF597=0),0,ROUND(AF597/W597,4))</f>
        <v>0</v>
      </c>
    </row>
    <row r="598" spans="1:41">
      <c r="A598" s="1574" t="str">
        <f>unos!A292</f>
        <v>241</v>
      </c>
      <c r="B598" s="1575"/>
      <c r="C598" s="1575"/>
      <c r="D598" s="1576"/>
      <c r="E598" s="1558" t="str">
        <f>unos!B292</f>
        <v>Kratkoročni krediti dati u zemlji</v>
      </c>
      <c r="F598" s="1559"/>
      <c r="G598" s="1559"/>
      <c r="H598" s="1559"/>
      <c r="I598" s="1559"/>
      <c r="J598" s="1559"/>
      <c r="K598" s="1559"/>
      <c r="L598" s="1559"/>
      <c r="M598" s="1559"/>
      <c r="N598" s="1559"/>
      <c r="O598" s="1559"/>
      <c r="P598" s="1559"/>
      <c r="Q598" s="1559"/>
      <c r="R598" s="1559"/>
      <c r="S598" s="1559"/>
      <c r="T598" s="1559"/>
      <c r="U598" s="1559"/>
      <c r="V598" s="1559"/>
      <c r="W598" s="1560">
        <f>unos!C292</f>
        <v>0</v>
      </c>
      <c r="X598" s="1561"/>
      <c r="Y598" s="1561"/>
      <c r="Z598" s="1561"/>
      <c r="AA598" s="1561"/>
      <c r="AB598" s="1561"/>
      <c r="AC598" s="1561"/>
      <c r="AD598" s="1561"/>
      <c r="AE598" s="1562"/>
      <c r="AF598" s="1563">
        <f>unos!F292</f>
        <v>0</v>
      </c>
      <c r="AG598" s="1561"/>
      <c r="AH598" s="1561"/>
      <c r="AI598" s="1561"/>
      <c r="AJ598" s="1561"/>
      <c r="AK598" s="1561"/>
      <c r="AL598" s="1561"/>
      <c r="AM598" s="1561"/>
      <c r="AN598" s="1562"/>
      <c r="AO598" s="1184">
        <f t="shared" ref="AO598:AO606" si="24">IF(OR(W598=0,AF598=0),0,ROUND(AF598/W598,4))</f>
        <v>0</v>
      </c>
    </row>
    <row r="599" spans="1:41">
      <c r="A599" s="1574" t="str">
        <f>unos!A293</f>
        <v>242</v>
      </c>
      <c r="B599" s="1575"/>
      <c r="C599" s="1575"/>
      <c r="D599" s="1576"/>
      <c r="E599" s="1558" t="str">
        <f>unos!B293</f>
        <v>Kratkoročni krediti dati u instranstvo</v>
      </c>
      <c r="F599" s="1559"/>
      <c r="G599" s="1559"/>
      <c r="H599" s="1559"/>
      <c r="I599" s="1559"/>
      <c r="J599" s="1559"/>
      <c r="K599" s="1559"/>
      <c r="L599" s="1559"/>
      <c r="M599" s="1559"/>
      <c r="N599" s="1559"/>
      <c r="O599" s="1559"/>
      <c r="P599" s="1559"/>
      <c r="Q599" s="1559"/>
      <c r="R599" s="1559"/>
      <c r="S599" s="1559"/>
      <c r="T599" s="1559"/>
      <c r="U599" s="1559"/>
      <c r="V599" s="1559"/>
      <c r="W599" s="1560">
        <f>unos!C293</f>
        <v>0</v>
      </c>
      <c r="X599" s="1561"/>
      <c r="Y599" s="1561"/>
      <c r="Z599" s="1561"/>
      <c r="AA599" s="1561"/>
      <c r="AB599" s="1561"/>
      <c r="AC599" s="1561"/>
      <c r="AD599" s="1561"/>
      <c r="AE599" s="1562"/>
      <c r="AF599" s="1563">
        <f>unos!F293</f>
        <v>0</v>
      </c>
      <c r="AG599" s="1561"/>
      <c r="AH599" s="1561"/>
      <c r="AI599" s="1561"/>
      <c r="AJ599" s="1561"/>
      <c r="AK599" s="1561"/>
      <c r="AL599" s="1561"/>
      <c r="AM599" s="1561"/>
      <c r="AN599" s="1562"/>
      <c r="AO599" s="1184">
        <f t="shared" si="24"/>
        <v>0</v>
      </c>
    </row>
    <row r="600" spans="1:41">
      <c r="A600" s="1574" t="str">
        <f>unos!A294</f>
        <v>243</v>
      </c>
      <c r="B600" s="1575"/>
      <c r="C600" s="1575"/>
      <c r="D600" s="1576"/>
      <c r="E600" s="1558" t="str">
        <f>unos!B294</f>
        <v>Kratkoročni dio dugoročnih kredita</v>
      </c>
      <c r="F600" s="1559"/>
      <c r="G600" s="1559"/>
      <c r="H600" s="1559"/>
      <c r="I600" s="1559"/>
      <c r="J600" s="1559"/>
      <c r="K600" s="1559"/>
      <c r="L600" s="1559"/>
      <c r="M600" s="1559"/>
      <c r="N600" s="1559"/>
      <c r="O600" s="1559"/>
      <c r="P600" s="1559"/>
      <c r="Q600" s="1559"/>
      <c r="R600" s="1559"/>
      <c r="S600" s="1559"/>
      <c r="T600" s="1559"/>
      <c r="U600" s="1559"/>
      <c r="V600" s="1559"/>
      <c r="W600" s="1560">
        <f>unos!C294</f>
        <v>0</v>
      </c>
      <c r="X600" s="1561"/>
      <c r="Y600" s="1561"/>
      <c r="Z600" s="1561"/>
      <c r="AA600" s="1561"/>
      <c r="AB600" s="1561"/>
      <c r="AC600" s="1561"/>
      <c r="AD600" s="1561"/>
      <c r="AE600" s="1562"/>
      <c r="AF600" s="1563">
        <f>unos!F294</f>
        <v>0</v>
      </c>
      <c r="AG600" s="1561"/>
      <c r="AH600" s="1561"/>
      <c r="AI600" s="1561"/>
      <c r="AJ600" s="1561"/>
      <c r="AK600" s="1561"/>
      <c r="AL600" s="1561"/>
      <c r="AM600" s="1561"/>
      <c r="AN600" s="1562"/>
      <c r="AO600" s="1184">
        <f t="shared" si="24"/>
        <v>0</v>
      </c>
    </row>
    <row r="601" spans="1:41">
      <c r="A601" s="1574" t="str">
        <f>unos!A295</f>
        <v>244</v>
      </c>
      <c r="B601" s="1575"/>
      <c r="C601" s="1575"/>
      <c r="D601" s="1576"/>
      <c r="E601" s="1558" t="str">
        <f>unos!B295</f>
        <v>Kratkoročni dio dugor.vrijednosnih papira</v>
      </c>
      <c r="F601" s="1559"/>
      <c r="G601" s="1559"/>
      <c r="H601" s="1559"/>
      <c r="I601" s="1559"/>
      <c r="J601" s="1559"/>
      <c r="K601" s="1559"/>
      <c r="L601" s="1559"/>
      <c r="M601" s="1559"/>
      <c r="N601" s="1559"/>
      <c r="O601" s="1559"/>
      <c r="P601" s="1559"/>
      <c r="Q601" s="1559"/>
      <c r="R601" s="1559"/>
      <c r="S601" s="1559"/>
      <c r="T601" s="1559"/>
      <c r="U601" s="1559"/>
      <c r="V601" s="1559"/>
      <c r="W601" s="1560">
        <f>unos!C295</f>
        <v>0</v>
      </c>
      <c r="X601" s="1561"/>
      <c r="Y601" s="1561"/>
      <c r="Z601" s="1561"/>
      <c r="AA601" s="1561"/>
      <c r="AB601" s="1561"/>
      <c r="AC601" s="1561"/>
      <c r="AD601" s="1561"/>
      <c r="AE601" s="1562"/>
      <c r="AF601" s="1563">
        <f>unos!F295</f>
        <v>0</v>
      </c>
      <c r="AG601" s="1561"/>
      <c r="AH601" s="1561"/>
      <c r="AI601" s="1561"/>
      <c r="AJ601" s="1561"/>
      <c r="AK601" s="1561"/>
      <c r="AL601" s="1561"/>
      <c r="AM601" s="1561"/>
      <c r="AN601" s="1562"/>
      <c r="AO601" s="1184">
        <f t="shared" si="24"/>
        <v>0</v>
      </c>
    </row>
    <row r="602" spans="1:41">
      <c r="A602" s="1574" t="str">
        <f>unos!A296</f>
        <v>245</v>
      </c>
      <c r="B602" s="1575"/>
      <c r="C602" s="1575"/>
      <c r="D602" s="1576"/>
      <c r="E602" s="1558" t="str">
        <f>unos!B296</f>
        <v>Finaksijska sredstva namijenjena trgovanju</v>
      </c>
      <c r="F602" s="1559"/>
      <c r="G602" s="1559"/>
      <c r="H602" s="1559"/>
      <c r="I602" s="1559"/>
      <c r="J602" s="1559"/>
      <c r="K602" s="1559"/>
      <c r="L602" s="1559"/>
      <c r="M602" s="1559"/>
      <c r="N602" s="1559"/>
      <c r="O602" s="1559"/>
      <c r="P602" s="1559"/>
      <c r="Q602" s="1559"/>
      <c r="R602" s="1559"/>
      <c r="S602" s="1559"/>
      <c r="T602" s="1559"/>
      <c r="U602" s="1559"/>
      <c r="V602" s="1559"/>
      <c r="W602" s="1560">
        <f>unos!C296</f>
        <v>0</v>
      </c>
      <c r="X602" s="1561"/>
      <c r="Y602" s="1561"/>
      <c r="Z602" s="1561"/>
      <c r="AA602" s="1561"/>
      <c r="AB602" s="1561"/>
      <c r="AC602" s="1561"/>
      <c r="AD602" s="1561"/>
      <c r="AE602" s="1562"/>
      <c r="AF602" s="1563">
        <f>unos!F296</f>
        <v>0</v>
      </c>
      <c r="AG602" s="1561"/>
      <c r="AH602" s="1561"/>
      <c r="AI602" s="1561"/>
      <c r="AJ602" s="1561"/>
      <c r="AK602" s="1561"/>
      <c r="AL602" s="1561"/>
      <c r="AM602" s="1561"/>
      <c r="AN602" s="1562"/>
      <c r="AO602" s="1184">
        <f t="shared" si="24"/>
        <v>0</v>
      </c>
    </row>
    <row r="603" spans="1:41">
      <c r="A603" s="1574" t="str">
        <f>unos!A297</f>
        <v>246</v>
      </c>
      <c r="B603" s="1575"/>
      <c r="C603" s="1575"/>
      <c r="D603" s="1576"/>
      <c r="E603" s="1558" t="str">
        <f>unos!B297</f>
        <v>Druga finans.sredstva označena po fer vrijed.</v>
      </c>
      <c r="F603" s="1559"/>
      <c r="G603" s="1559"/>
      <c r="H603" s="1559"/>
      <c r="I603" s="1559"/>
      <c r="J603" s="1559"/>
      <c r="K603" s="1559"/>
      <c r="L603" s="1559"/>
      <c r="M603" s="1559"/>
      <c r="N603" s="1559"/>
      <c r="O603" s="1559"/>
      <c r="P603" s="1559"/>
      <c r="Q603" s="1559"/>
      <c r="R603" s="1559"/>
      <c r="S603" s="1559"/>
      <c r="T603" s="1559"/>
      <c r="U603" s="1559"/>
      <c r="V603" s="1559"/>
      <c r="W603" s="1560">
        <f>unos!C297</f>
        <v>0</v>
      </c>
      <c r="X603" s="1561"/>
      <c r="Y603" s="1561"/>
      <c r="Z603" s="1561"/>
      <c r="AA603" s="1561"/>
      <c r="AB603" s="1561"/>
      <c r="AC603" s="1561"/>
      <c r="AD603" s="1561"/>
      <c r="AE603" s="1562"/>
      <c r="AF603" s="1563">
        <f>unos!F297</f>
        <v>0</v>
      </c>
      <c r="AG603" s="1561"/>
      <c r="AH603" s="1561"/>
      <c r="AI603" s="1561"/>
      <c r="AJ603" s="1561"/>
      <c r="AK603" s="1561"/>
      <c r="AL603" s="1561"/>
      <c r="AM603" s="1561"/>
      <c r="AN603" s="1562"/>
      <c r="AO603" s="1184">
        <f t="shared" si="24"/>
        <v>0</v>
      </c>
    </row>
    <row r="604" spans="1:41">
      <c r="A604" s="1574" t="str">
        <f>unos!A298</f>
        <v>248</v>
      </c>
      <c r="B604" s="1575"/>
      <c r="C604" s="1575"/>
      <c r="D604" s="1576"/>
      <c r="E604" s="1558" t="str">
        <f>unos!B298</f>
        <v>Ostali kartkoročni plasmani</v>
      </c>
      <c r="F604" s="1559"/>
      <c r="G604" s="1559"/>
      <c r="H604" s="1559"/>
      <c r="I604" s="1559"/>
      <c r="J604" s="1559"/>
      <c r="K604" s="1559"/>
      <c r="L604" s="1559"/>
      <c r="M604" s="1559"/>
      <c r="N604" s="1559"/>
      <c r="O604" s="1559"/>
      <c r="P604" s="1559"/>
      <c r="Q604" s="1559"/>
      <c r="R604" s="1559"/>
      <c r="S604" s="1559"/>
      <c r="T604" s="1559"/>
      <c r="U604" s="1559"/>
      <c r="V604" s="1559"/>
      <c r="W604" s="1560">
        <f>unos!C298</f>
        <v>0</v>
      </c>
      <c r="X604" s="1561"/>
      <c r="Y604" s="1561"/>
      <c r="Z604" s="1561"/>
      <c r="AA604" s="1561"/>
      <c r="AB604" s="1561"/>
      <c r="AC604" s="1561"/>
      <c r="AD604" s="1561"/>
      <c r="AE604" s="1562"/>
      <c r="AF604" s="1563">
        <f>unos!F298</f>
        <v>0</v>
      </c>
      <c r="AG604" s="1561"/>
      <c r="AH604" s="1561"/>
      <c r="AI604" s="1561"/>
      <c r="AJ604" s="1561"/>
      <c r="AK604" s="1561"/>
      <c r="AL604" s="1561"/>
      <c r="AM604" s="1561"/>
      <c r="AN604" s="1562"/>
      <c r="AO604" s="1184">
        <f t="shared" si="24"/>
        <v>0</v>
      </c>
    </row>
    <row r="605" spans="1:41">
      <c r="A605" s="1574" t="str">
        <f>unos!A299</f>
        <v>249</v>
      </c>
      <c r="B605" s="1575"/>
      <c r="C605" s="1575"/>
      <c r="D605" s="1576"/>
      <c r="E605" s="1558" t="str">
        <f>unos!B299</f>
        <v>Ispravka vrijednosti kratkoročnih fin.plasman</v>
      </c>
      <c r="F605" s="1559"/>
      <c r="G605" s="1559"/>
      <c r="H605" s="1559"/>
      <c r="I605" s="1559"/>
      <c r="J605" s="1559"/>
      <c r="K605" s="1559"/>
      <c r="L605" s="1559"/>
      <c r="M605" s="1559"/>
      <c r="N605" s="1559"/>
      <c r="O605" s="1559"/>
      <c r="P605" s="1559"/>
      <c r="Q605" s="1559"/>
      <c r="R605" s="1559"/>
      <c r="S605" s="1559"/>
      <c r="T605" s="1559"/>
      <c r="U605" s="1559"/>
      <c r="V605" s="1559"/>
      <c r="W605" s="1560">
        <f>SUM(unos!D291:D299)</f>
        <v>0</v>
      </c>
      <c r="X605" s="1561"/>
      <c r="Y605" s="1561"/>
      <c r="Z605" s="1561"/>
      <c r="AA605" s="1561"/>
      <c r="AB605" s="1561"/>
      <c r="AC605" s="1561"/>
      <c r="AD605" s="1561"/>
      <c r="AE605" s="1562"/>
      <c r="AF605" s="1563">
        <f>SUM(unos!G291:G299)</f>
        <v>0</v>
      </c>
      <c r="AG605" s="1561"/>
      <c r="AH605" s="1561"/>
      <c r="AI605" s="1561"/>
      <c r="AJ605" s="1561"/>
      <c r="AK605" s="1561"/>
      <c r="AL605" s="1561"/>
      <c r="AM605" s="1561"/>
      <c r="AN605" s="1562"/>
      <c r="AO605" s="1184">
        <f t="shared" si="24"/>
        <v>0</v>
      </c>
    </row>
    <row r="606" spans="1:41">
      <c r="A606" s="1577"/>
      <c r="B606" s="1577"/>
      <c r="C606" s="1577"/>
      <c r="D606" s="1577"/>
      <c r="E606" s="1167"/>
      <c r="F606" s="1168"/>
      <c r="G606" s="1168"/>
      <c r="H606" s="1168"/>
      <c r="I606" s="1168"/>
      <c r="J606" s="1168"/>
      <c r="K606" s="1168"/>
      <c r="L606" s="1168"/>
      <c r="M606" s="1168"/>
      <c r="N606" s="1168"/>
      <c r="O606" s="1168"/>
      <c r="P606" s="1168"/>
      <c r="Q606" s="1168"/>
      <c r="R606" s="1168"/>
      <c r="S606" s="1167"/>
      <c r="T606" s="1167"/>
      <c r="U606" s="1167"/>
      <c r="V606" s="1169" t="s">
        <v>1997</v>
      </c>
      <c r="W606" s="1578">
        <f>SUM(W597:W605)</f>
        <v>0</v>
      </c>
      <c r="X606" s="1579"/>
      <c r="Y606" s="1579"/>
      <c r="Z606" s="1579"/>
      <c r="AA606" s="1579"/>
      <c r="AB606" s="1579"/>
      <c r="AC606" s="1579"/>
      <c r="AD606" s="1579"/>
      <c r="AE606" s="1580"/>
      <c r="AF606" s="1578">
        <f>SUM(AF597:AF605)</f>
        <v>0</v>
      </c>
      <c r="AG606" s="1579"/>
      <c r="AH606" s="1579"/>
      <c r="AI606" s="1579"/>
      <c r="AJ606" s="1579"/>
      <c r="AK606" s="1579"/>
      <c r="AL606" s="1579"/>
      <c r="AM606" s="1579"/>
      <c r="AN606" s="1580"/>
      <c r="AO606" s="1185">
        <f t="shared" si="24"/>
        <v>0</v>
      </c>
    </row>
    <row r="608" spans="1:41">
      <c r="A608" s="1581"/>
      <c r="B608" s="1581"/>
      <c r="C608" s="1581"/>
      <c r="D608" s="1581"/>
      <c r="E608" s="1581"/>
      <c r="F608" s="1581"/>
      <c r="G608" s="1581"/>
      <c r="H608" s="1581"/>
      <c r="I608" s="1581"/>
      <c r="J608" s="1581"/>
      <c r="K608" s="1581"/>
      <c r="L608" s="1581"/>
      <c r="M608" s="1581"/>
      <c r="N608" s="1581"/>
      <c r="O608" s="1581"/>
      <c r="P608" s="1581"/>
      <c r="Q608" s="1581"/>
      <c r="R608" s="1581"/>
      <c r="S608" s="1581"/>
      <c r="T608" s="1581"/>
      <c r="U608" s="1581"/>
      <c r="V608" s="1581"/>
      <c r="W608" s="1581"/>
      <c r="X608" s="1581"/>
      <c r="Y608" s="1581"/>
      <c r="Z608" s="1581"/>
      <c r="AA608" s="1581"/>
      <c r="AB608" s="1581"/>
      <c r="AC608" s="1581"/>
      <c r="AD608" s="1581"/>
      <c r="AE608" s="1581"/>
      <c r="AF608" s="1581"/>
      <c r="AG608" s="1581"/>
      <c r="AH608" s="1581"/>
      <c r="AI608" s="1581"/>
      <c r="AJ608" s="1581"/>
      <c r="AK608" s="1581"/>
      <c r="AL608" s="1581"/>
      <c r="AM608" s="1581"/>
      <c r="AN608" s="1581"/>
    </row>
    <row r="609" spans="1:41">
      <c r="A609" s="1581"/>
      <c r="B609" s="1581"/>
      <c r="C609" s="1581"/>
      <c r="D609" s="1581"/>
      <c r="E609" s="1581"/>
      <c r="F609" s="1581"/>
      <c r="G609" s="1581"/>
      <c r="H609" s="1581"/>
      <c r="I609" s="1581"/>
      <c r="J609" s="1581"/>
      <c r="K609" s="1581"/>
      <c r="L609" s="1581"/>
      <c r="M609" s="1581"/>
      <c r="N609" s="1581"/>
      <c r="O609" s="1581"/>
      <c r="P609" s="1581"/>
      <c r="Q609" s="1581"/>
      <c r="R609" s="1581"/>
      <c r="S609" s="1581"/>
      <c r="T609" s="1581"/>
      <c r="U609" s="1581"/>
      <c r="V609" s="1581"/>
      <c r="W609" s="1581"/>
      <c r="X609" s="1581"/>
      <c r="Y609" s="1581"/>
      <c r="Z609" s="1581"/>
      <c r="AA609" s="1581"/>
      <c r="AB609" s="1581"/>
      <c r="AC609" s="1581"/>
      <c r="AD609" s="1581"/>
      <c r="AE609" s="1581"/>
      <c r="AF609" s="1581"/>
      <c r="AG609" s="1581"/>
      <c r="AH609" s="1581"/>
      <c r="AI609" s="1581"/>
      <c r="AJ609" s="1581"/>
      <c r="AK609" s="1581"/>
      <c r="AL609" s="1581"/>
      <c r="AM609" s="1581"/>
      <c r="AN609" s="1581"/>
    </row>
    <row r="610" spans="1:41">
      <c r="A610" s="1581"/>
      <c r="B610" s="1581"/>
      <c r="C610" s="1581"/>
      <c r="D610" s="1581"/>
      <c r="E610" s="1581"/>
      <c r="F610" s="1581"/>
      <c r="G610" s="1581"/>
      <c r="H610" s="1581"/>
      <c r="I610" s="1581"/>
      <c r="J610" s="1581"/>
      <c r="K610" s="1581"/>
      <c r="L610" s="1581"/>
      <c r="M610" s="1581"/>
      <c r="N610" s="1581"/>
      <c r="O610" s="1581"/>
      <c r="P610" s="1581"/>
      <c r="Q610" s="1581"/>
      <c r="R610" s="1581"/>
      <c r="S610" s="1581"/>
      <c r="T610" s="1581"/>
      <c r="U610" s="1581"/>
      <c r="V610" s="1581"/>
      <c r="W610" s="1581"/>
      <c r="X610" s="1581"/>
      <c r="Y610" s="1581"/>
      <c r="Z610" s="1581"/>
      <c r="AA610" s="1581"/>
      <c r="AB610" s="1581"/>
      <c r="AC610" s="1581"/>
      <c r="AD610" s="1581"/>
      <c r="AE610" s="1581"/>
      <c r="AF610" s="1581"/>
      <c r="AG610" s="1581"/>
      <c r="AH610" s="1581"/>
      <c r="AI610" s="1581"/>
      <c r="AJ610" s="1581"/>
      <c r="AK610" s="1581"/>
      <c r="AL610" s="1581"/>
      <c r="AM610" s="1581"/>
      <c r="AN610" s="1581"/>
    </row>
    <row r="611" spans="1:41">
      <c r="A611" s="1581"/>
      <c r="B611" s="1581"/>
      <c r="C611" s="1581"/>
      <c r="D611" s="1581"/>
      <c r="E611" s="1581"/>
      <c r="F611" s="1581"/>
      <c r="G611" s="1581"/>
      <c r="H611" s="1581"/>
      <c r="I611" s="1581"/>
      <c r="J611" s="1581"/>
      <c r="K611" s="1581"/>
      <c r="L611" s="1581"/>
      <c r="M611" s="1581"/>
      <c r="N611" s="1581"/>
      <c r="O611" s="1581"/>
      <c r="P611" s="1581"/>
      <c r="Q611" s="1581"/>
      <c r="R611" s="1581"/>
      <c r="S611" s="1581"/>
      <c r="T611" s="1581"/>
      <c r="U611" s="1581"/>
      <c r="V611" s="1581"/>
      <c r="W611" s="1581"/>
      <c r="X611" s="1581"/>
      <c r="Y611" s="1581"/>
      <c r="Z611" s="1581"/>
      <c r="AA611" s="1581"/>
      <c r="AB611" s="1581"/>
      <c r="AC611" s="1581"/>
      <c r="AD611" s="1581"/>
      <c r="AE611" s="1581"/>
      <c r="AF611" s="1581"/>
      <c r="AG611" s="1581"/>
      <c r="AH611" s="1581"/>
      <c r="AI611" s="1581"/>
      <c r="AJ611" s="1581"/>
      <c r="AK611" s="1581"/>
      <c r="AL611" s="1581"/>
      <c r="AM611" s="1581"/>
      <c r="AN611" s="1581"/>
    </row>
    <row r="612" spans="1:41" ht="12.75" customHeight="1">
      <c r="A612" s="828" t="s">
        <v>1933</v>
      </c>
      <c r="B612" s="828" t="s">
        <v>69</v>
      </c>
    </row>
    <row r="614" spans="1:41" ht="14.25" customHeight="1">
      <c r="W614" s="1170" t="s">
        <v>1995</v>
      </c>
      <c r="X614" s="1171"/>
      <c r="Y614" s="1171"/>
      <c r="Z614" s="1171"/>
      <c r="AA614" s="1171"/>
      <c r="AB614" s="1171"/>
      <c r="AC614" s="1171"/>
      <c r="AD614" s="1171"/>
      <c r="AE614" s="1171"/>
      <c r="AF614" s="1171"/>
      <c r="AG614" s="1171"/>
      <c r="AH614" s="1171"/>
      <c r="AI614" s="1171"/>
      <c r="AJ614" s="1171"/>
      <c r="AK614" s="1171"/>
      <c r="AL614" s="1171"/>
      <c r="AM614" s="1171"/>
      <c r="AN614" s="1172"/>
    </row>
    <row r="615" spans="1:41">
      <c r="A615" s="1582" t="s">
        <v>1996</v>
      </c>
      <c r="B615" s="1583"/>
      <c r="C615" s="1583"/>
      <c r="D615" s="1584"/>
      <c r="E615" s="1567" t="s">
        <v>796</v>
      </c>
      <c r="F615" s="1567"/>
      <c r="G615" s="1567"/>
      <c r="H615" s="1567"/>
      <c r="I615" s="1567"/>
      <c r="J615" s="1567"/>
      <c r="K615" s="1567"/>
      <c r="L615" s="1567"/>
      <c r="M615" s="1567"/>
      <c r="N615" s="1567"/>
      <c r="O615" s="1567"/>
      <c r="P615" s="1567"/>
      <c r="Q615" s="1567"/>
      <c r="R615" s="1567"/>
      <c r="S615" s="1567"/>
      <c r="T615" s="1567"/>
      <c r="U615" s="1567"/>
      <c r="V615" s="1567"/>
      <c r="W615" s="1568" t="s">
        <v>1039</v>
      </c>
      <c r="X615" s="1569"/>
      <c r="Y615" s="1569"/>
      <c r="Z615" s="1569"/>
      <c r="AA615" s="1569"/>
      <c r="AB615" s="1569"/>
      <c r="AC615" s="1569"/>
      <c r="AD615" s="1569"/>
      <c r="AE615" s="1570"/>
      <c r="AF615" s="1571" t="s">
        <v>278</v>
      </c>
      <c r="AG615" s="1572"/>
      <c r="AH615" s="1572"/>
      <c r="AI615" s="1572"/>
      <c r="AJ615" s="1572"/>
      <c r="AK615" s="1572"/>
      <c r="AL615" s="1572"/>
      <c r="AM615" s="1572"/>
      <c r="AN615" s="1573"/>
      <c r="AO615" s="1187" t="s">
        <v>2766</v>
      </c>
    </row>
    <row r="616" spans="1:41">
      <c r="A616" s="1574" t="str">
        <f>unos!A300</f>
        <v>270</v>
      </c>
      <c r="B616" s="1575"/>
      <c r="C616" s="1575"/>
      <c r="D616" s="1576"/>
      <c r="E616" s="1558" t="str">
        <f>unos!B300</f>
        <v>PDV u primljenim fakturama</v>
      </c>
      <c r="F616" s="1559"/>
      <c r="G616" s="1559"/>
      <c r="H616" s="1559"/>
      <c r="I616" s="1559"/>
      <c r="J616" s="1559"/>
      <c r="K616" s="1559"/>
      <c r="L616" s="1559"/>
      <c r="M616" s="1559"/>
      <c r="N616" s="1559"/>
      <c r="O616" s="1559"/>
      <c r="P616" s="1559"/>
      <c r="Q616" s="1559"/>
      <c r="R616" s="1559"/>
      <c r="S616" s="1559"/>
      <c r="T616" s="1559"/>
      <c r="U616" s="1559"/>
      <c r="V616" s="1559"/>
      <c r="W616" s="1560">
        <f>unos!C300</f>
        <v>0</v>
      </c>
      <c r="X616" s="1561"/>
      <c r="Y616" s="1561"/>
      <c r="Z616" s="1561"/>
      <c r="AA616" s="1561"/>
      <c r="AB616" s="1561"/>
      <c r="AC616" s="1561"/>
      <c r="AD616" s="1561"/>
      <c r="AE616" s="1562"/>
      <c r="AF616" s="1563">
        <f>unos!F300</f>
        <v>0</v>
      </c>
      <c r="AG616" s="1561"/>
      <c r="AH616" s="1561"/>
      <c r="AI616" s="1561"/>
      <c r="AJ616" s="1561"/>
      <c r="AK616" s="1561"/>
      <c r="AL616" s="1561"/>
      <c r="AM616" s="1561"/>
      <c r="AN616" s="1562"/>
      <c r="AO616" s="1184">
        <f>IF(OR(W616=0,AF616=0),0,ROUND(AF616/W616,4))</f>
        <v>0</v>
      </c>
    </row>
    <row r="617" spans="1:41">
      <c r="A617" s="1574" t="str">
        <f>unos!A301</f>
        <v>271</v>
      </c>
      <c r="B617" s="1575"/>
      <c r="C617" s="1575"/>
      <c r="D617" s="1576"/>
      <c r="E617" s="1558" t="str">
        <f>unos!B301</f>
        <v>PDV plaćen pri uvozu dobara</v>
      </c>
      <c r="F617" s="1559"/>
      <c r="G617" s="1559"/>
      <c r="H617" s="1559"/>
      <c r="I617" s="1559"/>
      <c r="J617" s="1559"/>
      <c r="K617" s="1559"/>
      <c r="L617" s="1559"/>
      <c r="M617" s="1559"/>
      <c r="N617" s="1559"/>
      <c r="O617" s="1559"/>
      <c r="P617" s="1559"/>
      <c r="Q617" s="1559"/>
      <c r="R617" s="1559"/>
      <c r="S617" s="1559"/>
      <c r="T617" s="1559"/>
      <c r="U617" s="1559"/>
      <c r="V617" s="1559"/>
      <c r="W617" s="1560">
        <f>unos!C301</f>
        <v>0</v>
      </c>
      <c r="X617" s="1561"/>
      <c r="Y617" s="1561"/>
      <c r="Z617" s="1561"/>
      <c r="AA617" s="1561"/>
      <c r="AB617" s="1561"/>
      <c r="AC617" s="1561"/>
      <c r="AD617" s="1561"/>
      <c r="AE617" s="1562"/>
      <c r="AF617" s="1563">
        <f>unos!F301</f>
        <v>0</v>
      </c>
      <c r="AG617" s="1561"/>
      <c r="AH617" s="1561"/>
      <c r="AI617" s="1561"/>
      <c r="AJ617" s="1561"/>
      <c r="AK617" s="1561"/>
      <c r="AL617" s="1561"/>
      <c r="AM617" s="1561"/>
      <c r="AN617" s="1562"/>
      <c r="AO617" s="1184">
        <f t="shared" ref="AO617:AO625" si="25">IF(OR(W617=0,AF617=0),0,ROUND(AF617/W617,4))</f>
        <v>0</v>
      </c>
    </row>
    <row r="618" spans="1:41">
      <c r="A618" s="1574" t="str">
        <f>unos!A302</f>
        <v>272</v>
      </c>
      <c r="B618" s="1575"/>
      <c r="C618" s="1575"/>
      <c r="D618" s="1576"/>
      <c r="E618" s="1558" t="str">
        <f>unos!B302</f>
        <v>PDV sadržan u datim avansima</v>
      </c>
      <c r="F618" s="1559"/>
      <c r="G618" s="1559"/>
      <c r="H618" s="1559"/>
      <c r="I618" s="1559"/>
      <c r="J618" s="1559"/>
      <c r="K618" s="1559"/>
      <c r="L618" s="1559"/>
      <c r="M618" s="1559"/>
      <c r="N618" s="1559"/>
      <c r="O618" s="1559"/>
      <c r="P618" s="1559"/>
      <c r="Q618" s="1559"/>
      <c r="R618" s="1559"/>
      <c r="S618" s="1559"/>
      <c r="T618" s="1559"/>
      <c r="U618" s="1559"/>
      <c r="V618" s="1559"/>
      <c r="W618" s="1560">
        <f>unos!C302</f>
        <v>0</v>
      </c>
      <c r="X618" s="1561"/>
      <c r="Y618" s="1561"/>
      <c r="Z618" s="1561"/>
      <c r="AA618" s="1561"/>
      <c r="AB618" s="1561"/>
      <c r="AC618" s="1561"/>
      <c r="AD618" s="1561"/>
      <c r="AE618" s="1562"/>
      <c r="AF618" s="1563">
        <f>unos!F302</f>
        <v>0</v>
      </c>
      <c r="AG618" s="1561"/>
      <c r="AH618" s="1561"/>
      <c r="AI618" s="1561"/>
      <c r="AJ618" s="1561"/>
      <c r="AK618" s="1561"/>
      <c r="AL618" s="1561"/>
      <c r="AM618" s="1561"/>
      <c r="AN618" s="1562"/>
      <c r="AO618" s="1184">
        <f t="shared" si="25"/>
        <v>0</v>
      </c>
    </row>
    <row r="619" spans="1:41">
      <c r="A619" s="1574" t="str">
        <f>unos!A303</f>
        <v>273</v>
      </c>
      <c r="B619" s="1575"/>
      <c r="C619" s="1575"/>
      <c r="D619" s="1576"/>
      <c r="E619" s="1558" t="str">
        <f>unos!B303</f>
        <v>PDV obračunat na usluge stranih lica</v>
      </c>
      <c r="F619" s="1559"/>
      <c r="G619" s="1559"/>
      <c r="H619" s="1559"/>
      <c r="I619" s="1559"/>
      <c r="J619" s="1559"/>
      <c r="K619" s="1559"/>
      <c r="L619" s="1559"/>
      <c r="M619" s="1559"/>
      <c r="N619" s="1559"/>
      <c r="O619" s="1559"/>
      <c r="P619" s="1559"/>
      <c r="Q619" s="1559"/>
      <c r="R619" s="1559"/>
      <c r="S619" s="1559"/>
      <c r="T619" s="1559"/>
      <c r="U619" s="1559"/>
      <c r="V619" s="1559"/>
      <c r="W619" s="1560">
        <f>unos!C303</f>
        <v>0</v>
      </c>
      <c r="X619" s="1561"/>
      <c r="Y619" s="1561"/>
      <c r="Z619" s="1561"/>
      <c r="AA619" s="1561"/>
      <c r="AB619" s="1561"/>
      <c r="AC619" s="1561"/>
      <c r="AD619" s="1561"/>
      <c r="AE619" s="1562"/>
      <c r="AF619" s="1563">
        <f>unos!F303</f>
        <v>0</v>
      </c>
      <c r="AG619" s="1561"/>
      <c r="AH619" s="1561"/>
      <c r="AI619" s="1561"/>
      <c r="AJ619" s="1561"/>
      <c r="AK619" s="1561"/>
      <c r="AL619" s="1561"/>
      <c r="AM619" s="1561"/>
      <c r="AN619" s="1562"/>
      <c r="AO619" s="1184">
        <f t="shared" si="25"/>
        <v>0</v>
      </c>
    </row>
    <row r="620" spans="1:41">
      <c r="A620" s="1574" t="str">
        <f>unos!A304</f>
        <v>274</v>
      </c>
      <c r="B620" s="1575"/>
      <c r="C620" s="1575"/>
      <c r="D620" s="1576"/>
      <c r="E620" s="1558" t="str">
        <f>unos!B304</f>
        <v>Paušalni iznos PDV-a isplaćen poljoprivrednic</v>
      </c>
      <c r="F620" s="1559"/>
      <c r="G620" s="1559"/>
      <c r="H620" s="1559"/>
      <c r="I620" s="1559"/>
      <c r="J620" s="1559"/>
      <c r="K620" s="1559"/>
      <c r="L620" s="1559"/>
      <c r="M620" s="1559"/>
      <c r="N620" s="1559"/>
      <c r="O620" s="1559"/>
      <c r="P620" s="1559"/>
      <c r="Q620" s="1559"/>
      <c r="R620" s="1559"/>
      <c r="S620" s="1559"/>
      <c r="T620" s="1559"/>
      <c r="U620" s="1559"/>
      <c r="V620" s="1559"/>
      <c r="W620" s="1560">
        <f>unos!C304</f>
        <v>0</v>
      </c>
      <c r="X620" s="1561"/>
      <c r="Y620" s="1561"/>
      <c r="Z620" s="1561"/>
      <c r="AA620" s="1561"/>
      <c r="AB620" s="1561"/>
      <c r="AC620" s="1561"/>
      <c r="AD620" s="1561"/>
      <c r="AE620" s="1562"/>
      <c r="AF620" s="1563">
        <f>unos!F304</f>
        <v>0</v>
      </c>
      <c r="AG620" s="1561"/>
      <c r="AH620" s="1561"/>
      <c r="AI620" s="1561"/>
      <c r="AJ620" s="1561"/>
      <c r="AK620" s="1561"/>
      <c r="AL620" s="1561"/>
      <c r="AM620" s="1561"/>
      <c r="AN620" s="1562"/>
      <c r="AO620" s="1184">
        <f t="shared" si="25"/>
        <v>0</v>
      </c>
    </row>
    <row r="621" spans="1:41">
      <c r="A621" s="1574" t="str">
        <f>unos!A305</f>
        <v>275</v>
      </c>
      <c r="B621" s="1575"/>
      <c r="C621" s="1575"/>
      <c r="D621" s="1576"/>
      <c r="E621" s="1558" t="str">
        <f>unos!B305</f>
        <v>Ulazni porez uplaćen po posebnoj šemi</v>
      </c>
      <c r="F621" s="1559"/>
      <c r="G621" s="1559"/>
      <c r="H621" s="1559"/>
      <c r="I621" s="1559"/>
      <c r="J621" s="1559"/>
      <c r="K621" s="1559"/>
      <c r="L621" s="1559"/>
      <c r="M621" s="1559"/>
      <c r="N621" s="1559"/>
      <c r="O621" s="1559"/>
      <c r="P621" s="1559"/>
      <c r="Q621" s="1559"/>
      <c r="R621" s="1559"/>
      <c r="S621" s="1559"/>
      <c r="T621" s="1559"/>
      <c r="U621" s="1559"/>
      <c r="V621" s="1559"/>
      <c r="W621" s="1560">
        <f>unos!C305</f>
        <v>0</v>
      </c>
      <c r="X621" s="1561"/>
      <c r="Y621" s="1561"/>
      <c r="Z621" s="1561"/>
      <c r="AA621" s="1561"/>
      <c r="AB621" s="1561"/>
      <c r="AC621" s="1561"/>
      <c r="AD621" s="1561"/>
      <c r="AE621" s="1562"/>
      <c r="AF621" s="1563">
        <f>unos!F305</f>
        <v>0</v>
      </c>
      <c r="AG621" s="1561"/>
      <c r="AH621" s="1561"/>
      <c r="AI621" s="1561"/>
      <c r="AJ621" s="1561"/>
      <c r="AK621" s="1561"/>
      <c r="AL621" s="1561"/>
      <c r="AM621" s="1561"/>
      <c r="AN621" s="1562"/>
      <c r="AO621" s="1184">
        <f t="shared" si="25"/>
        <v>0</v>
      </c>
    </row>
    <row r="622" spans="1:41">
      <c r="A622" s="1574" t="str">
        <f>unos!A306</f>
        <v>276</v>
      </c>
      <c r="B622" s="1575"/>
      <c r="C622" s="1575"/>
      <c r="D622" s="1576"/>
      <c r="E622" s="1558" t="str">
        <f>unos!B306</f>
        <v>Ulazni porez na koji nije stečeno pr.odbitka</v>
      </c>
      <c r="F622" s="1559"/>
      <c r="G622" s="1559"/>
      <c r="H622" s="1559"/>
      <c r="I622" s="1559"/>
      <c r="J622" s="1559"/>
      <c r="K622" s="1559"/>
      <c r="L622" s="1559"/>
      <c r="M622" s="1559"/>
      <c r="N622" s="1559"/>
      <c r="O622" s="1559"/>
      <c r="P622" s="1559"/>
      <c r="Q622" s="1559"/>
      <c r="R622" s="1559"/>
      <c r="S622" s="1559"/>
      <c r="T622" s="1559"/>
      <c r="U622" s="1559"/>
      <c r="V622" s="1559"/>
      <c r="W622" s="1560">
        <f>unos!C306</f>
        <v>0</v>
      </c>
      <c r="X622" s="1561"/>
      <c r="Y622" s="1561"/>
      <c r="Z622" s="1561"/>
      <c r="AA622" s="1561"/>
      <c r="AB622" s="1561"/>
      <c r="AC622" s="1561"/>
      <c r="AD622" s="1561"/>
      <c r="AE622" s="1562"/>
      <c r="AF622" s="1563">
        <f>unos!F306</f>
        <v>0</v>
      </c>
      <c r="AG622" s="1561"/>
      <c r="AH622" s="1561"/>
      <c r="AI622" s="1561"/>
      <c r="AJ622" s="1561"/>
      <c r="AK622" s="1561"/>
      <c r="AL622" s="1561"/>
      <c r="AM622" s="1561"/>
      <c r="AN622" s="1562"/>
      <c r="AO622" s="1184">
        <f t="shared" si="25"/>
        <v>0</v>
      </c>
    </row>
    <row r="623" spans="1:41">
      <c r="A623" s="1574" t="str">
        <f>unos!A307</f>
        <v>278</v>
      </c>
      <c r="B623" s="1575"/>
      <c r="C623" s="1575"/>
      <c r="D623" s="1576"/>
      <c r="E623" s="1558" t="str">
        <f>unos!B307</f>
        <v>Druga potraživanja iz osnova PDV-a</v>
      </c>
      <c r="F623" s="1559"/>
      <c r="G623" s="1559"/>
      <c r="H623" s="1559"/>
      <c r="I623" s="1559"/>
      <c r="J623" s="1559"/>
      <c r="K623" s="1559"/>
      <c r="L623" s="1559"/>
      <c r="M623" s="1559"/>
      <c r="N623" s="1559"/>
      <c r="O623" s="1559"/>
      <c r="P623" s="1559"/>
      <c r="Q623" s="1559"/>
      <c r="R623" s="1559"/>
      <c r="S623" s="1559"/>
      <c r="T623" s="1559"/>
      <c r="U623" s="1559"/>
      <c r="V623" s="1559"/>
      <c r="W623" s="1560">
        <f>unos!C307</f>
        <v>0</v>
      </c>
      <c r="X623" s="1561"/>
      <c r="Y623" s="1561"/>
      <c r="Z623" s="1561"/>
      <c r="AA623" s="1561"/>
      <c r="AB623" s="1561"/>
      <c r="AC623" s="1561"/>
      <c r="AD623" s="1561"/>
      <c r="AE623" s="1562"/>
      <c r="AF623" s="1563">
        <f>unos!F307</f>
        <v>0</v>
      </c>
      <c r="AG623" s="1561"/>
      <c r="AH623" s="1561"/>
      <c r="AI623" s="1561"/>
      <c r="AJ623" s="1561"/>
      <c r="AK623" s="1561"/>
      <c r="AL623" s="1561"/>
      <c r="AM623" s="1561"/>
      <c r="AN623" s="1562"/>
      <c r="AO623" s="1184">
        <f t="shared" si="25"/>
        <v>0</v>
      </c>
    </row>
    <row r="624" spans="1:41">
      <c r="A624" s="1574" t="str">
        <f>unos!A308</f>
        <v>279</v>
      </c>
      <c r="B624" s="1575"/>
      <c r="C624" s="1575"/>
      <c r="D624" s="1576"/>
      <c r="E624" s="1558" t="str">
        <f>unos!B308</f>
        <v>Potraž.za razliku ulaznog PDV-a i obav.za PDV</v>
      </c>
      <c r="F624" s="1559"/>
      <c r="G624" s="1559"/>
      <c r="H624" s="1559"/>
      <c r="I624" s="1559"/>
      <c r="J624" s="1559"/>
      <c r="K624" s="1559"/>
      <c r="L624" s="1559"/>
      <c r="M624" s="1559"/>
      <c r="N624" s="1559"/>
      <c r="O624" s="1559"/>
      <c r="P624" s="1559"/>
      <c r="Q624" s="1559"/>
      <c r="R624" s="1559"/>
      <c r="S624" s="1559"/>
      <c r="T624" s="1559"/>
      <c r="U624" s="1559"/>
      <c r="V624" s="1559"/>
      <c r="W624" s="1560">
        <f>unos!C308</f>
        <v>0</v>
      </c>
      <c r="X624" s="1561"/>
      <c r="Y624" s="1561"/>
      <c r="Z624" s="1561"/>
      <c r="AA624" s="1561"/>
      <c r="AB624" s="1561"/>
      <c r="AC624" s="1561"/>
      <c r="AD624" s="1561"/>
      <c r="AE624" s="1562"/>
      <c r="AF624" s="1563">
        <f>unos!F308</f>
        <v>0</v>
      </c>
      <c r="AG624" s="1561"/>
      <c r="AH624" s="1561"/>
      <c r="AI624" s="1561"/>
      <c r="AJ624" s="1561"/>
      <c r="AK624" s="1561"/>
      <c r="AL624" s="1561"/>
      <c r="AM624" s="1561"/>
      <c r="AN624" s="1562"/>
      <c r="AO624" s="1184">
        <f t="shared" si="25"/>
        <v>0</v>
      </c>
    </row>
    <row r="625" spans="1:41">
      <c r="A625" s="1577"/>
      <c r="B625" s="1577"/>
      <c r="C625" s="1577"/>
      <c r="D625" s="1577"/>
      <c r="E625" s="1167"/>
      <c r="F625" s="1168"/>
      <c r="G625" s="1168"/>
      <c r="H625" s="1168"/>
      <c r="I625" s="1168"/>
      <c r="J625" s="1168"/>
      <c r="K625" s="1168"/>
      <c r="L625" s="1168"/>
      <c r="M625" s="1168"/>
      <c r="N625" s="1168"/>
      <c r="O625" s="1168"/>
      <c r="P625" s="1168"/>
      <c r="Q625" s="1168"/>
      <c r="R625" s="1168"/>
      <c r="S625" s="1167"/>
      <c r="T625" s="1167"/>
      <c r="U625" s="1167"/>
      <c r="V625" s="1169" t="s">
        <v>1997</v>
      </c>
      <c r="W625" s="1578">
        <f>SUM(W616:W624)</f>
        <v>0</v>
      </c>
      <c r="X625" s="1579"/>
      <c r="Y625" s="1579"/>
      <c r="Z625" s="1579"/>
      <c r="AA625" s="1579"/>
      <c r="AB625" s="1579"/>
      <c r="AC625" s="1579"/>
      <c r="AD625" s="1579"/>
      <c r="AE625" s="1580"/>
      <c r="AF625" s="1578">
        <f>SUM(AF616:AF624)</f>
        <v>0</v>
      </c>
      <c r="AG625" s="1579"/>
      <c r="AH625" s="1579"/>
      <c r="AI625" s="1579"/>
      <c r="AJ625" s="1579"/>
      <c r="AK625" s="1579"/>
      <c r="AL625" s="1579"/>
      <c r="AM625" s="1579"/>
      <c r="AN625" s="1580"/>
      <c r="AO625" s="1185">
        <f t="shared" si="25"/>
        <v>0</v>
      </c>
    </row>
    <row r="627" spans="1:41">
      <c r="A627" s="1581"/>
      <c r="B627" s="1581"/>
      <c r="C627" s="1581"/>
      <c r="D627" s="1581"/>
      <c r="E627" s="1581"/>
      <c r="F627" s="1581"/>
      <c r="G627" s="1581"/>
      <c r="H627" s="1581"/>
      <c r="I627" s="1581"/>
      <c r="J627" s="1581"/>
      <c r="K627" s="1581"/>
      <c r="L627" s="1581"/>
      <c r="M627" s="1581"/>
      <c r="N627" s="1581"/>
      <c r="O627" s="1581"/>
      <c r="P627" s="1581"/>
      <c r="Q627" s="1581"/>
      <c r="R627" s="1581"/>
      <c r="S627" s="1581"/>
      <c r="T627" s="1581"/>
      <c r="U627" s="1581"/>
      <c r="V627" s="1581"/>
      <c r="W627" s="1581"/>
      <c r="X627" s="1581"/>
      <c r="Y627" s="1581"/>
      <c r="Z627" s="1581"/>
      <c r="AA627" s="1581"/>
      <c r="AB627" s="1581"/>
      <c r="AC627" s="1581"/>
      <c r="AD627" s="1581"/>
      <c r="AE627" s="1581"/>
      <c r="AF627" s="1581"/>
      <c r="AG627" s="1581"/>
      <c r="AH627" s="1581"/>
      <c r="AI627" s="1581"/>
      <c r="AJ627" s="1581"/>
      <c r="AK627" s="1581"/>
      <c r="AL627" s="1581"/>
      <c r="AM627" s="1581"/>
      <c r="AN627" s="1581"/>
    </row>
    <row r="628" spans="1:41">
      <c r="A628" s="1581"/>
      <c r="B628" s="1581"/>
      <c r="C628" s="1581"/>
      <c r="D628" s="1581"/>
      <c r="E628" s="1581"/>
      <c r="F628" s="1581"/>
      <c r="G628" s="1581"/>
      <c r="H628" s="1581"/>
      <c r="I628" s="1581"/>
      <c r="J628" s="1581"/>
      <c r="K628" s="1581"/>
      <c r="L628" s="1581"/>
      <c r="M628" s="1581"/>
      <c r="N628" s="1581"/>
      <c r="O628" s="1581"/>
      <c r="P628" s="1581"/>
      <c r="Q628" s="1581"/>
      <c r="R628" s="1581"/>
      <c r="S628" s="1581"/>
      <c r="T628" s="1581"/>
      <c r="U628" s="1581"/>
      <c r="V628" s="1581"/>
      <c r="W628" s="1581"/>
      <c r="X628" s="1581"/>
      <c r="Y628" s="1581"/>
      <c r="Z628" s="1581"/>
      <c r="AA628" s="1581"/>
      <c r="AB628" s="1581"/>
      <c r="AC628" s="1581"/>
      <c r="AD628" s="1581"/>
      <c r="AE628" s="1581"/>
      <c r="AF628" s="1581"/>
      <c r="AG628" s="1581"/>
      <c r="AH628" s="1581"/>
      <c r="AI628" s="1581"/>
      <c r="AJ628" s="1581"/>
      <c r="AK628" s="1581"/>
      <c r="AL628" s="1581"/>
      <c r="AM628" s="1581"/>
      <c r="AN628" s="1581"/>
    </row>
    <row r="629" spans="1:41">
      <c r="A629" s="1581"/>
      <c r="B629" s="1581"/>
      <c r="C629" s="1581"/>
      <c r="D629" s="1581"/>
      <c r="E629" s="1581"/>
      <c r="F629" s="1581"/>
      <c r="G629" s="1581"/>
      <c r="H629" s="1581"/>
      <c r="I629" s="1581"/>
      <c r="J629" s="1581"/>
      <c r="K629" s="1581"/>
      <c r="L629" s="1581"/>
      <c r="M629" s="1581"/>
      <c r="N629" s="1581"/>
      <c r="O629" s="1581"/>
      <c r="P629" s="1581"/>
      <c r="Q629" s="1581"/>
      <c r="R629" s="1581"/>
      <c r="S629" s="1581"/>
      <c r="T629" s="1581"/>
      <c r="U629" s="1581"/>
      <c r="V629" s="1581"/>
      <c r="W629" s="1581"/>
      <c r="X629" s="1581"/>
      <c r="Y629" s="1581"/>
      <c r="Z629" s="1581"/>
      <c r="AA629" s="1581"/>
      <c r="AB629" s="1581"/>
      <c r="AC629" s="1581"/>
      <c r="AD629" s="1581"/>
      <c r="AE629" s="1581"/>
      <c r="AF629" s="1581"/>
      <c r="AG629" s="1581"/>
      <c r="AH629" s="1581"/>
      <c r="AI629" s="1581"/>
      <c r="AJ629" s="1581"/>
      <c r="AK629" s="1581"/>
      <c r="AL629" s="1581"/>
      <c r="AM629" s="1581"/>
      <c r="AN629" s="1581"/>
    </row>
    <row r="630" spans="1:41">
      <c r="A630" s="1581"/>
      <c r="B630" s="1581"/>
      <c r="C630" s="1581"/>
      <c r="D630" s="1581"/>
      <c r="E630" s="1581"/>
      <c r="F630" s="1581"/>
      <c r="G630" s="1581"/>
      <c r="H630" s="1581"/>
      <c r="I630" s="1581"/>
      <c r="J630" s="1581"/>
      <c r="K630" s="1581"/>
      <c r="L630" s="1581"/>
      <c r="M630" s="1581"/>
      <c r="N630" s="1581"/>
      <c r="O630" s="1581"/>
      <c r="P630" s="1581"/>
      <c r="Q630" s="1581"/>
      <c r="R630" s="1581"/>
      <c r="S630" s="1581"/>
      <c r="T630" s="1581"/>
      <c r="U630" s="1581"/>
      <c r="V630" s="1581"/>
      <c r="W630" s="1581"/>
      <c r="X630" s="1581"/>
      <c r="Y630" s="1581"/>
      <c r="Z630" s="1581"/>
      <c r="AA630" s="1581"/>
      <c r="AB630" s="1581"/>
      <c r="AC630" s="1581"/>
      <c r="AD630" s="1581"/>
      <c r="AE630" s="1581"/>
      <c r="AF630" s="1581"/>
      <c r="AG630" s="1581"/>
      <c r="AH630" s="1581"/>
      <c r="AI630" s="1581"/>
      <c r="AJ630" s="1581"/>
      <c r="AK630" s="1581"/>
      <c r="AL630" s="1581"/>
      <c r="AM630" s="1581"/>
      <c r="AN630" s="1581"/>
    </row>
    <row r="631" spans="1:41" ht="12.75" customHeight="1">
      <c r="A631" s="828" t="s">
        <v>1933</v>
      </c>
      <c r="B631" s="828" t="s">
        <v>70</v>
      </c>
    </row>
    <row r="633" spans="1:41" ht="14.25" customHeight="1">
      <c r="W633" s="1170" t="s">
        <v>1995</v>
      </c>
      <c r="X633" s="1171"/>
      <c r="Y633" s="1171"/>
      <c r="Z633" s="1171"/>
      <c r="AA633" s="1171"/>
      <c r="AB633" s="1171"/>
      <c r="AC633" s="1171"/>
      <c r="AD633" s="1171"/>
      <c r="AE633" s="1171"/>
      <c r="AF633" s="1171"/>
      <c r="AG633" s="1171"/>
      <c r="AH633" s="1171"/>
      <c r="AI633" s="1171"/>
      <c r="AJ633" s="1171"/>
      <c r="AK633" s="1171"/>
      <c r="AL633" s="1171"/>
      <c r="AM633" s="1171"/>
      <c r="AN633" s="1172"/>
    </row>
    <row r="634" spans="1:41">
      <c r="A634" s="1582" t="s">
        <v>1996</v>
      </c>
      <c r="B634" s="1583"/>
      <c r="C634" s="1583"/>
      <c r="D634" s="1584"/>
      <c r="E634" s="1567" t="s">
        <v>796</v>
      </c>
      <c r="F634" s="1567"/>
      <c r="G634" s="1567"/>
      <c r="H634" s="1567"/>
      <c r="I634" s="1567"/>
      <c r="J634" s="1567"/>
      <c r="K634" s="1567"/>
      <c r="L634" s="1567"/>
      <c r="M634" s="1567"/>
      <c r="N634" s="1567"/>
      <c r="O634" s="1567"/>
      <c r="P634" s="1567"/>
      <c r="Q634" s="1567"/>
      <c r="R634" s="1567"/>
      <c r="S634" s="1567"/>
      <c r="T634" s="1567"/>
      <c r="U634" s="1567"/>
      <c r="V634" s="1567"/>
      <c r="W634" s="1568" t="s">
        <v>1039</v>
      </c>
      <c r="X634" s="1569"/>
      <c r="Y634" s="1569"/>
      <c r="Z634" s="1569"/>
      <c r="AA634" s="1569"/>
      <c r="AB634" s="1569"/>
      <c r="AC634" s="1569"/>
      <c r="AD634" s="1569"/>
      <c r="AE634" s="1570"/>
      <c r="AF634" s="1571" t="s">
        <v>278</v>
      </c>
      <c r="AG634" s="1572"/>
      <c r="AH634" s="1572"/>
      <c r="AI634" s="1572"/>
      <c r="AJ634" s="1572"/>
      <c r="AK634" s="1572"/>
      <c r="AL634" s="1572"/>
      <c r="AM634" s="1572"/>
      <c r="AN634" s="1573"/>
      <c r="AO634" s="1187" t="s">
        <v>2766</v>
      </c>
    </row>
    <row r="635" spans="1:41">
      <c r="A635" s="1574" t="str">
        <f>unos!A309</f>
        <v>280</v>
      </c>
      <c r="B635" s="1575"/>
      <c r="C635" s="1575"/>
      <c r="D635" s="1576"/>
      <c r="E635" s="1558" t="str">
        <f>unos!B309</f>
        <v>Unaprijed plaćeni rashodi</v>
      </c>
      <c r="F635" s="1559"/>
      <c r="G635" s="1559"/>
      <c r="H635" s="1559"/>
      <c r="I635" s="1559"/>
      <c r="J635" s="1559"/>
      <c r="K635" s="1559"/>
      <c r="L635" s="1559"/>
      <c r="M635" s="1559"/>
      <c r="N635" s="1559"/>
      <c r="O635" s="1559"/>
      <c r="P635" s="1559"/>
      <c r="Q635" s="1559"/>
      <c r="R635" s="1559"/>
      <c r="S635" s="1559"/>
      <c r="T635" s="1559"/>
      <c r="U635" s="1559"/>
      <c r="V635" s="1559"/>
      <c r="W635" s="1560">
        <f>unos!C309</f>
        <v>0</v>
      </c>
      <c r="X635" s="1561"/>
      <c r="Y635" s="1561"/>
      <c r="Z635" s="1561"/>
      <c r="AA635" s="1561"/>
      <c r="AB635" s="1561"/>
      <c r="AC635" s="1561"/>
      <c r="AD635" s="1561"/>
      <c r="AE635" s="1562"/>
      <c r="AF635" s="1563">
        <f>unos!F309</f>
        <v>0</v>
      </c>
      <c r="AG635" s="1561"/>
      <c r="AH635" s="1561"/>
      <c r="AI635" s="1561"/>
      <c r="AJ635" s="1561"/>
      <c r="AK635" s="1561"/>
      <c r="AL635" s="1561"/>
      <c r="AM635" s="1561"/>
      <c r="AN635" s="1562"/>
      <c r="AO635" s="1184">
        <f>IF(OR(W635=0,AF635=0),0,ROUND(AF635/W635,4))</f>
        <v>0</v>
      </c>
    </row>
    <row r="636" spans="1:41">
      <c r="A636" s="1574" t="str">
        <f>unos!A310</f>
        <v>281</v>
      </c>
      <c r="B636" s="1575"/>
      <c r="C636" s="1575"/>
      <c r="D636" s="1576"/>
      <c r="E636" s="1558" t="str">
        <f>unos!B310</f>
        <v>Potraživanja za nefakturisani prihod</v>
      </c>
      <c r="F636" s="1559"/>
      <c r="G636" s="1559"/>
      <c r="H636" s="1559"/>
      <c r="I636" s="1559"/>
      <c r="J636" s="1559"/>
      <c r="K636" s="1559"/>
      <c r="L636" s="1559"/>
      <c r="M636" s="1559"/>
      <c r="N636" s="1559"/>
      <c r="O636" s="1559"/>
      <c r="P636" s="1559"/>
      <c r="Q636" s="1559"/>
      <c r="R636" s="1559"/>
      <c r="S636" s="1559"/>
      <c r="T636" s="1559"/>
      <c r="U636" s="1559"/>
      <c r="V636" s="1559"/>
      <c r="W636" s="1560">
        <f>unos!C310</f>
        <v>0</v>
      </c>
      <c r="X636" s="1561"/>
      <c r="Y636" s="1561"/>
      <c r="Z636" s="1561"/>
      <c r="AA636" s="1561"/>
      <c r="AB636" s="1561"/>
      <c r="AC636" s="1561"/>
      <c r="AD636" s="1561"/>
      <c r="AE636" s="1562"/>
      <c r="AF636" s="1563">
        <f>unos!F310</f>
        <v>0</v>
      </c>
      <c r="AG636" s="1561"/>
      <c r="AH636" s="1561"/>
      <c r="AI636" s="1561"/>
      <c r="AJ636" s="1561"/>
      <c r="AK636" s="1561"/>
      <c r="AL636" s="1561"/>
      <c r="AM636" s="1561"/>
      <c r="AN636" s="1562"/>
      <c r="AO636" s="1184">
        <f t="shared" ref="AO636:AO641" si="26">IF(OR(W636=0,AF636=0),0,ROUND(AF636/W636,4))</f>
        <v>0</v>
      </c>
    </row>
    <row r="637" spans="1:41">
      <c r="A637" s="1574" t="str">
        <f>unos!A311</f>
        <v>282</v>
      </c>
      <c r="B637" s="1575"/>
      <c r="C637" s="1575"/>
      <c r="D637" s="1576"/>
      <c r="E637" s="1558" t="str">
        <f>unos!B311</f>
        <v>Razgraničeni troškovi po osnovu obaveza</v>
      </c>
      <c r="F637" s="1559"/>
      <c r="G637" s="1559"/>
      <c r="H637" s="1559"/>
      <c r="I637" s="1559"/>
      <c r="J637" s="1559"/>
      <c r="K637" s="1559"/>
      <c r="L637" s="1559"/>
      <c r="M637" s="1559"/>
      <c r="N637" s="1559"/>
      <c r="O637" s="1559"/>
      <c r="P637" s="1559"/>
      <c r="Q637" s="1559"/>
      <c r="R637" s="1559"/>
      <c r="S637" s="1559"/>
      <c r="T637" s="1559"/>
      <c r="U637" s="1559"/>
      <c r="V637" s="1559"/>
      <c r="W637" s="1560">
        <f>unos!C311</f>
        <v>0</v>
      </c>
      <c r="X637" s="1561"/>
      <c r="Y637" s="1561"/>
      <c r="Z637" s="1561"/>
      <c r="AA637" s="1561"/>
      <c r="AB637" s="1561"/>
      <c r="AC637" s="1561"/>
      <c r="AD637" s="1561"/>
      <c r="AE637" s="1562"/>
      <c r="AF637" s="1563">
        <f>unos!F311</f>
        <v>0</v>
      </c>
      <c r="AG637" s="1561"/>
      <c r="AH637" s="1561"/>
      <c r="AI637" s="1561"/>
      <c r="AJ637" s="1561"/>
      <c r="AK637" s="1561"/>
      <c r="AL637" s="1561"/>
      <c r="AM637" s="1561"/>
      <c r="AN637" s="1562"/>
      <c r="AO637" s="1184">
        <f t="shared" si="26"/>
        <v>0</v>
      </c>
    </row>
    <row r="638" spans="1:41">
      <c r="A638" s="1574" t="str">
        <f>unos!A312</f>
        <v>283</v>
      </c>
      <c r="B638" s="1575"/>
      <c r="C638" s="1575"/>
      <c r="D638" s="1576"/>
      <c r="E638" s="1558" t="str">
        <f>unos!B312</f>
        <v>Nerealizvani gubici od držanja ul.u vrij.papi</v>
      </c>
      <c r="F638" s="1559"/>
      <c r="G638" s="1559"/>
      <c r="H638" s="1559"/>
      <c r="I638" s="1559"/>
      <c r="J638" s="1559"/>
      <c r="K638" s="1559"/>
      <c r="L638" s="1559"/>
      <c r="M638" s="1559"/>
      <c r="N638" s="1559"/>
      <c r="O638" s="1559"/>
      <c r="P638" s="1559"/>
      <c r="Q638" s="1559"/>
      <c r="R638" s="1559"/>
      <c r="S638" s="1559"/>
      <c r="T638" s="1559"/>
      <c r="U638" s="1559"/>
      <c r="V638" s="1559"/>
      <c r="W638" s="1560">
        <f>unos!C312</f>
        <v>0</v>
      </c>
      <c r="X638" s="1561"/>
      <c r="Y638" s="1561"/>
      <c r="Z638" s="1561"/>
      <c r="AA638" s="1561"/>
      <c r="AB638" s="1561"/>
      <c r="AC638" s="1561"/>
      <c r="AD638" s="1561"/>
      <c r="AE638" s="1562"/>
      <c r="AF638" s="1563">
        <f>unos!F312</f>
        <v>0</v>
      </c>
      <c r="AG638" s="1561"/>
      <c r="AH638" s="1561"/>
      <c r="AI638" s="1561"/>
      <c r="AJ638" s="1561"/>
      <c r="AK638" s="1561"/>
      <c r="AL638" s="1561"/>
      <c r="AM638" s="1561"/>
      <c r="AN638" s="1562"/>
      <c r="AO638" s="1184">
        <f t="shared" si="26"/>
        <v>0</v>
      </c>
    </row>
    <row r="639" spans="1:41">
      <c r="A639" s="1574" t="str">
        <f>unos!A313</f>
        <v>288</v>
      </c>
      <c r="B639" s="1575"/>
      <c r="C639" s="1575"/>
      <c r="D639" s="1576"/>
      <c r="E639" s="1558" t="str">
        <f>unos!B313</f>
        <v>Odložena porezna sredstva</v>
      </c>
      <c r="F639" s="1559"/>
      <c r="G639" s="1559"/>
      <c r="H639" s="1559"/>
      <c r="I639" s="1559"/>
      <c r="J639" s="1559"/>
      <c r="K639" s="1559"/>
      <c r="L639" s="1559"/>
      <c r="M639" s="1559"/>
      <c r="N639" s="1559"/>
      <c r="O639" s="1559"/>
      <c r="P639" s="1559"/>
      <c r="Q639" s="1559"/>
      <c r="R639" s="1559"/>
      <c r="S639" s="1559"/>
      <c r="T639" s="1559"/>
      <c r="U639" s="1559"/>
      <c r="V639" s="1559"/>
      <c r="W639" s="1560">
        <f>unos!C313</f>
        <v>0</v>
      </c>
      <c r="X639" s="1561"/>
      <c r="Y639" s="1561"/>
      <c r="Z639" s="1561"/>
      <c r="AA639" s="1561"/>
      <c r="AB639" s="1561"/>
      <c r="AC639" s="1561"/>
      <c r="AD639" s="1561"/>
      <c r="AE639" s="1562"/>
      <c r="AF639" s="1563">
        <f>unos!F313</f>
        <v>0</v>
      </c>
      <c r="AG639" s="1561"/>
      <c r="AH639" s="1561"/>
      <c r="AI639" s="1561"/>
      <c r="AJ639" s="1561"/>
      <c r="AK639" s="1561"/>
      <c r="AL639" s="1561"/>
      <c r="AM639" s="1561"/>
      <c r="AN639" s="1562"/>
      <c r="AO639" s="1184">
        <f t="shared" si="26"/>
        <v>0</v>
      </c>
    </row>
    <row r="640" spans="1:41">
      <c r="A640" s="1574" t="str">
        <f>unos!A314</f>
        <v>289</v>
      </c>
      <c r="B640" s="1575"/>
      <c r="C640" s="1575"/>
      <c r="D640" s="1576"/>
      <c r="E640" s="1558" t="str">
        <f>unos!B314</f>
        <v>Ostala kratkoročna razgraničenja</v>
      </c>
      <c r="F640" s="1559"/>
      <c r="G640" s="1559"/>
      <c r="H640" s="1559"/>
      <c r="I640" s="1559"/>
      <c r="J640" s="1559"/>
      <c r="K640" s="1559"/>
      <c r="L640" s="1559"/>
      <c r="M640" s="1559"/>
      <c r="N640" s="1559"/>
      <c r="O640" s="1559"/>
      <c r="P640" s="1559"/>
      <c r="Q640" s="1559"/>
      <c r="R640" s="1559"/>
      <c r="S640" s="1559"/>
      <c r="T640" s="1559"/>
      <c r="U640" s="1559"/>
      <c r="V640" s="1559"/>
      <c r="W640" s="1560">
        <f>unos!C314</f>
        <v>0</v>
      </c>
      <c r="X640" s="1561"/>
      <c r="Y640" s="1561"/>
      <c r="Z640" s="1561"/>
      <c r="AA640" s="1561"/>
      <c r="AB640" s="1561"/>
      <c r="AC640" s="1561"/>
      <c r="AD640" s="1561"/>
      <c r="AE640" s="1562"/>
      <c r="AF640" s="1563">
        <f>unos!F314</f>
        <v>0</v>
      </c>
      <c r="AG640" s="1561"/>
      <c r="AH640" s="1561"/>
      <c r="AI640" s="1561"/>
      <c r="AJ640" s="1561"/>
      <c r="AK640" s="1561"/>
      <c r="AL640" s="1561"/>
      <c r="AM640" s="1561"/>
      <c r="AN640" s="1562"/>
      <c r="AO640" s="1184">
        <f t="shared" si="26"/>
        <v>0</v>
      </c>
    </row>
    <row r="641" spans="1:41">
      <c r="A641" s="1577"/>
      <c r="B641" s="1577"/>
      <c r="C641" s="1577"/>
      <c r="D641" s="1577"/>
      <c r="E641" s="1167"/>
      <c r="F641" s="1168"/>
      <c r="G641" s="1168"/>
      <c r="H641" s="1168"/>
      <c r="I641" s="1168"/>
      <c r="J641" s="1168"/>
      <c r="K641" s="1168"/>
      <c r="L641" s="1168"/>
      <c r="M641" s="1168"/>
      <c r="N641" s="1168"/>
      <c r="O641" s="1168"/>
      <c r="P641" s="1168"/>
      <c r="Q641" s="1168"/>
      <c r="R641" s="1168"/>
      <c r="S641" s="1167"/>
      <c r="T641" s="1167"/>
      <c r="U641" s="1167"/>
      <c r="V641" s="1169" t="s">
        <v>1997</v>
      </c>
      <c r="W641" s="1578">
        <f>SUM(W635:W640)</f>
        <v>0</v>
      </c>
      <c r="X641" s="1579"/>
      <c r="Y641" s="1579"/>
      <c r="Z641" s="1579"/>
      <c r="AA641" s="1579"/>
      <c r="AB641" s="1579"/>
      <c r="AC641" s="1579"/>
      <c r="AD641" s="1579"/>
      <c r="AE641" s="1580"/>
      <c r="AF641" s="1578">
        <f>SUM(AF635:AF640)</f>
        <v>0</v>
      </c>
      <c r="AG641" s="1579"/>
      <c r="AH641" s="1579"/>
      <c r="AI641" s="1579"/>
      <c r="AJ641" s="1579"/>
      <c r="AK641" s="1579"/>
      <c r="AL641" s="1579"/>
      <c r="AM641" s="1579"/>
      <c r="AN641" s="1580"/>
      <c r="AO641" s="1185">
        <f t="shared" si="26"/>
        <v>0</v>
      </c>
    </row>
    <row r="643" spans="1:41">
      <c r="A643" s="1581"/>
      <c r="B643" s="1581"/>
      <c r="C643" s="1581"/>
      <c r="D643" s="1581"/>
      <c r="E643" s="1581"/>
      <c r="F643" s="1581"/>
      <c r="G643" s="1581"/>
      <c r="H643" s="1581"/>
      <c r="I643" s="1581"/>
      <c r="J643" s="1581"/>
      <c r="K643" s="1581"/>
      <c r="L643" s="1581"/>
      <c r="M643" s="1581"/>
      <c r="N643" s="1581"/>
      <c r="O643" s="1581"/>
      <c r="P643" s="1581"/>
      <c r="Q643" s="1581"/>
      <c r="R643" s="1581"/>
      <c r="S643" s="1581"/>
      <c r="T643" s="1581"/>
      <c r="U643" s="1581"/>
      <c r="V643" s="1581"/>
      <c r="W643" s="1581"/>
      <c r="X643" s="1581"/>
      <c r="Y643" s="1581"/>
      <c r="Z643" s="1581"/>
      <c r="AA643" s="1581"/>
      <c r="AB643" s="1581"/>
      <c r="AC643" s="1581"/>
      <c r="AD643" s="1581"/>
      <c r="AE643" s="1581"/>
      <c r="AF643" s="1581"/>
      <c r="AG643" s="1581"/>
      <c r="AH643" s="1581"/>
      <c r="AI643" s="1581"/>
      <c r="AJ643" s="1581"/>
      <c r="AK643" s="1581"/>
      <c r="AL643" s="1581"/>
      <c r="AM643" s="1581"/>
      <c r="AN643" s="1581"/>
    </row>
    <row r="644" spans="1:41">
      <c r="A644" s="1581"/>
      <c r="B644" s="1581"/>
      <c r="C644" s="1581"/>
      <c r="D644" s="1581"/>
      <c r="E644" s="1581"/>
      <c r="F644" s="1581"/>
      <c r="G644" s="1581"/>
      <c r="H644" s="1581"/>
      <c r="I644" s="1581"/>
      <c r="J644" s="1581"/>
      <c r="K644" s="1581"/>
      <c r="L644" s="1581"/>
      <c r="M644" s="1581"/>
      <c r="N644" s="1581"/>
      <c r="O644" s="1581"/>
      <c r="P644" s="1581"/>
      <c r="Q644" s="1581"/>
      <c r="R644" s="1581"/>
      <c r="S644" s="1581"/>
      <c r="T644" s="1581"/>
      <c r="U644" s="1581"/>
      <c r="V644" s="1581"/>
      <c r="W644" s="1581"/>
      <c r="X644" s="1581"/>
      <c r="Y644" s="1581"/>
      <c r="Z644" s="1581"/>
      <c r="AA644" s="1581"/>
      <c r="AB644" s="1581"/>
      <c r="AC644" s="1581"/>
      <c r="AD644" s="1581"/>
      <c r="AE644" s="1581"/>
      <c r="AF644" s="1581"/>
      <c r="AG644" s="1581"/>
      <c r="AH644" s="1581"/>
      <c r="AI644" s="1581"/>
      <c r="AJ644" s="1581"/>
      <c r="AK644" s="1581"/>
      <c r="AL644" s="1581"/>
      <c r="AM644" s="1581"/>
      <c r="AN644" s="1581"/>
    </row>
    <row r="645" spans="1:41">
      <c r="A645" s="1581"/>
      <c r="B645" s="1581"/>
      <c r="C645" s="1581"/>
      <c r="D645" s="1581"/>
      <c r="E645" s="1581"/>
      <c r="F645" s="1581"/>
      <c r="G645" s="1581"/>
      <c r="H645" s="1581"/>
      <c r="I645" s="1581"/>
      <c r="J645" s="1581"/>
      <c r="K645" s="1581"/>
      <c r="L645" s="1581"/>
      <c r="M645" s="1581"/>
      <c r="N645" s="1581"/>
      <c r="O645" s="1581"/>
      <c r="P645" s="1581"/>
      <c r="Q645" s="1581"/>
      <c r="R645" s="1581"/>
      <c r="S645" s="1581"/>
      <c r="T645" s="1581"/>
      <c r="U645" s="1581"/>
      <c r="V645" s="1581"/>
      <c r="W645" s="1581"/>
      <c r="X645" s="1581"/>
      <c r="Y645" s="1581"/>
      <c r="Z645" s="1581"/>
      <c r="AA645" s="1581"/>
      <c r="AB645" s="1581"/>
      <c r="AC645" s="1581"/>
      <c r="AD645" s="1581"/>
      <c r="AE645" s="1581"/>
      <c r="AF645" s="1581"/>
      <c r="AG645" s="1581"/>
      <c r="AH645" s="1581"/>
      <c r="AI645" s="1581"/>
      <c r="AJ645" s="1581"/>
      <c r="AK645" s="1581"/>
      <c r="AL645" s="1581"/>
      <c r="AM645" s="1581"/>
      <c r="AN645" s="1581"/>
    </row>
    <row r="646" spans="1:41">
      <c r="A646" s="1581"/>
      <c r="B646" s="1581"/>
      <c r="C646" s="1581"/>
      <c r="D646" s="1581"/>
      <c r="E646" s="1581"/>
      <c r="F646" s="1581"/>
      <c r="G646" s="1581"/>
      <c r="H646" s="1581"/>
      <c r="I646" s="1581"/>
      <c r="J646" s="1581"/>
      <c r="K646" s="1581"/>
      <c r="L646" s="1581"/>
      <c r="M646" s="1581"/>
      <c r="N646" s="1581"/>
      <c r="O646" s="1581"/>
      <c r="P646" s="1581"/>
      <c r="Q646" s="1581"/>
      <c r="R646" s="1581"/>
      <c r="S646" s="1581"/>
      <c r="T646" s="1581"/>
      <c r="U646" s="1581"/>
      <c r="V646" s="1581"/>
      <c r="W646" s="1581"/>
      <c r="X646" s="1581"/>
      <c r="Y646" s="1581"/>
      <c r="Z646" s="1581"/>
      <c r="AA646" s="1581"/>
      <c r="AB646" s="1581"/>
      <c r="AC646" s="1581"/>
      <c r="AD646" s="1581"/>
      <c r="AE646" s="1581"/>
      <c r="AF646" s="1581"/>
      <c r="AG646" s="1581"/>
      <c r="AH646" s="1581"/>
      <c r="AI646" s="1581"/>
      <c r="AJ646" s="1581"/>
      <c r="AK646" s="1581"/>
      <c r="AL646" s="1581"/>
      <c r="AM646" s="1581"/>
      <c r="AN646" s="1581"/>
    </row>
    <row r="648" spans="1:41">
      <c r="B648" s="1179" t="s">
        <v>2768</v>
      </c>
    </row>
    <row r="650" spans="1:41" ht="12.75" customHeight="1">
      <c r="A650" s="828" t="s">
        <v>1933</v>
      </c>
      <c r="B650" s="828" t="s">
        <v>653</v>
      </c>
    </row>
    <row r="651" spans="1:41">
      <c r="G651" s="828" t="s">
        <v>72</v>
      </c>
    </row>
    <row r="652" spans="1:41" ht="14.25" customHeight="1">
      <c r="W652" s="1170" t="s">
        <v>1995</v>
      </c>
      <c r="X652" s="1171"/>
      <c r="Y652" s="1171"/>
      <c r="Z652" s="1171"/>
      <c r="AA652" s="1171"/>
      <c r="AB652" s="1171"/>
      <c r="AC652" s="1171"/>
      <c r="AD652" s="1171"/>
      <c r="AE652" s="1171"/>
      <c r="AF652" s="1171"/>
      <c r="AG652" s="1171"/>
      <c r="AH652" s="1171"/>
      <c r="AI652" s="1171"/>
      <c r="AJ652" s="1171"/>
      <c r="AK652" s="1171"/>
      <c r="AL652" s="1171"/>
      <c r="AM652" s="1171"/>
      <c r="AN652" s="1172"/>
    </row>
    <row r="653" spans="1:41">
      <c r="A653" s="1582" t="s">
        <v>1996</v>
      </c>
      <c r="B653" s="1583"/>
      <c r="C653" s="1583"/>
      <c r="D653" s="1584"/>
      <c r="E653" s="1567" t="s">
        <v>796</v>
      </c>
      <c r="F653" s="1567"/>
      <c r="G653" s="1567"/>
      <c r="H653" s="1567"/>
      <c r="I653" s="1567"/>
      <c r="J653" s="1567"/>
      <c r="K653" s="1567"/>
      <c r="L653" s="1567"/>
      <c r="M653" s="1567"/>
      <c r="N653" s="1567"/>
      <c r="O653" s="1567"/>
      <c r="P653" s="1567"/>
      <c r="Q653" s="1567"/>
      <c r="R653" s="1567"/>
      <c r="S653" s="1567"/>
      <c r="T653" s="1567"/>
      <c r="U653" s="1567"/>
      <c r="V653" s="1567"/>
      <c r="W653" s="1568" t="s">
        <v>1039</v>
      </c>
      <c r="X653" s="1569"/>
      <c r="Y653" s="1569"/>
      <c r="Z653" s="1569"/>
      <c r="AA653" s="1569"/>
      <c r="AB653" s="1569"/>
      <c r="AC653" s="1569"/>
      <c r="AD653" s="1569"/>
      <c r="AE653" s="1570"/>
      <c r="AF653" s="1571" t="s">
        <v>278</v>
      </c>
      <c r="AG653" s="1572"/>
      <c r="AH653" s="1572"/>
      <c r="AI653" s="1572"/>
      <c r="AJ653" s="1572"/>
      <c r="AK653" s="1572"/>
      <c r="AL653" s="1572"/>
      <c r="AM653" s="1572"/>
      <c r="AN653" s="1573"/>
      <c r="AO653" s="1187" t="s">
        <v>2766</v>
      </c>
    </row>
    <row r="654" spans="1:41">
      <c r="A654" s="1574" t="str">
        <f>unos!A316</f>
        <v>300</v>
      </c>
      <c r="B654" s="1575"/>
      <c r="C654" s="1575"/>
      <c r="D654" s="1576"/>
      <c r="E654" s="1585" t="str">
        <f>unos!B316</f>
        <v>Dionički kapital</v>
      </c>
      <c r="F654" s="1559"/>
      <c r="G654" s="1559"/>
      <c r="H654" s="1559"/>
      <c r="I654" s="1559"/>
      <c r="J654" s="1559"/>
      <c r="K654" s="1559"/>
      <c r="L654" s="1559"/>
      <c r="M654" s="1559"/>
      <c r="N654" s="1559"/>
      <c r="O654" s="1559"/>
      <c r="P654" s="1559"/>
      <c r="Q654" s="1559"/>
      <c r="R654" s="1559"/>
      <c r="S654" s="1559"/>
      <c r="T654" s="1559"/>
      <c r="U654" s="1559"/>
      <c r="V654" s="1559"/>
      <c r="W654" s="1560">
        <f>unos!C316</f>
        <v>0</v>
      </c>
      <c r="X654" s="1561"/>
      <c r="Y654" s="1561"/>
      <c r="Z654" s="1561"/>
      <c r="AA654" s="1561"/>
      <c r="AB654" s="1561"/>
      <c r="AC654" s="1561"/>
      <c r="AD654" s="1561"/>
      <c r="AE654" s="1562"/>
      <c r="AF654" s="1563">
        <f>unos!F316</f>
        <v>0</v>
      </c>
      <c r="AG654" s="1561"/>
      <c r="AH654" s="1561"/>
      <c r="AI654" s="1561"/>
      <c r="AJ654" s="1561"/>
      <c r="AK654" s="1561"/>
      <c r="AL654" s="1561"/>
      <c r="AM654" s="1561"/>
      <c r="AN654" s="1562"/>
      <c r="AO654" s="1184">
        <f>IF(OR(W654=0,AF654=0),0,ROUND(AF654/W654,4))</f>
        <v>0</v>
      </c>
    </row>
    <row r="655" spans="1:41">
      <c r="A655" s="1574" t="str">
        <f>unos!A317</f>
        <v>302</v>
      </c>
      <c r="B655" s="1575"/>
      <c r="C655" s="1575"/>
      <c r="D655" s="1576"/>
      <c r="E655" s="1585" t="str">
        <f>unos!B317</f>
        <v>Udjeli članova durštva ognaničene odgovornost</v>
      </c>
      <c r="F655" s="1559"/>
      <c r="G655" s="1559"/>
      <c r="H655" s="1559"/>
      <c r="I655" s="1559"/>
      <c r="J655" s="1559"/>
      <c r="K655" s="1559"/>
      <c r="L655" s="1559"/>
      <c r="M655" s="1559"/>
      <c r="N655" s="1559"/>
      <c r="O655" s="1559"/>
      <c r="P655" s="1559"/>
      <c r="Q655" s="1559"/>
      <c r="R655" s="1559"/>
      <c r="S655" s="1559"/>
      <c r="T655" s="1559"/>
      <c r="U655" s="1559"/>
      <c r="V655" s="1559"/>
      <c r="W655" s="1560">
        <f>unos!C317</f>
        <v>0</v>
      </c>
      <c r="X655" s="1561"/>
      <c r="Y655" s="1561"/>
      <c r="Z655" s="1561"/>
      <c r="AA655" s="1561"/>
      <c r="AB655" s="1561"/>
      <c r="AC655" s="1561"/>
      <c r="AD655" s="1561"/>
      <c r="AE655" s="1562"/>
      <c r="AF655" s="1563">
        <f>unos!F317</f>
        <v>0</v>
      </c>
      <c r="AG655" s="1561"/>
      <c r="AH655" s="1561"/>
      <c r="AI655" s="1561"/>
      <c r="AJ655" s="1561"/>
      <c r="AK655" s="1561"/>
      <c r="AL655" s="1561"/>
      <c r="AM655" s="1561"/>
      <c r="AN655" s="1562"/>
      <c r="AO655" s="1184">
        <f t="shared" ref="AO655:AO660" si="27">IF(OR(W655=0,AF655=0),0,ROUND(AF655/W655,4))</f>
        <v>0</v>
      </c>
    </row>
    <row r="656" spans="1:41">
      <c r="A656" s="1574" t="str">
        <f>unos!A318</f>
        <v>303</v>
      </c>
      <c r="B656" s="1575"/>
      <c r="C656" s="1575"/>
      <c r="D656" s="1576"/>
      <c r="E656" s="1585" t="str">
        <f>unos!B318</f>
        <v>Zadružni udjeli</v>
      </c>
      <c r="F656" s="1559"/>
      <c r="G656" s="1559"/>
      <c r="H656" s="1559"/>
      <c r="I656" s="1559"/>
      <c r="J656" s="1559"/>
      <c r="K656" s="1559"/>
      <c r="L656" s="1559"/>
      <c r="M656" s="1559"/>
      <c r="N656" s="1559"/>
      <c r="O656" s="1559"/>
      <c r="P656" s="1559"/>
      <c r="Q656" s="1559"/>
      <c r="R656" s="1559"/>
      <c r="S656" s="1559"/>
      <c r="T656" s="1559"/>
      <c r="U656" s="1559"/>
      <c r="V656" s="1559"/>
      <c r="W656" s="1560">
        <f>unos!C318</f>
        <v>0</v>
      </c>
      <c r="X656" s="1561"/>
      <c r="Y656" s="1561"/>
      <c r="Z656" s="1561"/>
      <c r="AA656" s="1561"/>
      <c r="AB656" s="1561"/>
      <c r="AC656" s="1561"/>
      <c r="AD656" s="1561"/>
      <c r="AE656" s="1562"/>
      <c r="AF656" s="1563">
        <f>unos!F318</f>
        <v>0</v>
      </c>
      <c r="AG656" s="1561"/>
      <c r="AH656" s="1561"/>
      <c r="AI656" s="1561"/>
      <c r="AJ656" s="1561"/>
      <c r="AK656" s="1561"/>
      <c r="AL656" s="1561"/>
      <c r="AM656" s="1561"/>
      <c r="AN656" s="1562"/>
      <c r="AO656" s="1184">
        <f t="shared" si="27"/>
        <v>0</v>
      </c>
    </row>
    <row r="657" spans="1:41">
      <c r="A657" s="1574" t="str">
        <f>unos!A319</f>
        <v>304</v>
      </c>
      <c r="B657" s="1575"/>
      <c r="C657" s="1575"/>
      <c r="D657" s="1576"/>
      <c r="E657" s="1585" t="str">
        <f>unos!B319</f>
        <v>Ulozi</v>
      </c>
      <c r="F657" s="1559"/>
      <c r="G657" s="1559"/>
      <c r="H657" s="1559"/>
      <c r="I657" s="1559"/>
      <c r="J657" s="1559"/>
      <c r="K657" s="1559"/>
      <c r="L657" s="1559"/>
      <c r="M657" s="1559"/>
      <c r="N657" s="1559"/>
      <c r="O657" s="1559"/>
      <c r="P657" s="1559"/>
      <c r="Q657" s="1559"/>
      <c r="R657" s="1559"/>
      <c r="S657" s="1559"/>
      <c r="T657" s="1559"/>
      <c r="U657" s="1559"/>
      <c r="V657" s="1559"/>
      <c r="W657" s="1560">
        <f>unos!C319</f>
        <v>0</v>
      </c>
      <c r="X657" s="1561"/>
      <c r="Y657" s="1561"/>
      <c r="Z657" s="1561"/>
      <c r="AA657" s="1561"/>
      <c r="AB657" s="1561"/>
      <c r="AC657" s="1561"/>
      <c r="AD657" s="1561"/>
      <c r="AE657" s="1562"/>
      <c r="AF657" s="1563">
        <f>unos!F319</f>
        <v>0</v>
      </c>
      <c r="AG657" s="1561"/>
      <c r="AH657" s="1561"/>
      <c r="AI657" s="1561"/>
      <c r="AJ657" s="1561"/>
      <c r="AK657" s="1561"/>
      <c r="AL657" s="1561"/>
      <c r="AM657" s="1561"/>
      <c r="AN657" s="1562"/>
      <c r="AO657" s="1184">
        <f t="shared" si="27"/>
        <v>0</v>
      </c>
    </row>
    <row r="658" spans="1:41">
      <c r="A658" s="1574" t="str">
        <f>unos!A320</f>
        <v>305</v>
      </c>
      <c r="B658" s="1575"/>
      <c r="C658" s="1575"/>
      <c r="D658" s="1576"/>
      <c r="E658" s="1585" t="str">
        <f>unos!B320</f>
        <v>Državni kapital</v>
      </c>
      <c r="F658" s="1559"/>
      <c r="G658" s="1559"/>
      <c r="H658" s="1559"/>
      <c r="I658" s="1559"/>
      <c r="J658" s="1559"/>
      <c r="K658" s="1559"/>
      <c r="L658" s="1559"/>
      <c r="M658" s="1559"/>
      <c r="N658" s="1559"/>
      <c r="O658" s="1559"/>
      <c r="P658" s="1559"/>
      <c r="Q658" s="1559"/>
      <c r="R658" s="1559"/>
      <c r="S658" s="1559"/>
      <c r="T658" s="1559"/>
      <c r="U658" s="1559"/>
      <c r="V658" s="1559"/>
      <c r="W658" s="1560">
        <f>unos!C320</f>
        <v>0</v>
      </c>
      <c r="X658" s="1561"/>
      <c r="Y658" s="1561"/>
      <c r="Z658" s="1561"/>
      <c r="AA658" s="1561"/>
      <c r="AB658" s="1561"/>
      <c r="AC658" s="1561"/>
      <c r="AD658" s="1561"/>
      <c r="AE658" s="1562"/>
      <c r="AF658" s="1563">
        <f>unos!F320</f>
        <v>0</v>
      </c>
      <c r="AG658" s="1561"/>
      <c r="AH658" s="1561"/>
      <c r="AI658" s="1561"/>
      <c r="AJ658" s="1561"/>
      <c r="AK658" s="1561"/>
      <c r="AL658" s="1561"/>
      <c r="AM658" s="1561"/>
      <c r="AN658" s="1562"/>
      <c r="AO658" s="1184">
        <f t="shared" si="27"/>
        <v>0</v>
      </c>
    </row>
    <row r="659" spans="1:41">
      <c r="A659" s="1574" t="str">
        <f>unos!A321</f>
        <v>309</v>
      </c>
      <c r="B659" s="1575"/>
      <c r="C659" s="1575"/>
      <c r="D659" s="1576"/>
      <c r="E659" s="1585" t="str">
        <f>unos!B321</f>
        <v>Ostali osnovni kapital</v>
      </c>
      <c r="F659" s="1559"/>
      <c r="G659" s="1559"/>
      <c r="H659" s="1559"/>
      <c r="I659" s="1559"/>
      <c r="J659" s="1559"/>
      <c r="K659" s="1559"/>
      <c r="L659" s="1559"/>
      <c r="M659" s="1559"/>
      <c r="N659" s="1559"/>
      <c r="O659" s="1559"/>
      <c r="P659" s="1559"/>
      <c r="Q659" s="1559"/>
      <c r="R659" s="1559"/>
      <c r="S659" s="1559"/>
      <c r="T659" s="1559"/>
      <c r="U659" s="1559"/>
      <c r="V659" s="1559"/>
      <c r="W659" s="1560">
        <f>unos!C321</f>
        <v>0</v>
      </c>
      <c r="X659" s="1561"/>
      <c r="Y659" s="1561"/>
      <c r="Z659" s="1561"/>
      <c r="AA659" s="1561"/>
      <c r="AB659" s="1561"/>
      <c r="AC659" s="1561"/>
      <c r="AD659" s="1561"/>
      <c r="AE659" s="1562"/>
      <c r="AF659" s="1563">
        <f>unos!F321</f>
        <v>0</v>
      </c>
      <c r="AG659" s="1561"/>
      <c r="AH659" s="1561"/>
      <c r="AI659" s="1561"/>
      <c r="AJ659" s="1561"/>
      <c r="AK659" s="1561"/>
      <c r="AL659" s="1561"/>
      <c r="AM659" s="1561"/>
      <c r="AN659" s="1562"/>
      <c r="AO659" s="1184">
        <f t="shared" si="27"/>
        <v>0</v>
      </c>
    </row>
    <row r="660" spans="1:41">
      <c r="A660" s="1577"/>
      <c r="B660" s="1577"/>
      <c r="C660" s="1577"/>
      <c r="D660" s="1577"/>
      <c r="E660" s="1167"/>
      <c r="F660" s="1168"/>
      <c r="G660" s="1168"/>
      <c r="H660" s="1168"/>
      <c r="I660" s="1168"/>
      <c r="J660" s="1168"/>
      <c r="K660" s="1168"/>
      <c r="L660" s="1168"/>
      <c r="M660" s="1168"/>
      <c r="N660" s="1168"/>
      <c r="O660" s="1168"/>
      <c r="P660" s="1168"/>
      <c r="Q660" s="1168"/>
      <c r="R660" s="1168"/>
      <c r="S660" s="1167"/>
      <c r="T660" s="1167"/>
      <c r="U660" s="1167"/>
      <c r="V660" s="1169" t="s">
        <v>1997</v>
      </c>
      <c r="W660" s="1578">
        <f>SUM(W654:W659)</f>
        <v>0</v>
      </c>
      <c r="X660" s="1579"/>
      <c r="Y660" s="1579"/>
      <c r="Z660" s="1579"/>
      <c r="AA660" s="1579"/>
      <c r="AB660" s="1579"/>
      <c r="AC660" s="1579"/>
      <c r="AD660" s="1579"/>
      <c r="AE660" s="1580"/>
      <c r="AF660" s="1578">
        <f>SUM(AF654:AF659)</f>
        <v>0</v>
      </c>
      <c r="AG660" s="1579"/>
      <c r="AH660" s="1579"/>
      <c r="AI660" s="1579"/>
      <c r="AJ660" s="1579"/>
      <c r="AK660" s="1579"/>
      <c r="AL660" s="1579"/>
      <c r="AM660" s="1579"/>
      <c r="AN660" s="1580"/>
      <c r="AO660" s="1185">
        <f t="shared" si="27"/>
        <v>0</v>
      </c>
    </row>
    <row r="663" spans="1:41">
      <c r="G663" s="828" t="s">
        <v>73</v>
      </c>
    </row>
    <row r="664" spans="1:41" ht="14.25" customHeight="1">
      <c r="W664" s="1170" t="s">
        <v>1995</v>
      </c>
      <c r="X664" s="1171"/>
      <c r="Y664" s="1171"/>
      <c r="Z664" s="1171"/>
      <c r="AA664" s="1171"/>
      <c r="AB664" s="1171"/>
      <c r="AC664" s="1171"/>
      <c r="AD664" s="1171"/>
      <c r="AE664" s="1171"/>
      <c r="AF664" s="1171"/>
      <c r="AG664" s="1171"/>
      <c r="AH664" s="1171"/>
      <c r="AI664" s="1171"/>
      <c r="AJ664" s="1171"/>
      <c r="AK664" s="1171"/>
      <c r="AL664" s="1171"/>
      <c r="AM664" s="1171"/>
      <c r="AN664" s="1172"/>
    </row>
    <row r="665" spans="1:41">
      <c r="A665" s="1582" t="s">
        <v>1996</v>
      </c>
      <c r="B665" s="1583"/>
      <c r="C665" s="1583"/>
      <c r="D665" s="1584"/>
      <c r="E665" s="1567" t="s">
        <v>796</v>
      </c>
      <c r="F665" s="1567"/>
      <c r="G665" s="1567"/>
      <c r="H665" s="1567"/>
      <c r="I665" s="1567"/>
      <c r="J665" s="1567"/>
      <c r="K665" s="1567"/>
      <c r="L665" s="1567"/>
      <c r="M665" s="1567"/>
      <c r="N665" s="1567"/>
      <c r="O665" s="1567"/>
      <c r="P665" s="1567"/>
      <c r="Q665" s="1567"/>
      <c r="R665" s="1567"/>
      <c r="S665" s="1567"/>
      <c r="T665" s="1567"/>
      <c r="U665" s="1567"/>
      <c r="V665" s="1567"/>
      <c r="W665" s="1568" t="s">
        <v>1039</v>
      </c>
      <c r="X665" s="1569"/>
      <c r="Y665" s="1569"/>
      <c r="Z665" s="1569"/>
      <c r="AA665" s="1569"/>
      <c r="AB665" s="1569"/>
      <c r="AC665" s="1569"/>
      <c r="AD665" s="1569"/>
      <c r="AE665" s="1570"/>
      <c r="AF665" s="1571" t="s">
        <v>278</v>
      </c>
      <c r="AG665" s="1572"/>
      <c r="AH665" s="1572"/>
      <c r="AI665" s="1572"/>
      <c r="AJ665" s="1572"/>
      <c r="AK665" s="1572"/>
      <c r="AL665" s="1572"/>
      <c r="AM665" s="1572"/>
      <c r="AN665" s="1573"/>
      <c r="AO665" s="1187" t="s">
        <v>2766</v>
      </c>
    </row>
    <row r="666" spans="1:41">
      <c r="A666" s="1574" t="str">
        <f>unos!A322</f>
        <v>310</v>
      </c>
      <c r="B666" s="1575"/>
      <c r="C666" s="1575"/>
      <c r="D666" s="1576"/>
      <c r="E666" s="1558" t="str">
        <f>unos!B322</f>
        <v>Upisane neuplaćene dionice</v>
      </c>
      <c r="F666" s="1559"/>
      <c r="G666" s="1559"/>
      <c r="H666" s="1559"/>
      <c r="I666" s="1559"/>
      <c r="J666" s="1559"/>
      <c r="K666" s="1559"/>
      <c r="L666" s="1559"/>
      <c r="M666" s="1559"/>
      <c r="N666" s="1559"/>
      <c r="O666" s="1559"/>
      <c r="P666" s="1559"/>
      <c r="Q666" s="1559"/>
      <c r="R666" s="1559"/>
      <c r="S666" s="1559"/>
      <c r="T666" s="1559"/>
      <c r="U666" s="1559"/>
      <c r="V666" s="1559"/>
      <c r="W666" s="1560">
        <f>unos!C322</f>
        <v>0</v>
      </c>
      <c r="X666" s="1561"/>
      <c r="Y666" s="1561"/>
      <c r="Z666" s="1561"/>
      <c r="AA666" s="1561"/>
      <c r="AB666" s="1561"/>
      <c r="AC666" s="1561"/>
      <c r="AD666" s="1561"/>
      <c r="AE666" s="1562"/>
      <c r="AF666" s="1563">
        <f>unos!F322</f>
        <v>0</v>
      </c>
      <c r="AG666" s="1561"/>
      <c r="AH666" s="1561"/>
      <c r="AI666" s="1561"/>
      <c r="AJ666" s="1561"/>
      <c r="AK666" s="1561"/>
      <c r="AL666" s="1561"/>
      <c r="AM666" s="1561"/>
      <c r="AN666" s="1562"/>
      <c r="AO666" s="1186">
        <f>IF(OR(W666=0,AF666=0),0,ROUND(AF666/W666,4))</f>
        <v>0</v>
      </c>
    </row>
    <row r="667" spans="1:41">
      <c r="A667" s="1574" t="str">
        <f>unos!A323</f>
        <v>312</v>
      </c>
      <c r="B667" s="1575"/>
      <c r="C667" s="1575"/>
      <c r="D667" s="1576"/>
      <c r="E667" s="1558" t="str">
        <f>unos!B323</f>
        <v>Upisani neuplaćeni udjeli</v>
      </c>
      <c r="F667" s="1559"/>
      <c r="G667" s="1559"/>
      <c r="H667" s="1559"/>
      <c r="I667" s="1559"/>
      <c r="J667" s="1559"/>
      <c r="K667" s="1559"/>
      <c r="L667" s="1559"/>
      <c r="M667" s="1559"/>
      <c r="N667" s="1559"/>
      <c r="O667" s="1559"/>
      <c r="P667" s="1559"/>
      <c r="Q667" s="1559"/>
      <c r="R667" s="1559"/>
      <c r="S667" s="1559"/>
      <c r="T667" s="1559"/>
      <c r="U667" s="1559"/>
      <c r="V667" s="1559"/>
      <c r="W667" s="1560">
        <f>unos!C323</f>
        <v>0</v>
      </c>
      <c r="X667" s="1561"/>
      <c r="Y667" s="1561"/>
      <c r="Z667" s="1561"/>
      <c r="AA667" s="1561"/>
      <c r="AB667" s="1561"/>
      <c r="AC667" s="1561"/>
      <c r="AD667" s="1561"/>
      <c r="AE667" s="1562"/>
      <c r="AF667" s="1563">
        <f>unos!F323</f>
        <v>0</v>
      </c>
      <c r="AG667" s="1561"/>
      <c r="AH667" s="1561"/>
      <c r="AI667" s="1561"/>
      <c r="AJ667" s="1561"/>
      <c r="AK667" s="1561"/>
      <c r="AL667" s="1561"/>
      <c r="AM667" s="1561"/>
      <c r="AN667" s="1562"/>
      <c r="AO667" s="1186">
        <f>IF(OR(W667=0,AF667=0),0,ROUND(AF667/W667,4))</f>
        <v>0</v>
      </c>
    </row>
    <row r="668" spans="1:41">
      <c r="A668" s="1574" t="str">
        <f>unos!A324</f>
        <v>319</v>
      </c>
      <c r="B668" s="1575"/>
      <c r="C668" s="1575"/>
      <c r="D668" s="1576"/>
      <c r="E668" s="1558" t="str">
        <f>unos!B324</f>
        <v>Ostali upisani neuplaćeni kapital</v>
      </c>
      <c r="F668" s="1559"/>
      <c r="G668" s="1559"/>
      <c r="H668" s="1559"/>
      <c r="I668" s="1559"/>
      <c r="J668" s="1559"/>
      <c r="K668" s="1559"/>
      <c r="L668" s="1559"/>
      <c r="M668" s="1559"/>
      <c r="N668" s="1559"/>
      <c r="O668" s="1559"/>
      <c r="P668" s="1559"/>
      <c r="Q668" s="1559"/>
      <c r="R668" s="1559"/>
      <c r="S668" s="1559"/>
      <c r="T668" s="1559"/>
      <c r="U668" s="1559"/>
      <c r="V668" s="1559"/>
      <c r="W668" s="1560">
        <f>unos!C324</f>
        <v>0</v>
      </c>
      <c r="X668" s="1561"/>
      <c r="Y668" s="1561"/>
      <c r="Z668" s="1561"/>
      <c r="AA668" s="1561"/>
      <c r="AB668" s="1561"/>
      <c r="AC668" s="1561"/>
      <c r="AD668" s="1561"/>
      <c r="AE668" s="1562"/>
      <c r="AF668" s="1563">
        <f>unos!F324</f>
        <v>0</v>
      </c>
      <c r="AG668" s="1561"/>
      <c r="AH668" s="1561"/>
      <c r="AI668" s="1561"/>
      <c r="AJ668" s="1561"/>
      <c r="AK668" s="1561"/>
      <c r="AL668" s="1561"/>
      <c r="AM668" s="1561"/>
      <c r="AN668" s="1562"/>
      <c r="AO668" s="1186">
        <f>IF(OR(W668=0,AF668=0),0,ROUND(AF668/W668,4))</f>
        <v>0</v>
      </c>
    </row>
    <row r="669" spans="1:41">
      <c r="A669" s="1577"/>
      <c r="B669" s="1577"/>
      <c r="C669" s="1577"/>
      <c r="D669" s="1577"/>
      <c r="E669" s="1167"/>
      <c r="F669" s="1168"/>
      <c r="G669" s="1168"/>
      <c r="H669" s="1168"/>
      <c r="I669" s="1168"/>
      <c r="J669" s="1168"/>
      <c r="K669" s="1168"/>
      <c r="L669" s="1168"/>
      <c r="M669" s="1168"/>
      <c r="N669" s="1168"/>
      <c r="O669" s="1168"/>
      <c r="P669" s="1168"/>
      <c r="Q669" s="1168"/>
      <c r="R669" s="1168"/>
      <c r="S669" s="1167"/>
      <c r="T669" s="1167"/>
      <c r="U669" s="1167"/>
      <c r="V669" s="1169" t="s">
        <v>1997</v>
      </c>
      <c r="W669" s="1578">
        <f>SUM(W18:W666)</f>
        <v>0</v>
      </c>
      <c r="X669" s="1579"/>
      <c r="Y669" s="1579"/>
      <c r="Z669" s="1579"/>
      <c r="AA669" s="1579"/>
      <c r="AB669" s="1579"/>
      <c r="AC669" s="1579"/>
      <c r="AD669" s="1579"/>
      <c r="AE669" s="1580"/>
      <c r="AF669" s="1578">
        <f>SUM(AF18:AF666)</f>
        <v>0</v>
      </c>
      <c r="AG669" s="1579"/>
      <c r="AH669" s="1579"/>
      <c r="AI669" s="1579"/>
      <c r="AJ669" s="1579"/>
      <c r="AK669" s="1579"/>
      <c r="AL669" s="1579"/>
      <c r="AM669" s="1579"/>
      <c r="AN669" s="1580"/>
      <c r="AO669" s="1185">
        <f>IF(OR(W669=0,AF669=0),0,ROUND(AF669/W669,4))</f>
        <v>0</v>
      </c>
    </row>
    <row r="670" spans="1:41">
      <c r="A670" s="1180"/>
      <c r="B670" s="1180"/>
      <c r="C670" s="1180"/>
      <c r="D670" s="1180"/>
      <c r="E670" s="1180"/>
      <c r="F670" s="1180"/>
      <c r="G670" s="1180"/>
      <c r="H670" s="1180"/>
      <c r="I670" s="1180"/>
      <c r="J670" s="1180"/>
      <c r="K670" s="1180"/>
      <c r="L670" s="1180"/>
      <c r="M670" s="1180"/>
      <c r="N670" s="1180"/>
      <c r="O670" s="1180"/>
      <c r="P670" s="1180"/>
      <c r="Q670" s="1180"/>
      <c r="R670" s="1180"/>
      <c r="S670" s="1180"/>
      <c r="T670" s="1180"/>
      <c r="U670" s="1180"/>
      <c r="V670" s="1180"/>
      <c r="W670" s="1180"/>
      <c r="X670" s="1180"/>
      <c r="Y670" s="1180"/>
      <c r="Z670" s="1180"/>
      <c r="AA670" s="1180"/>
      <c r="AB670" s="1180"/>
      <c r="AC670" s="1180"/>
      <c r="AD670" s="1180"/>
      <c r="AE670" s="1180"/>
      <c r="AF670" s="1180"/>
      <c r="AG670" s="1180"/>
      <c r="AH670" s="1180"/>
      <c r="AI670" s="1180"/>
      <c r="AJ670" s="1180"/>
      <c r="AK670" s="1180"/>
      <c r="AL670" s="1180"/>
      <c r="AM670" s="1180"/>
      <c r="AN670" s="1180"/>
    </row>
    <row r="671" spans="1:41">
      <c r="A671" s="1180"/>
      <c r="B671" s="1180"/>
      <c r="C671" s="1180"/>
      <c r="D671" s="1180"/>
      <c r="E671" s="1180"/>
      <c r="F671" s="1180"/>
      <c r="G671" s="1180"/>
      <c r="H671" s="1180"/>
      <c r="I671" s="1180"/>
      <c r="J671" s="1180"/>
      <c r="K671" s="1180"/>
      <c r="L671" s="1180"/>
      <c r="M671" s="1180"/>
      <c r="N671" s="1180"/>
      <c r="O671" s="1180"/>
      <c r="P671" s="1180"/>
      <c r="Q671" s="1180"/>
      <c r="R671" s="1180"/>
      <c r="S671" s="1180"/>
      <c r="T671" s="1180"/>
      <c r="U671" s="1180"/>
      <c r="V671" s="1180"/>
      <c r="W671" s="1180"/>
      <c r="X671" s="1180"/>
      <c r="Y671" s="1180"/>
      <c r="Z671" s="1180"/>
      <c r="AA671" s="1180"/>
      <c r="AB671" s="1180"/>
      <c r="AC671" s="1180"/>
      <c r="AD671" s="1180"/>
      <c r="AE671" s="1180"/>
      <c r="AF671" s="1180"/>
      <c r="AG671" s="1180"/>
      <c r="AH671" s="1180"/>
      <c r="AI671" s="1180"/>
      <c r="AJ671" s="1180"/>
      <c r="AK671" s="1180"/>
      <c r="AL671" s="1180"/>
      <c r="AM671" s="1180"/>
      <c r="AN671" s="1180"/>
    </row>
    <row r="672" spans="1:41">
      <c r="G672" s="828" t="s">
        <v>74</v>
      </c>
    </row>
    <row r="673" spans="1:41" ht="14.25" customHeight="1">
      <c r="W673" s="1170" t="s">
        <v>1995</v>
      </c>
      <c r="X673" s="1171"/>
      <c r="Y673" s="1171"/>
      <c r="Z673" s="1171"/>
      <c r="AA673" s="1171"/>
      <c r="AB673" s="1171"/>
      <c r="AC673" s="1171"/>
      <c r="AD673" s="1171"/>
      <c r="AE673" s="1171"/>
      <c r="AF673" s="1171"/>
      <c r="AG673" s="1171"/>
      <c r="AH673" s="1171"/>
      <c r="AI673" s="1171"/>
      <c r="AJ673" s="1171"/>
      <c r="AK673" s="1171"/>
      <c r="AL673" s="1171"/>
      <c r="AM673" s="1171"/>
      <c r="AN673" s="1172"/>
    </row>
    <row r="674" spans="1:41">
      <c r="A674" s="1582" t="s">
        <v>1996</v>
      </c>
      <c r="B674" s="1583"/>
      <c r="C674" s="1583"/>
      <c r="D674" s="1584"/>
      <c r="E674" s="1567" t="s">
        <v>796</v>
      </c>
      <c r="F674" s="1567"/>
      <c r="G674" s="1567"/>
      <c r="H674" s="1567"/>
      <c r="I674" s="1567"/>
      <c r="J674" s="1567"/>
      <c r="K674" s="1567"/>
      <c r="L674" s="1567"/>
      <c r="M674" s="1567"/>
      <c r="N674" s="1567"/>
      <c r="O674" s="1567"/>
      <c r="P674" s="1567"/>
      <c r="Q674" s="1567"/>
      <c r="R674" s="1567"/>
      <c r="S674" s="1567"/>
      <c r="T674" s="1567"/>
      <c r="U674" s="1567"/>
      <c r="V674" s="1567"/>
      <c r="W674" s="1568" t="s">
        <v>1039</v>
      </c>
      <c r="X674" s="1569"/>
      <c r="Y674" s="1569"/>
      <c r="Z674" s="1569"/>
      <c r="AA674" s="1569"/>
      <c r="AB674" s="1569"/>
      <c r="AC674" s="1569"/>
      <c r="AD674" s="1569"/>
      <c r="AE674" s="1570"/>
      <c r="AF674" s="1571" t="s">
        <v>278</v>
      </c>
      <c r="AG674" s="1572"/>
      <c r="AH674" s="1572"/>
      <c r="AI674" s="1572"/>
      <c r="AJ674" s="1572"/>
      <c r="AK674" s="1572"/>
      <c r="AL674" s="1572"/>
      <c r="AM674" s="1572"/>
      <c r="AN674" s="1573"/>
      <c r="AO674" s="1187" t="s">
        <v>2766</v>
      </c>
    </row>
    <row r="675" spans="1:41">
      <c r="A675" s="1574" t="str">
        <f>unos!A325</f>
        <v>320</v>
      </c>
      <c r="B675" s="1575"/>
      <c r="C675" s="1575"/>
      <c r="D675" s="1576"/>
      <c r="E675" s="1558" t="str">
        <f>unos!B325</f>
        <v>Emisiona premija</v>
      </c>
      <c r="F675" s="1559"/>
      <c r="G675" s="1559"/>
      <c r="H675" s="1559"/>
      <c r="I675" s="1559"/>
      <c r="J675" s="1559"/>
      <c r="K675" s="1559"/>
      <c r="L675" s="1559"/>
      <c r="M675" s="1559"/>
      <c r="N675" s="1559"/>
      <c r="O675" s="1559"/>
      <c r="P675" s="1559"/>
      <c r="Q675" s="1559"/>
      <c r="R675" s="1559"/>
      <c r="S675" s="1559"/>
      <c r="T675" s="1559"/>
      <c r="U675" s="1559"/>
      <c r="V675" s="1559"/>
      <c r="W675" s="1560">
        <f>unos!C325</f>
        <v>0</v>
      </c>
      <c r="X675" s="1561"/>
      <c r="Y675" s="1561"/>
      <c r="Z675" s="1561"/>
      <c r="AA675" s="1561"/>
      <c r="AB675" s="1561"/>
      <c r="AC675" s="1561"/>
      <c r="AD675" s="1561"/>
      <c r="AE675" s="1562"/>
      <c r="AF675" s="1563">
        <f>unos!F325</f>
        <v>0</v>
      </c>
      <c r="AG675" s="1561"/>
      <c r="AH675" s="1561"/>
      <c r="AI675" s="1561"/>
      <c r="AJ675" s="1561"/>
      <c r="AK675" s="1561"/>
      <c r="AL675" s="1561"/>
      <c r="AM675" s="1561"/>
      <c r="AN675" s="1562"/>
      <c r="AO675" s="1186">
        <f>IF(OR(W675=0,AF675=0),0,ROUND(AF675/W675,4))</f>
        <v>0</v>
      </c>
    </row>
    <row r="676" spans="1:41">
      <c r="A676" s="1574" t="str">
        <f>unos!A326</f>
        <v>321</v>
      </c>
      <c r="B676" s="1575"/>
      <c r="C676" s="1575"/>
      <c r="D676" s="1576"/>
      <c r="E676" s="1558" t="str">
        <f>unos!B326</f>
        <v>Zakonske rezerve</v>
      </c>
      <c r="F676" s="1559"/>
      <c r="G676" s="1559"/>
      <c r="H676" s="1559"/>
      <c r="I676" s="1559"/>
      <c r="J676" s="1559"/>
      <c r="K676" s="1559"/>
      <c r="L676" s="1559"/>
      <c r="M676" s="1559"/>
      <c r="N676" s="1559"/>
      <c r="O676" s="1559"/>
      <c r="P676" s="1559"/>
      <c r="Q676" s="1559"/>
      <c r="R676" s="1559"/>
      <c r="S676" s="1559"/>
      <c r="T676" s="1559"/>
      <c r="U676" s="1559"/>
      <c r="V676" s="1559"/>
      <c r="W676" s="1560">
        <f>unos!C326</f>
        <v>0</v>
      </c>
      <c r="X676" s="1561"/>
      <c r="Y676" s="1561"/>
      <c r="Z676" s="1561"/>
      <c r="AA676" s="1561"/>
      <c r="AB676" s="1561"/>
      <c r="AC676" s="1561"/>
      <c r="AD676" s="1561"/>
      <c r="AE676" s="1562"/>
      <c r="AF676" s="1563">
        <f>unos!F326</f>
        <v>0</v>
      </c>
      <c r="AG676" s="1561"/>
      <c r="AH676" s="1561"/>
      <c r="AI676" s="1561"/>
      <c r="AJ676" s="1561"/>
      <c r="AK676" s="1561"/>
      <c r="AL676" s="1561"/>
      <c r="AM676" s="1561"/>
      <c r="AN676" s="1562"/>
      <c r="AO676" s="1186">
        <f>IF(OR(W676=0,AF676=0),0,ROUND(AF676/W676,4))</f>
        <v>0</v>
      </c>
    </row>
    <row r="677" spans="1:41">
      <c r="A677" s="1574" t="str">
        <f>unos!A327</f>
        <v>322</v>
      </c>
      <c r="B677" s="1575"/>
      <c r="C677" s="1575"/>
      <c r="D677" s="1576"/>
      <c r="E677" s="1558" t="str">
        <f>unos!B327</f>
        <v>Statutarne i druge rezerve</v>
      </c>
      <c r="F677" s="1559"/>
      <c r="G677" s="1559"/>
      <c r="H677" s="1559"/>
      <c r="I677" s="1559"/>
      <c r="J677" s="1559"/>
      <c r="K677" s="1559"/>
      <c r="L677" s="1559"/>
      <c r="M677" s="1559"/>
      <c r="N677" s="1559"/>
      <c r="O677" s="1559"/>
      <c r="P677" s="1559"/>
      <c r="Q677" s="1559"/>
      <c r="R677" s="1559"/>
      <c r="S677" s="1559"/>
      <c r="T677" s="1559"/>
      <c r="U677" s="1559"/>
      <c r="V677" s="1559"/>
      <c r="W677" s="1560">
        <f>unos!C327</f>
        <v>0</v>
      </c>
      <c r="X677" s="1561"/>
      <c r="Y677" s="1561"/>
      <c r="Z677" s="1561"/>
      <c r="AA677" s="1561"/>
      <c r="AB677" s="1561"/>
      <c r="AC677" s="1561"/>
      <c r="AD677" s="1561"/>
      <c r="AE677" s="1562"/>
      <c r="AF677" s="1563">
        <f>unos!F327</f>
        <v>0</v>
      </c>
      <c r="AG677" s="1561"/>
      <c r="AH677" s="1561"/>
      <c r="AI677" s="1561"/>
      <c r="AJ677" s="1561"/>
      <c r="AK677" s="1561"/>
      <c r="AL677" s="1561"/>
      <c r="AM677" s="1561"/>
      <c r="AN677" s="1562"/>
      <c r="AO677" s="1186">
        <f>IF(OR(W677=0,AF677=0),0,ROUND(AF677/W677,4))</f>
        <v>0</v>
      </c>
    </row>
    <row r="678" spans="1:41">
      <c r="A678" s="1577"/>
      <c r="B678" s="1577"/>
      <c r="C678" s="1577"/>
      <c r="D678" s="1577"/>
      <c r="E678" s="1167"/>
      <c r="F678" s="1168"/>
      <c r="G678" s="1168"/>
      <c r="H678" s="1168"/>
      <c r="I678" s="1168"/>
      <c r="J678" s="1168"/>
      <c r="K678" s="1168"/>
      <c r="L678" s="1168"/>
      <c r="M678" s="1168"/>
      <c r="N678" s="1168"/>
      <c r="O678" s="1168"/>
      <c r="P678" s="1168"/>
      <c r="Q678" s="1168"/>
      <c r="R678" s="1168"/>
      <c r="S678" s="1167"/>
      <c r="T678" s="1167"/>
      <c r="U678" s="1167"/>
      <c r="V678" s="1169" t="s">
        <v>1997</v>
      </c>
      <c r="W678" s="1578">
        <f>SUM(W675:W677)</f>
        <v>0</v>
      </c>
      <c r="X678" s="1579"/>
      <c r="Y678" s="1579"/>
      <c r="Z678" s="1579"/>
      <c r="AA678" s="1579"/>
      <c r="AB678" s="1579"/>
      <c r="AC678" s="1579"/>
      <c r="AD678" s="1579"/>
      <c r="AE678" s="1580"/>
      <c r="AF678" s="1578">
        <f>SUM(AF675:AF677)</f>
        <v>0</v>
      </c>
      <c r="AG678" s="1579"/>
      <c r="AH678" s="1579"/>
      <c r="AI678" s="1579"/>
      <c r="AJ678" s="1579"/>
      <c r="AK678" s="1579"/>
      <c r="AL678" s="1579"/>
      <c r="AM678" s="1579"/>
      <c r="AN678" s="1580"/>
      <c r="AO678" s="1185">
        <f>IF(OR(W678=0,AF678=0),0,ROUND(AF678/W678,4))</f>
        <v>0</v>
      </c>
    </row>
    <row r="681" spans="1:41">
      <c r="A681" s="828" t="s">
        <v>75</v>
      </c>
    </row>
    <row r="682" spans="1:41" ht="14.25" customHeight="1">
      <c r="W682" s="1170" t="s">
        <v>1995</v>
      </c>
      <c r="X682" s="1171"/>
      <c r="Y682" s="1171"/>
      <c r="Z682" s="1171"/>
      <c r="AA682" s="1171"/>
      <c r="AB682" s="1171"/>
      <c r="AC682" s="1171"/>
      <c r="AD682" s="1171"/>
      <c r="AE682" s="1171"/>
      <c r="AF682" s="1171"/>
      <c r="AG682" s="1171"/>
      <c r="AH682" s="1171"/>
      <c r="AI682" s="1171"/>
      <c r="AJ682" s="1171"/>
      <c r="AK682" s="1171"/>
      <c r="AL682" s="1171"/>
      <c r="AM682" s="1171"/>
      <c r="AN682" s="1172"/>
    </row>
    <row r="683" spans="1:41">
      <c r="A683" s="1582" t="s">
        <v>1996</v>
      </c>
      <c r="B683" s="1583"/>
      <c r="C683" s="1583"/>
      <c r="D683" s="1584"/>
      <c r="E683" s="1567" t="s">
        <v>796</v>
      </c>
      <c r="F683" s="1567"/>
      <c r="G683" s="1567"/>
      <c r="H683" s="1567"/>
      <c r="I683" s="1567"/>
      <c r="J683" s="1567"/>
      <c r="K683" s="1567"/>
      <c r="L683" s="1567"/>
      <c r="M683" s="1567"/>
      <c r="N683" s="1567"/>
      <c r="O683" s="1567"/>
      <c r="P683" s="1567"/>
      <c r="Q683" s="1567"/>
      <c r="R683" s="1567"/>
      <c r="S683" s="1567"/>
      <c r="T683" s="1567"/>
      <c r="U683" s="1567"/>
      <c r="V683" s="1567"/>
      <c r="W683" s="1568" t="s">
        <v>1039</v>
      </c>
      <c r="X683" s="1569"/>
      <c r="Y683" s="1569"/>
      <c r="Z683" s="1569"/>
      <c r="AA683" s="1569"/>
      <c r="AB683" s="1569"/>
      <c r="AC683" s="1569"/>
      <c r="AD683" s="1569"/>
      <c r="AE683" s="1570"/>
      <c r="AF683" s="1571" t="s">
        <v>278</v>
      </c>
      <c r="AG683" s="1572"/>
      <c r="AH683" s="1572"/>
      <c r="AI683" s="1572"/>
      <c r="AJ683" s="1572"/>
      <c r="AK683" s="1572"/>
      <c r="AL683" s="1572"/>
      <c r="AM683" s="1572"/>
      <c r="AN683" s="1573"/>
      <c r="AO683" s="1187" t="s">
        <v>2766</v>
      </c>
    </row>
    <row r="684" spans="1:41">
      <c r="A684" s="1574" t="str">
        <f>unos!A328</f>
        <v>330</v>
      </c>
      <c r="B684" s="1575"/>
      <c r="C684" s="1575"/>
      <c r="D684" s="1576"/>
      <c r="E684" s="1558" t="str">
        <f>unos!B328</f>
        <v>Revalor.rezerve iz osnova rev.stalnih sredsta</v>
      </c>
      <c r="F684" s="1559"/>
      <c r="G684" s="1559"/>
      <c r="H684" s="1559"/>
      <c r="I684" s="1559"/>
      <c r="J684" s="1559"/>
      <c r="K684" s="1559"/>
      <c r="L684" s="1559"/>
      <c r="M684" s="1559"/>
      <c r="N684" s="1559"/>
      <c r="O684" s="1559"/>
      <c r="P684" s="1559"/>
      <c r="Q684" s="1559"/>
      <c r="R684" s="1559"/>
      <c r="S684" s="1559"/>
      <c r="T684" s="1559"/>
      <c r="U684" s="1559"/>
      <c r="V684" s="1559"/>
      <c r="W684" s="1560">
        <f>unos!C328</f>
        <v>0</v>
      </c>
      <c r="X684" s="1561"/>
      <c r="Y684" s="1561"/>
      <c r="Z684" s="1561"/>
      <c r="AA684" s="1561"/>
      <c r="AB684" s="1561"/>
      <c r="AC684" s="1561"/>
      <c r="AD684" s="1561"/>
      <c r="AE684" s="1562"/>
      <c r="AF684" s="1563">
        <f>unos!F328</f>
        <v>0</v>
      </c>
      <c r="AG684" s="1561"/>
      <c r="AH684" s="1561"/>
      <c r="AI684" s="1561"/>
      <c r="AJ684" s="1561"/>
      <c r="AK684" s="1561"/>
      <c r="AL684" s="1561"/>
      <c r="AM684" s="1561"/>
      <c r="AN684" s="1562"/>
      <c r="AO684" s="1186">
        <f t="shared" ref="AO684:AO689" si="28">IF(OR(W684=0,AF684=0),0,ROUND(AF684/W684,4))</f>
        <v>0</v>
      </c>
    </row>
    <row r="685" spans="1:41">
      <c r="A685" s="1574" t="str">
        <f>unos!A329</f>
        <v>331</v>
      </c>
      <c r="B685" s="1575"/>
      <c r="C685" s="1575"/>
      <c r="D685" s="1576"/>
      <c r="E685" s="1558" t="str">
        <f>unos!B329</f>
        <v>Razlike nastale prevođ.fin.izvj.u valutu prez</v>
      </c>
      <c r="F685" s="1559"/>
      <c r="G685" s="1559"/>
      <c r="H685" s="1559"/>
      <c r="I685" s="1559"/>
      <c r="J685" s="1559"/>
      <c r="K685" s="1559"/>
      <c r="L685" s="1559"/>
      <c r="M685" s="1559"/>
      <c r="N685" s="1559"/>
      <c r="O685" s="1559"/>
      <c r="P685" s="1559"/>
      <c r="Q685" s="1559"/>
      <c r="R685" s="1559"/>
      <c r="S685" s="1559"/>
      <c r="T685" s="1559"/>
      <c r="U685" s="1559"/>
      <c r="V685" s="1559"/>
      <c r="W685" s="1560">
        <f>unos!C329</f>
        <v>0</v>
      </c>
      <c r="X685" s="1561"/>
      <c r="Y685" s="1561"/>
      <c r="Z685" s="1561"/>
      <c r="AA685" s="1561"/>
      <c r="AB685" s="1561"/>
      <c r="AC685" s="1561"/>
      <c r="AD685" s="1561"/>
      <c r="AE685" s="1562"/>
      <c r="AF685" s="1563">
        <f>unos!F329</f>
        <v>0</v>
      </c>
      <c r="AG685" s="1561"/>
      <c r="AH685" s="1561"/>
      <c r="AI685" s="1561"/>
      <c r="AJ685" s="1561"/>
      <c r="AK685" s="1561"/>
      <c r="AL685" s="1561"/>
      <c r="AM685" s="1561"/>
      <c r="AN685" s="1562"/>
      <c r="AO685" s="1186">
        <f t="shared" si="28"/>
        <v>0</v>
      </c>
    </row>
    <row r="686" spans="1:41">
      <c r="A686" s="1574" t="str">
        <f>unos!A330</f>
        <v>332</v>
      </c>
      <c r="B686" s="1575"/>
      <c r="C686" s="1575"/>
      <c r="D686" s="1576"/>
      <c r="E686" s="1558" t="str">
        <f>unos!B330</f>
        <v>Nereal.dobici iz osnova fin.sred.ras.za proda</v>
      </c>
      <c r="F686" s="1559"/>
      <c r="G686" s="1559"/>
      <c r="H686" s="1559"/>
      <c r="I686" s="1559"/>
      <c r="J686" s="1559"/>
      <c r="K686" s="1559"/>
      <c r="L686" s="1559"/>
      <c r="M686" s="1559"/>
      <c r="N686" s="1559"/>
      <c r="O686" s="1559"/>
      <c r="P686" s="1559"/>
      <c r="Q686" s="1559"/>
      <c r="R686" s="1559"/>
      <c r="S686" s="1559"/>
      <c r="T686" s="1559"/>
      <c r="U686" s="1559"/>
      <c r="V686" s="1559"/>
      <c r="W686" s="1560">
        <f>unos!C330</f>
        <v>0</v>
      </c>
      <c r="X686" s="1561"/>
      <c r="Y686" s="1561"/>
      <c r="Z686" s="1561"/>
      <c r="AA686" s="1561"/>
      <c r="AB686" s="1561"/>
      <c r="AC686" s="1561"/>
      <c r="AD686" s="1561"/>
      <c r="AE686" s="1562"/>
      <c r="AF686" s="1563">
        <f>unos!F330</f>
        <v>0</v>
      </c>
      <c r="AG686" s="1561"/>
      <c r="AH686" s="1561"/>
      <c r="AI686" s="1561"/>
      <c r="AJ686" s="1561"/>
      <c r="AK686" s="1561"/>
      <c r="AL686" s="1561"/>
      <c r="AM686" s="1561"/>
      <c r="AN686" s="1562"/>
      <c r="AO686" s="1186">
        <f t="shared" si="28"/>
        <v>0</v>
      </c>
    </row>
    <row r="687" spans="1:41">
      <c r="A687" s="1574" t="str">
        <f>unos!A331</f>
        <v>333</v>
      </c>
      <c r="B687" s="1575"/>
      <c r="C687" s="1575"/>
      <c r="D687" s="1576"/>
      <c r="E687" s="1558" t="str">
        <f>unos!B331</f>
        <v>Nereal.gubici iz osnova fin.sred.ras.za proda</v>
      </c>
      <c r="F687" s="1559"/>
      <c r="G687" s="1559"/>
      <c r="H687" s="1559"/>
      <c r="I687" s="1559"/>
      <c r="J687" s="1559"/>
      <c r="K687" s="1559"/>
      <c r="L687" s="1559"/>
      <c r="M687" s="1559"/>
      <c r="N687" s="1559"/>
      <c r="O687" s="1559"/>
      <c r="P687" s="1559"/>
      <c r="Q687" s="1559"/>
      <c r="R687" s="1559"/>
      <c r="S687" s="1559"/>
      <c r="T687" s="1559"/>
      <c r="U687" s="1559"/>
      <c r="V687" s="1559"/>
      <c r="W687" s="1560">
        <f>unos!C331</f>
        <v>0</v>
      </c>
      <c r="X687" s="1561"/>
      <c r="Y687" s="1561"/>
      <c r="Z687" s="1561"/>
      <c r="AA687" s="1561"/>
      <c r="AB687" s="1561"/>
      <c r="AC687" s="1561"/>
      <c r="AD687" s="1561"/>
      <c r="AE687" s="1562"/>
      <c r="AF687" s="1563">
        <f>unos!F331</f>
        <v>0</v>
      </c>
      <c r="AG687" s="1561"/>
      <c r="AH687" s="1561"/>
      <c r="AI687" s="1561"/>
      <c r="AJ687" s="1561"/>
      <c r="AK687" s="1561"/>
      <c r="AL687" s="1561"/>
      <c r="AM687" s="1561"/>
      <c r="AN687" s="1562"/>
      <c r="AO687" s="1186">
        <f t="shared" si="28"/>
        <v>0</v>
      </c>
    </row>
    <row r="688" spans="1:41">
      <c r="A688" s="1574" t="str">
        <f>unos!A332</f>
        <v>339</v>
      </c>
      <c r="B688" s="1575"/>
      <c r="C688" s="1575"/>
      <c r="D688" s="1576"/>
      <c r="E688" s="1558" t="str">
        <f>unos!B332</f>
        <v>Ostale revl.rezerve i nereal.dobici i gubici</v>
      </c>
      <c r="F688" s="1559"/>
      <c r="G688" s="1559"/>
      <c r="H688" s="1559"/>
      <c r="I688" s="1559"/>
      <c r="J688" s="1559"/>
      <c r="K688" s="1559"/>
      <c r="L688" s="1559"/>
      <c r="M688" s="1559"/>
      <c r="N688" s="1559"/>
      <c r="O688" s="1559"/>
      <c r="P688" s="1559"/>
      <c r="Q688" s="1559"/>
      <c r="R688" s="1559"/>
      <c r="S688" s="1559"/>
      <c r="T688" s="1559"/>
      <c r="U688" s="1559"/>
      <c r="V688" s="1559"/>
      <c r="W688" s="1560">
        <f>unos!C332</f>
        <v>0</v>
      </c>
      <c r="X688" s="1561"/>
      <c r="Y688" s="1561"/>
      <c r="Z688" s="1561"/>
      <c r="AA688" s="1561"/>
      <c r="AB688" s="1561"/>
      <c r="AC688" s="1561"/>
      <c r="AD688" s="1561"/>
      <c r="AE688" s="1562"/>
      <c r="AF688" s="1563">
        <f>unos!F332</f>
        <v>0</v>
      </c>
      <c r="AG688" s="1561"/>
      <c r="AH688" s="1561"/>
      <c r="AI688" s="1561"/>
      <c r="AJ688" s="1561"/>
      <c r="AK688" s="1561"/>
      <c r="AL688" s="1561"/>
      <c r="AM688" s="1561"/>
      <c r="AN688" s="1562"/>
      <c r="AO688" s="1186">
        <f t="shared" si="28"/>
        <v>0</v>
      </c>
    </row>
    <row r="689" spans="1:41">
      <c r="A689" s="1577"/>
      <c r="B689" s="1577"/>
      <c r="C689" s="1577"/>
      <c r="D689" s="1577"/>
      <c r="E689" s="1167"/>
      <c r="F689" s="1168"/>
      <c r="G689" s="1168"/>
      <c r="H689" s="1168"/>
      <c r="I689" s="1168"/>
      <c r="J689" s="1168"/>
      <c r="K689" s="1168"/>
      <c r="L689" s="1168"/>
      <c r="M689" s="1168"/>
      <c r="N689" s="1168"/>
      <c r="O689" s="1168"/>
      <c r="P689" s="1168"/>
      <c r="Q689" s="1168"/>
      <c r="R689" s="1168"/>
      <c r="S689" s="1167"/>
      <c r="T689" s="1167"/>
      <c r="U689" s="1167"/>
      <c r="V689" s="1169" t="s">
        <v>1997</v>
      </c>
      <c r="W689" s="1578">
        <f>SUM(W684:W688)</f>
        <v>0</v>
      </c>
      <c r="X689" s="1579"/>
      <c r="Y689" s="1579"/>
      <c r="Z689" s="1579"/>
      <c r="AA689" s="1579"/>
      <c r="AB689" s="1579"/>
      <c r="AC689" s="1579"/>
      <c r="AD689" s="1579"/>
      <c r="AE689" s="1580"/>
      <c r="AF689" s="1578">
        <f>SUM(AF684:AF688)</f>
        <v>0</v>
      </c>
      <c r="AG689" s="1579"/>
      <c r="AH689" s="1579"/>
      <c r="AI689" s="1579"/>
      <c r="AJ689" s="1579"/>
      <c r="AK689" s="1579"/>
      <c r="AL689" s="1579"/>
      <c r="AM689" s="1579"/>
      <c r="AN689" s="1580"/>
      <c r="AO689" s="1185">
        <f t="shared" si="28"/>
        <v>0</v>
      </c>
    </row>
    <row r="692" spans="1:41">
      <c r="B692" s="828" t="s">
        <v>76</v>
      </c>
    </row>
    <row r="693" spans="1:41" ht="14.25" customHeight="1">
      <c r="W693" s="1170" t="s">
        <v>1995</v>
      </c>
      <c r="X693" s="1171"/>
      <c r="Y693" s="1171"/>
      <c r="Z693" s="1171"/>
      <c r="AA693" s="1171"/>
      <c r="AB693" s="1171"/>
      <c r="AC693" s="1171"/>
      <c r="AD693" s="1171"/>
      <c r="AE693" s="1171"/>
      <c r="AF693" s="1171"/>
      <c r="AG693" s="1171"/>
      <c r="AH693" s="1171"/>
      <c r="AI693" s="1171"/>
      <c r="AJ693" s="1171"/>
      <c r="AK693" s="1171"/>
      <c r="AL693" s="1171"/>
      <c r="AM693" s="1171"/>
      <c r="AN693" s="1172"/>
    </row>
    <row r="694" spans="1:41">
      <c r="A694" s="1582" t="s">
        <v>1996</v>
      </c>
      <c r="B694" s="1583"/>
      <c r="C694" s="1583"/>
      <c r="D694" s="1584"/>
      <c r="E694" s="1567" t="s">
        <v>796</v>
      </c>
      <c r="F694" s="1567"/>
      <c r="G694" s="1567"/>
      <c r="H694" s="1567"/>
      <c r="I694" s="1567"/>
      <c r="J694" s="1567"/>
      <c r="K694" s="1567"/>
      <c r="L694" s="1567"/>
      <c r="M694" s="1567"/>
      <c r="N694" s="1567"/>
      <c r="O694" s="1567"/>
      <c r="P694" s="1567"/>
      <c r="Q694" s="1567"/>
      <c r="R694" s="1567"/>
      <c r="S694" s="1567"/>
      <c r="T694" s="1567"/>
      <c r="U694" s="1567"/>
      <c r="V694" s="1567"/>
      <c r="W694" s="1568" t="s">
        <v>1039</v>
      </c>
      <c r="X694" s="1569"/>
      <c r="Y694" s="1569"/>
      <c r="Z694" s="1569"/>
      <c r="AA694" s="1569"/>
      <c r="AB694" s="1569"/>
      <c r="AC694" s="1569"/>
      <c r="AD694" s="1569"/>
      <c r="AE694" s="1570"/>
      <c r="AF694" s="1571" t="s">
        <v>278</v>
      </c>
      <c r="AG694" s="1572"/>
      <c r="AH694" s="1572"/>
      <c r="AI694" s="1572"/>
      <c r="AJ694" s="1572"/>
      <c r="AK694" s="1572"/>
      <c r="AL694" s="1572"/>
      <c r="AM694" s="1572"/>
      <c r="AN694" s="1573"/>
      <c r="AO694" s="1187" t="s">
        <v>2766</v>
      </c>
    </row>
    <row r="695" spans="1:41">
      <c r="A695" s="1574" t="str">
        <f>unos!A333</f>
        <v>340</v>
      </c>
      <c r="B695" s="1575"/>
      <c r="C695" s="1575"/>
      <c r="D695" s="1576"/>
      <c r="E695" s="1558" t="str">
        <f>unos!B333</f>
        <v>Neraspoređena dobit ranijih godina</v>
      </c>
      <c r="F695" s="1559"/>
      <c r="G695" s="1559"/>
      <c r="H695" s="1559"/>
      <c r="I695" s="1559"/>
      <c r="J695" s="1559"/>
      <c r="K695" s="1559"/>
      <c r="L695" s="1559"/>
      <c r="M695" s="1559"/>
      <c r="N695" s="1559"/>
      <c r="O695" s="1559"/>
      <c r="P695" s="1559"/>
      <c r="Q695" s="1559"/>
      <c r="R695" s="1559"/>
      <c r="S695" s="1559"/>
      <c r="T695" s="1559"/>
      <c r="U695" s="1559"/>
      <c r="V695" s="1559"/>
      <c r="W695" s="1560">
        <f>unos!C333</f>
        <v>0</v>
      </c>
      <c r="X695" s="1561"/>
      <c r="Y695" s="1561"/>
      <c r="Z695" s="1561"/>
      <c r="AA695" s="1561"/>
      <c r="AB695" s="1561"/>
      <c r="AC695" s="1561"/>
      <c r="AD695" s="1561"/>
      <c r="AE695" s="1562"/>
      <c r="AF695" s="1563">
        <f>unos!F333</f>
        <v>0</v>
      </c>
      <c r="AG695" s="1561"/>
      <c r="AH695" s="1561"/>
      <c r="AI695" s="1561"/>
      <c r="AJ695" s="1561"/>
      <c r="AK695" s="1561"/>
      <c r="AL695" s="1561"/>
      <c r="AM695" s="1561"/>
      <c r="AN695" s="1562"/>
      <c r="AO695" s="1186">
        <f>IF(OR(W695=0,AF695=0),0,ROUND(AF695/W695,4))</f>
        <v>0</v>
      </c>
    </row>
    <row r="696" spans="1:41">
      <c r="A696" s="1574" t="str">
        <f>unos!A334</f>
        <v>341</v>
      </c>
      <c r="B696" s="1575"/>
      <c r="C696" s="1575"/>
      <c r="D696" s="1576"/>
      <c r="E696" s="1558" t="str">
        <f>unos!B334</f>
        <v>Neraspoređena dobit izvještajne godine</v>
      </c>
      <c r="F696" s="1559"/>
      <c r="G696" s="1559"/>
      <c r="H696" s="1559"/>
      <c r="I696" s="1559"/>
      <c r="J696" s="1559"/>
      <c r="K696" s="1559"/>
      <c r="L696" s="1559"/>
      <c r="M696" s="1559"/>
      <c r="N696" s="1559"/>
      <c r="O696" s="1559"/>
      <c r="P696" s="1559"/>
      <c r="Q696" s="1559"/>
      <c r="R696" s="1559"/>
      <c r="S696" s="1559"/>
      <c r="T696" s="1559"/>
      <c r="U696" s="1559"/>
      <c r="V696" s="1559"/>
      <c r="W696" s="1560">
        <f>unos!C334</f>
        <v>0</v>
      </c>
      <c r="X696" s="1561"/>
      <c r="Y696" s="1561"/>
      <c r="Z696" s="1561"/>
      <c r="AA696" s="1561"/>
      <c r="AB696" s="1561"/>
      <c r="AC696" s="1561"/>
      <c r="AD696" s="1561"/>
      <c r="AE696" s="1562"/>
      <c r="AF696" s="1563">
        <f>unos!F334</f>
        <v>0</v>
      </c>
      <c r="AG696" s="1561"/>
      <c r="AH696" s="1561"/>
      <c r="AI696" s="1561"/>
      <c r="AJ696" s="1561"/>
      <c r="AK696" s="1561"/>
      <c r="AL696" s="1561"/>
      <c r="AM696" s="1561"/>
      <c r="AN696" s="1562"/>
      <c r="AO696" s="1186">
        <f>IF(OR(W696=0,AF696=0),0,ROUND(AF696/W696,4))</f>
        <v>0</v>
      </c>
    </row>
    <row r="697" spans="1:41">
      <c r="A697" s="1574" t="str">
        <f>unos!A335</f>
        <v>342</v>
      </c>
      <c r="B697" s="1575"/>
      <c r="C697" s="1575"/>
      <c r="D697" s="1576"/>
      <c r="E697" s="1558" t="str">
        <f>unos!B335</f>
        <v>Neraspoređeni višak prihoda ranijih godina</v>
      </c>
      <c r="F697" s="1559"/>
      <c r="G697" s="1559"/>
      <c r="H697" s="1559"/>
      <c r="I697" s="1559"/>
      <c r="J697" s="1559"/>
      <c r="K697" s="1559"/>
      <c r="L697" s="1559"/>
      <c r="M697" s="1559"/>
      <c r="N697" s="1559"/>
      <c r="O697" s="1559"/>
      <c r="P697" s="1559"/>
      <c r="Q697" s="1559"/>
      <c r="R697" s="1559"/>
      <c r="S697" s="1559"/>
      <c r="T697" s="1559"/>
      <c r="U697" s="1559"/>
      <c r="V697" s="1559"/>
      <c r="W697" s="1560">
        <f>unos!C335</f>
        <v>0</v>
      </c>
      <c r="X697" s="1561"/>
      <c r="Y697" s="1561"/>
      <c r="Z697" s="1561"/>
      <c r="AA697" s="1561"/>
      <c r="AB697" s="1561"/>
      <c r="AC697" s="1561"/>
      <c r="AD697" s="1561"/>
      <c r="AE697" s="1562"/>
      <c r="AF697" s="1563">
        <f>unos!F335</f>
        <v>0</v>
      </c>
      <c r="AG697" s="1561"/>
      <c r="AH697" s="1561"/>
      <c r="AI697" s="1561"/>
      <c r="AJ697" s="1561"/>
      <c r="AK697" s="1561"/>
      <c r="AL697" s="1561"/>
      <c r="AM697" s="1561"/>
      <c r="AN697" s="1562"/>
      <c r="AO697" s="1186">
        <f>IF(OR(W697=0,AF697=0),0,ROUND(AF697/W697,4))</f>
        <v>0</v>
      </c>
    </row>
    <row r="698" spans="1:41">
      <c r="A698" s="1574" t="str">
        <f>unos!A336</f>
        <v>343</v>
      </c>
      <c r="B698" s="1575"/>
      <c r="C698" s="1575"/>
      <c r="D698" s="1576"/>
      <c r="E698" s="1558" t="str">
        <f>unos!B336</f>
        <v>Neraspoređeni višak prihoda izvještajne godin</v>
      </c>
      <c r="F698" s="1559"/>
      <c r="G698" s="1559"/>
      <c r="H698" s="1559"/>
      <c r="I698" s="1559"/>
      <c r="J698" s="1559"/>
      <c r="K698" s="1559"/>
      <c r="L698" s="1559"/>
      <c r="M698" s="1559"/>
      <c r="N698" s="1559"/>
      <c r="O698" s="1559"/>
      <c r="P698" s="1559"/>
      <c r="Q698" s="1559"/>
      <c r="R698" s="1559"/>
      <c r="S698" s="1559"/>
      <c r="T698" s="1559"/>
      <c r="U698" s="1559"/>
      <c r="V698" s="1559"/>
      <c r="W698" s="1560">
        <f>unos!C336</f>
        <v>0</v>
      </c>
      <c r="X698" s="1561"/>
      <c r="Y698" s="1561"/>
      <c r="Z698" s="1561"/>
      <c r="AA698" s="1561"/>
      <c r="AB698" s="1561"/>
      <c r="AC698" s="1561"/>
      <c r="AD698" s="1561"/>
      <c r="AE698" s="1562"/>
      <c r="AF698" s="1563">
        <f>unos!F336</f>
        <v>0</v>
      </c>
      <c r="AG698" s="1561"/>
      <c r="AH698" s="1561"/>
      <c r="AI698" s="1561"/>
      <c r="AJ698" s="1561"/>
      <c r="AK698" s="1561"/>
      <c r="AL698" s="1561"/>
      <c r="AM698" s="1561"/>
      <c r="AN698" s="1562"/>
      <c r="AO698" s="1186">
        <f>IF(OR(W698=0,AF698=0),0,ROUND(AF698/W698,4))</f>
        <v>0</v>
      </c>
    </row>
    <row r="699" spans="1:41">
      <c r="A699" s="1577"/>
      <c r="B699" s="1577"/>
      <c r="C699" s="1577"/>
      <c r="D699" s="1577"/>
      <c r="E699" s="1167"/>
      <c r="F699" s="1168"/>
      <c r="G699" s="1168"/>
      <c r="H699" s="1168"/>
      <c r="I699" s="1168"/>
      <c r="J699" s="1168"/>
      <c r="K699" s="1168"/>
      <c r="L699" s="1168"/>
      <c r="M699" s="1168"/>
      <c r="N699" s="1168"/>
      <c r="O699" s="1168"/>
      <c r="P699" s="1168"/>
      <c r="Q699" s="1168"/>
      <c r="R699" s="1168"/>
      <c r="S699" s="1167"/>
      <c r="T699" s="1167"/>
      <c r="U699" s="1167"/>
      <c r="V699" s="1169" t="s">
        <v>1997</v>
      </c>
      <c r="W699" s="1578">
        <f>SUM(W695:W698)</f>
        <v>0</v>
      </c>
      <c r="X699" s="1579"/>
      <c r="Y699" s="1579"/>
      <c r="Z699" s="1579"/>
      <c r="AA699" s="1579"/>
      <c r="AB699" s="1579"/>
      <c r="AC699" s="1579"/>
      <c r="AD699" s="1579"/>
      <c r="AE699" s="1580"/>
      <c r="AF699" s="1578">
        <f>SUM(AF695:AF698)</f>
        <v>0</v>
      </c>
      <c r="AG699" s="1579"/>
      <c r="AH699" s="1579"/>
      <c r="AI699" s="1579"/>
      <c r="AJ699" s="1579"/>
      <c r="AK699" s="1579"/>
      <c r="AL699" s="1579"/>
      <c r="AM699" s="1579"/>
      <c r="AN699" s="1580"/>
      <c r="AO699" s="1185">
        <f>IF(OR(W699=0,AF699=0),0,ROUND(AF699/W699,4))</f>
        <v>0</v>
      </c>
    </row>
    <row r="702" spans="1:41">
      <c r="B702" s="828" t="s">
        <v>77</v>
      </c>
    </row>
    <row r="703" spans="1:41" ht="14.25" customHeight="1">
      <c r="W703" s="1170" t="s">
        <v>1995</v>
      </c>
      <c r="X703" s="1171"/>
      <c r="Y703" s="1171"/>
      <c r="Z703" s="1171"/>
      <c r="AA703" s="1171"/>
      <c r="AB703" s="1171"/>
      <c r="AC703" s="1171"/>
      <c r="AD703" s="1171"/>
      <c r="AE703" s="1171"/>
      <c r="AF703" s="1171"/>
      <c r="AG703" s="1171"/>
      <c r="AH703" s="1171"/>
      <c r="AI703" s="1171"/>
      <c r="AJ703" s="1171"/>
      <c r="AK703" s="1171"/>
      <c r="AL703" s="1171"/>
      <c r="AM703" s="1171"/>
      <c r="AN703" s="1172"/>
    </row>
    <row r="704" spans="1:41">
      <c r="A704" s="1582" t="s">
        <v>1996</v>
      </c>
      <c r="B704" s="1583"/>
      <c r="C704" s="1583"/>
      <c r="D704" s="1584"/>
      <c r="E704" s="1567" t="s">
        <v>796</v>
      </c>
      <c r="F704" s="1567"/>
      <c r="G704" s="1567"/>
      <c r="H704" s="1567"/>
      <c r="I704" s="1567"/>
      <c r="J704" s="1567"/>
      <c r="K704" s="1567"/>
      <c r="L704" s="1567"/>
      <c r="M704" s="1567"/>
      <c r="N704" s="1567"/>
      <c r="O704" s="1567"/>
      <c r="P704" s="1567"/>
      <c r="Q704" s="1567"/>
      <c r="R704" s="1567"/>
      <c r="S704" s="1567"/>
      <c r="T704" s="1567"/>
      <c r="U704" s="1567"/>
      <c r="V704" s="1567"/>
      <c r="W704" s="1568" t="s">
        <v>1039</v>
      </c>
      <c r="X704" s="1569"/>
      <c r="Y704" s="1569"/>
      <c r="Z704" s="1569"/>
      <c r="AA704" s="1569"/>
      <c r="AB704" s="1569"/>
      <c r="AC704" s="1569"/>
      <c r="AD704" s="1569"/>
      <c r="AE704" s="1570"/>
      <c r="AF704" s="1571" t="s">
        <v>278</v>
      </c>
      <c r="AG704" s="1572"/>
      <c r="AH704" s="1572"/>
      <c r="AI704" s="1572"/>
      <c r="AJ704" s="1572"/>
      <c r="AK704" s="1572"/>
      <c r="AL704" s="1572"/>
      <c r="AM704" s="1572"/>
      <c r="AN704" s="1573"/>
      <c r="AO704" s="1187" t="s">
        <v>2766</v>
      </c>
    </row>
    <row r="705" spans="1:41">
      <c r="A705" s="1574" t="str">
        <f>unos!A337</f>
        <v>350</v>
      </c>
      <c r="B705" s="1575"/>
      <c r="C705" s="1575"/>
      <c r="D705" s="1576"/>
      <c r="E705" s="1558" t="str">
        <f>unos!B337</f>
        <v>Gubitak ranijih godina</v>
      </c>
      <c r="F705" s="1559"/>
      <c r="G705" s="1559"/>
      <c r="H705" s="1559"/>
      <c r="I705" s="1559"/>
      <c r="J705" s="1559"/>
      <c r="K705" s="1559"/>
      <c r="L705" s="1559"/>
      <c r="M705" s="1559"/>
      <c r="N705" s="1559"/>
      <c r="O705" s="1559"/>
      <c r="P705" s="1559"/>
      <c r="Q705" s="1559"/>
      <c r="R705" s="1559"/>
      <c r="S705" s="1559"/>
      <c r="T705" s="1559"/>
      <c r="U705" s="1559"/>
      <c r="V705" s="1559"/>
      <c r="W705" s="1560">
        <f>unos!C337</f>
        <v>0</v>
      </c>
      <c r="X705" s="1561"/>
      <c r="Y705" s="1561"/>
      <c r="Z705" s="1561"/>
      <c r="AA705" s="1561"/>
      <c r="AB705" s="1561"/>
      <c r="AC705" s="1561"/>
      <c r="AD705" s="1561"/>
      <c r="AE705" s="1562"/>
      <c r="AF705" s="1563">
        <f>unos!F337</f>
        <v>0</v>
      </c>
      <c r="AG705" s="1561"/>
      <c r="AH705" s="1561"/>
      <c r="AI705" s="1561"/>
      <c r="AJ705" s="1561"/>
      <c r="AK705" s="1561"/>
      <c r="AL705" s="1561"/>
      <c r="AM705" s="1561"/>
      <c r="AN705" s="1562"/>
      <c r="AO705" s="1186">
        <f>IF(OR(W705=0,AF705=0),0,ROUND(AF705/W705,4))</f>
        <v>0</v>
      </c>
    </row>
    <row r="706" spans="1:41">
      <c r="A706" s="1574" t="str">
        <f>unos!A338</f>
        <v>351</v>
      </c>
      <c r="B706" s="1575"/>
      <c r="C706" s="1575"/>
      <c r="D706" s="1576"/>
      <c r="E706" s="1558" t="str">
        <f>unos!B338</f>
        <v>Gubitak izvještajne godine</v>
      </c>
      <c r="F706" s="1559"/>
      <c r="G706" s="1559"/>
      <c r="H706" s="1559"/>
      <c r="I706" s="1559"/>
      <c r="J706" s="1559"/>
      <c r="K706" s="1559"/>
      <c r="L706" s="1559"/>
      <c r="M706" s="1559"/>
      <c r="N706" s="1559"/>
      <c r="O706" s="1559"/>
      <c r="P706" s="1559"/>
      <c r="Q706" s="1559"/>
      <c r="R706" s="1559"/>
      <c r="S706" s="1559"/>
      <c r="T706" s="1559"/>
      <c r="U706" s="1559"/>
      <c r="V706" s="1559"/>
      <c r="W706" s="1560">
        <f>unos!C338</f>
        <v>0</v>
      </c>
      <c r="X706" s="1561"/>
      <c r="Y706" s="1561"/>
      <c r="Z706" s="1561"/>
      <c r="AA706" s="1561"/>
      <c r="AB706" s="1561"/>
      <c r="AC706" s="1561"/>
      <c r="AD706" s="1561"/>
      <c r="AE706" s="1562"/>
      <c r="AF706" s="1563">
        <f>unos!F338</f>
        <v>0</v>
      </c>
      <c r="AG706" s="1561"/>
      <c r="AH706" s="1561"/>
      <c r="AI706" s="1561"/>
      <c r="AJ706" s="1561"/>
      <c r="AK706" s="1561"/>
      <c r="AL706" s="1561"/>
      <c r="AM706" s="1561"/>
      <c r="AN706" s="1562"/>
      <c r="AO706" s="1186">
        <f>IF(OR(W706=0,AF706=0),0,ROUND(AF706/W706,4))</f>
        <v>0</v>
      </c>
    </row>
    <row r="707" spans="1:41">
      <c r="A707" s="1574" t="str">
        <f>unos!A339</f>
        <v>352</v>
      </c>
      <c r="B707" s="1575"/>
      <c r="C707" s="1575"/>
      <c r="D707" s="1576"/>
      <c r="E707" s="1558" t="str">
        <f>unos!B339</f>
        <v>Nepokriveni višak rashoda ranijih godina</v>
      </c>
      <c r="F707" s="1559"/>
      <c r="G707" s="1559"/>
      <c r="H707" s="1559"/>
      <c r="I707" s="1559"/>
      <c r="J707" s="1559"/>
      <c r="K707" s="1559"/>
      <c r="L707" s="1559"/>
      <c r="M707" s="1559"/>
      <c r="N707" s="1559"/>
      <c r="O707" s="1559"/>
      <c r="P707" s="1559"/>
      <c r="Q707" s="1559"/>
      <c r="R707" s="1559"/>
      <c r="S707" s="1559"/>
      <c r="T707" s="1559"/>
      <c r="U707" s="1559"/>
      <c r="V707" s="1559"/>
      <c r="W707" s="1560">
        <f>unos!C339</f>
        <v>0</v>
      </c>
      <c r="X707" s="1561"/>
      <c r="Y707" s="1561"/>
      <c r="Z707" s="1561"/>
      <c r="AA707" s="1561"/>
      <c r="AB707" s="1561"/>
      <c r="AC707" s="1561"/>
      <c r="AD707" s="1561"/>
      <c r="AE707" s="1562"/>
      <c r="AF707" s="1563">
        <f>unos!F339</f>
        <v>0</v>
      </c>
      <c r="AG707" s="1561"/>
      <c r="AH707" s="1561"/>
      <c r="AI707" s="1561"/>
      <c r="AJ707" s="1561"/>
      <c r="AK707" s="1561"/>
      <c r="AL707" s="1561"/>
      <c r="AM707" s="1561"/>
      <c r="AN707" s="1562"/>
      <c r="AO707" s="1186">
        <f>IF(OR(W707=0,AF707=0),0,ROUND(AF707/W707,4))</f>
        <v>0</v>
      </c>
    </row>
    <row r="708" spans="1:41">
      <c r="A708" s="1574" t="str">
        <f>unos!A340</f>
        <v>353</v>
      </c>
      <c r="B708" s="1575"/>
      <c r="C708" s="1575"/>
      <c r="D708" s="1576"/>
      <c r="E708" s="1558" t="str">
        <f>unos!B340</f>
        <v>Nepokriveni višak rashoda izvještajne godine</v>
      </c>
      <c r="F708" s="1559"/>
      <c r="G708" s="1559"/>
      <c r="H708" s="1559"/>
      <c r="I708" s="1559"/>
      <c r="J708" s="1559"/>
      <c r="K708" s="1559"/>
      <c r="L708" s="1559"/>
      <c r="M708" s="1559"/>
      <c r="N708" s="1559"/>
      <c r="O708" s="1559"/>
      <c r="P708" s="1559"/>
      <c r="Q708" s="1559"/>
      <c r="R708" s="1559"/>
      <c r="S708" s="1559"/>
      <c r="T708" s="1559"/>
      <c r="U708" s="1559"/>
      <c r="V708" s="1559"/>
      <c r="W708" s="1560">
        <f>unos!C340</f>
        <v>0</v>
      </c>
      <c r="X708" s="1561"/>
      <c r="Y708" s="1561"/>
      <c r="Z708" s="1561"/>
      <c r="AA708" s="1561"/>
      <c r="AB708" s="1561"/>
      <c r="AC708" s="1561"/>
      <c r="AD708" s="1561"/>
      <c r="AE708" s="1562"/>
      <c r="AF708" s="1563">
        <f>unos!F340</f>
        <v>0</v>
      </c>
      <c r="AG708" s="1561"/>
      <c r="AH708" s="1561"/>
      <c r="AI708" s="1561"/>
      <c r="AJ708" s="1561"/>
      <c r="AK708" s="1561"/>
      <c r="AL708" s="1561"/>
      <c r="AM708" s="1561"/>
      <c r="AN708" s="1562"/>
      <c r="AO708" s="1186">
        <f>IF(OR(W708=0,AF708=0),0,ROUND(AF708/W708,4))</f>
        <v>0</v>
      </c>
    </row>
    <row r="709" spans="1:41">
      <c r="A709" s="1577"/>
      <c r="B709" s="1577"/>
      <c r="C709" s="1577"/>
      <c r="D709" s="1577"/>
      <c r="E709" s="1167"/>
      <c r="F709" s="1168"/>
      <c r="G709" s="1168"/>
      <c r="H709" s="1168"/>
      <c r="I709" s="1168"/>
      <c r="J709" s="1168"/>
      <c r="K709" s="1168"/>
      <c r="L709" s="1168"/>
      <c r="M709" s="1168"/>
      <c r="N709" s="1168"/>
      <c r="O709" s="1168"/>
      <c r="P709" s="1168"/>
      <c r="Q709" s="1168"/>
      <c r="R709" s="1168"/>
      <c r="S709" s="1167"/>
      <c r="T709" s="1167"/>
      <c r="U709" s="1167"/>
      <c r="V709" s="1169" t="s">
        <v>1997</v>
      </c>
      <c r="W709" s="1578">
        <f>SUM(W705:W708)</f>
        <v>0</v>
      </c>
      <c r="X709" s="1579"/>
      <c r="Y709" s="1579"/>
      <c r="Z709" s="1579"/>
      <c r="AA709" s="1579"/>
      <c r="AB709" s="1579"/>
      <c r="AC709" s="1579"/>
      <c r="AD709" s="1579"/>
      <c r="AE709" s="1580"/>
      <c r="AF709" s="1578">
        <f>SUM(AF705:AF708)</f>
        <v>0</v>
      </c>
      <c r="AG709" s="1579"/>
      <c r="AH709" s="1579"/>
      <c r="AI709" s="1579"/>
      <c r="AJ709" s="1579"/>
      <c r="AK709" s="1579"/>
      <c r="AL709" s="1579"/>
      <c r="AM709" s="1579"/>
      <c r="AN709" s="1580"/>
      <c r="AO709" s="1185">
        <f>IF(OR(W709=0,AF709=0),0,ROUND(AF709/W709,4))</f>
        <v>0</v>
      </c>
    </row>
    <row r="712" spans="1:41">
      <c r="B712" s="828" t="s">
        <v>78</v>
      </c>
    </row>
    <row r="713" spans="1:41" ht="14.25" customHeight="1">
      <c r="W713" s="1170" t="s">
        <v>1995</v>
      </c>
      <c r="X713" s="1171"/>
      <c r="Y713" s="1171"/>
      <c r="Z713" s="1171"/>
      <c r="AA713" s="1171"/>
      <c r="AB713" s="1171"/>
      <c r="AC713" s="1171"/>
      <c r="AD713" s="1171"/>
      <c r="AE713" s="1171"/>
      <c r="AF713" s="1171"/>
      <c r="AG713" s="1171"/>
      <c r="AH713" s="1171"/>
      <c r="AI713" s="1171"/>
      <c r="AJ713" s="1171"/>
      <c r="AK713" s="1171"/>
      <c r="AL713" s="1171"/>
      <c r="AM713" s="1171"/>
      <c r="AN713" s="1172"/>
    </row>
    <row r="714" spans="1:41">
      <c r="A714" s="1582" t="s">
        <v>1996</v>
      </c>
      <c r="B714" s="1583"/>
      <c r="C714" s="1583"/>
      <c r="D714" s="1584"/>
      <c r="E714" s="1567" t="s">
        <v>796</v>
      </c>
      <c r="F714" s="1567"/>
      <c r="G714" s="1567"/>
      <c r="H714" s="1567"/>
      <c r="I714" s="1567"/>
      <c r="J714" s="1567"/>
      <c r="K714" s="1567"/>
      <c r="L714" s="1567"/>
      <c r="M714" s="1567"/>
      <c r="N714" s="1567"/>
      <c r="O714" s="1567"/>
      <c r="P714" s="1567"/>
      <c r="Q714" s="1567"/>
      <c r="R714" s="1567"/>
      <c r="S714" s="1567"/>
      <c r="T714" s="1567"/>
      <c r="U714" s="1567"/>
      <c r="V714" s="1567"/>
      <c r="W714" s="1568" t="s">
        <v>1039</v>
      </c>
      <c r="X714" s="1569"/>
      <c r="Y714" s="1569"/>
      <c r="Z714" s="1569"/>
      <c r="AA714" s="1569"/>
      <c r="AB714" s="1569"/>
      <c r="AC714" s="1569"/>
      <c r="AD714" s="1569"/>
      <c r="AE714" s="1570"/>
      <c r="AF714" s="1571" t="s">
        <v>278</v>
      </c>
      <c r="AG714" s="1572"/>
      <c r="AH714" s="1572"/>
      <c r="AI714" s="1572"/>
      <c r="AJ714" s="1572"/>
      <c r="AK714" s="1572"/>
      <c r="AL714" s="1572"/>
      <c r="AM714" s="1572"/>
      <c r="AN714" s="1573"/>
      <c r="AO714" s="1187" t="s">
        <v>2766</v>
      </c>
    </row>
    <row r="715" spans="1:41">
      <c r="A715" s="1574" t="str">
        <f>unos!A341</f>
        <v>360</v>
      </c>
      <c r="B715" s="1575"/>
      <c r="C715" s="1575"/>
      <c r="D715" s="1576"/>
      <c r="E715" s="1558" t="str">
        <f>unos!B341</f>
        <v>Otkupljene vlastite dionice i udjeli</v>
      </c>
      <c r="F715" s="1559"/>
      <c r="G715" s="1559"/>
      <c r="H715" s="1559"/>
      <c r="I715" s="1559"/>
      <c r="J715" s="1559"/>
      <c r="K715" s="1559"/>
      <c r="L715" s="1559"/>
      <c r="M715" s="1559"/>
      <c r="N715" s="1559"/>
      <c r="O715" s="1559"/>
      <c r="P715" s="1559"/>
      <c r="Q715" s="1559"/>
      <c r="R715" s="1559"/>
      <c r="S715" s="1559"/>
      <c r="T715" s="1559"/>
      <c r="U715" s="1559"/>
      <c r="V715" s="1559"/>
      <c r="W715" s="1560">
        <f>unos!C341</f>
        <v>0</v>
      </c>
      <c r="X715" s="1561"/>
      <c r="Y715" s="1561"/>
      <c r="Z715" s="1561"/>
      <c r="AA715" s="1561"/>
      <c r="AB715" s="1561"/>
      <c r="AC715" s="1561"/>
      <c r="AD715" s="1561"/>
      <c r="AE715" s="1562"/>
      <c r="AF715" s="1563">
        <f>unos!F341</f>
        <v>0</v>
      </c>
      <c r="AG715" s="1561"/>
      <c r="AH715" s="1561"/>
      <c r="AI715" s="1561"/>
      <c r="AJ715" s="1561"/>
      <c r="AK715" s="1561"/>
      <c r="AL715" s="1561"/>
      <c r="AM715" s="1561"/>
      <c r="AN715" s="1562"/>
      <c r="AO715" s="1186">
        <f>IF(OR(W715=0,AF715=0),0,ROUND(AF715/W715,4))</f>
        <v>0</v>
      </c>
    </row>
    <row r="719" spans="1:41">
      <c r="A719" s="1581"/>
      <c r="B719" s="1581"/>
      <c r="C719" s="1581"/>
      <c r="D719" s="1581"/>
      <c r="E719" s="1581"/>
      <c r="F719" s="1581"/>
      <c r="G719" s="1581"/>
      <c r="H719" s="1581"/>
      <c r="I719" s="1581"/>
      <c r="J719" s="1581"/>
      <c r="K719" s="1581"/>
      <c r="L719" s="1581"/>
      <c r="M719" s="1581"/>
      <c r="N719" s="1581"/>
      <c r="O719" s="1581"/>
      <c r="P719" s="1581"/>
      <c r="Q719" s="1581"/>
      <c r="R719" s="1581"/>
      <c r="S719" s="1581"/>
      <c r="T719" s="1581"/>
      <c r="U719" s="1581"/>
      <c r="V719" s="1581"/>
      <c r="W719" s="1581"/>
      <c r="X719" s="1581"/>
      <c r="Y719" s="1581"/>
      <c r="Z719" s="1581"/>
      <c r="AA719" s="1581"/>
      <c r="AB719" s="1581"/>
      <c r="AC719" s="1581"/>
      <c r="AD719" s="1581"/>
      <c r="AE719" s="1581"/>
      <c r="AF719" s="1581"/>
      <c r="AG719" s="1581"/>
      <c r="AH719" s="1581"/>
      <c r="AI719" s="1581"/>
      <c r="AJ719" s="1581"/>
      <c r="AK719" s="1581"/>
      <c r="AL719" s="1581"/>
      <c r="AM719" s="1581"/>
      <c r="AN719" s="1581"/>
    </row>
    <row r="720" spans="1:41">
      <c r="A720" s="1581"/>
      <c r="B720" s="1581"/>
      <c r="C720" s="1581"/>
      <c r="D720" s="1581"/>
      <c r="E720" s="1581"/>
      <c r="F720" s="1581"/>
      <c r="G720" s="1581"/>
      <c r="H720" s="1581"/>
      <c r="I720" s="1581"/>
      <c r="J720" s="1581"/>
      <c r="K720" s="1581"/>
      <c r="L720" s="1581"/>
      <c r="M720" s="1581"/>
      <c r="N720" s="1581"/>
      <c r="O720" s="1581"/>
      <c r="P720" s="1581"/>
      <c r="Q720" s="1581"/>
      <c r="R720" s="1581"/>
      <c r="S720" s="1581"/>
      <c r="T720" s="1581"/>
      <c r="U720" s="1581"/>
      <c r="V720" s="1581"/>
      <c r="W720" s="1581"/>
      <c r="X720" s="1581"/>
      <c r="Y720" s="1581"/>
      <c r="Z720" s="1581"/>
      <c r="AA720" s="1581"/>
      <c r="AB720" s="1581"/>
      <c r="AC720" s="1581"/>
      <c r="AD720" s="1581"/>
      <c r="AE720" s="1581"/>
      <c r="AF720" s="1581"/>
      <c r="AG720" s="1581"/>
      <c r="AH720" s="1581"/>
      <c r="AI720" s="1581"/>
      <c r="AJ720" s="1581"/>
      <c r="AK720" s="1581"/>
      <c r="AL720" s="1581"/>
      <c r="AM720" s="1581"/>
      <c r="AN720" s="1581"/>
    </row>
    <row r="721" spans="1:41">
      <c r="A721" s="1581"/>
      <c r="B721" s="1581"/>
      <c r="C721" s="1581"/>
      <c r="D721" s="1581"/>
      <c r="E721" s="1581"/>
      <c r="F721" s="1581"/>
      <c r="G721" s="1581"/>
      <c r="H721" s="1581"/>
      <c r="I721" s="1581"/>
      <c r="J721" s="1581"/>
      <c r="K721" s="1581"/>
      <c r="L721" s="1581"/>
      <c r="M721" s="1581"/>
      <c r="N721" s="1581"/>
      <c r="O721" s="1581"/>
      <c r="P721" s="1581"/>
      <c r="Q721" s="1581"/>
      <c r="R721" s="1581"/>
      <c r="S721" s="1581"/>
      <c r="T721" s="1581"/>
      <c r="U721" s="1581"/>
      <c r="V721" s="1581"/>
      <c r="W721" s="1581"/>
      <c r="X721" s="1581"/>
      <c r="Y721" s="1581"/>
      <c r="Z721" s="1581"/>
      <c r="AA721" s="1581"/>
      <c r="AB721" s="1581"/>
      <c r="AC721" s="1581"/>
      <c r="AD721" s="1581"/>
      <c r="AE721" s="1581"/>
      <c r="AF721" s="1581"/>
      <c r="AG721" s="1581"/>
      <c r="AH721" s="1581"/>
      <c r="AI721" s="1581"/>
      <c r="AJ721" s="1581"/>
      <c r="AK721" s="1581"/>
      <c r="AL721" s="1581"/>
      <c r="AM721" s="1581"/>
      <c r="AN721" s="1581"/>
    </row>
    <row r="722" spans="1:41">
      <c r="A722" s="1581"/>
      <c r="B722" s="1581"/>
      <c r="C722" s="1581"/>
      <c r="D722" s="1581"/>
      <c r="E722" s="1581"/>
      <c r="F722" s="1581"/>
      <c r="G722" s="1581"/>
      <c r="H722" s="1581"/>
      <c r="I722" s="1581"/>
      <c r="J722" s="1581"/>
      <c r="K722" s="1581"/>
      <c r="L722" s="1581"/>
      <c r="M722" s="1581"/>
      <c r="N722" s="1581"/>
      <c r="O722" s="1581"/>
      <c r="P722" s="1581"/>
      <c r="Q722" s="1581"/>
      <c r="R722" s="1581"/>
      <c r="S722" s="1581"/>
      <c r="T722" s="1581"/>
      <c r="U722" s="1581"/>
      <c r="V722" s="1581"/>
      <c r="W722" s="1581"/>
      <c r="X722" s="1581"/>
      <c r="Y722" s="1581"/>
      <c r="Z722" s="1581"/>
      <c r="AA722" s="1581"/>
      <c r="AB722" s="1581"/>
      <c r="AC722" s="1581"/>
      <c r="AD722" s="1581"/>
      <c r="AE722" s="1581"/>
      <c r="AF722" s="1581"/>
      <c r="AG722" s="1581"/>
      <c r="AH722" s="1581"/>
      <c r="AI722" s="1581"/>
      <c r="AJ722" s="1581"/>
      <c r="AK722" s="1581"/>
      <c r="AL722" s="1581"/>
      <c r="AM722" s="1581"/>
      <c r="AN722" s="1581"/>
    </row>
    <row r="724" spans="1:41" ht="12.75" customHeight="1">
      <c r="A724" s="828" t="s">
        <v>1933</v>
      </c>
      <c r="B724" s="828" t="s">
        <v>2769</v>
      </c>
    </row>
    <row r="726" spans="1:41" ht="14.25" customHeight="1">
      <c r="W726" s="1170" t="s">
        <v>1995</v>
      </c>
      <c r="X726" s="1171"/>
      <c r="Y726" s="1171"/>
      <c r="Z726" s="1171"/>
      <c r="AA726" s="1171"/>
      <c r="AB726" s="1171"/>
      <c r="AC726" s="1171"/>
      <c r="AD726" s="1171"/>
      <c r="AE726" s="1171"/>
      <c r="AF726" s="1171"/>
      <c r="AG726" s="1171"/>
      <c r="AH726" s="1171"/>
      <c r="AI726" s="1171"/>
      <c r="AJ726" s="1171"/>
      <c r="AK726" s="1171"/>
      <c r="AL726" s="1171"/>
      <c r="AM726" s="1171"/>
      <c r="AN726" s="1172"/>
    </row>
    <row r="727" spans="1:41">
      <c r="A727" s="1582" t="s">
        <v>1996</v>
      </c>
      <c r="B727" s="1583"/>
      <c r="C727" s="1583"/>
      <c r="D727" s="1584"/>
      <c r="E727" s="1567" t="s">
        <v>796</v>
      </c>
      <c r="F727" s="1567"/>
      <c r="G727" s="1567"/>
      <c r="H727" s="1567"/>
      <c r="I727" s="1567"/>
      <c r="J727" s="1567"/>
      <c r="K727" s="1567"/>
      <c r="L727" s="1567"/>
      <c r="M727" s="1567"/>
      <c r="N727" s="1567"/>
      <c r="O727" s="1567"/>
      <c r="P727" s="1567"/>
      <c r="Q727" s="1567"/>
      <c r="R727" s="1567"/>
      <c r="S727" s="1567"/>
      <c r="T727" s="1567"/>
      <c r="U727" s="1567"/>
      <c r="V727" s="1567"/>
      <c r="W727" s="1568" t="s">
        <v>1039</v>
      </c>
      <c r="X727" s="1569"/>
      <c r="Y727" s="1569"/>
      <c r="Z727" s="1569"/>
      <c r="AA727" s="1569"/>
      <c r="AB727" s="1569"/>
      <c r="AC727" s="1569"/>
      <c r="AD727" s="1569"/>
      <c r="AE727" s="1570"/>
      <c r="AF727" s="1571" t="s">
        <v>278</v>
      </c>
      <c r="AG727" s="1572"/>
      <c r="AH727" s="1572"/>
      <c r="AI727" s="1572"/>
      <c r="AJ727" s="1572"/>
      <c r="AK727" s="1572"/>
      <c r="AL727" s="1572"/>
      <c r="AM727" s="1572"/>
      <c r="AN727" s="1573"/>
      <c r="AO727" s="1187" t="s">
        <v>2766</v>
      </c>
    </row>
    <row r="728" spans="1:41">
      <c r="A728" s="1574" t="str">
        <f>unos!A342</f>
        <v>400</v>
      </c>
      <c r="B728" s="1575"/>
      <c r="C728" s="1575"/>
      <c r="D728" s="1576"/>
      <c r="E728" s="1558" t="str">
        <f>unos!B342</f>
        <v>Rezervisanja za troškove u garantnom roku</v>
      </c>
      <c r="F728" s="1559"/>
      <c r="G728" s="1559"/>
      <c r="H728" s="1559"/>
      <c r="I728" s="1559"/>
      <c r="J728" s="1559"/>
      <c r="K728" s="1559"/>
      <c r="L728" s="1559"/>
      <c r="M728" s="1559"/>
      <c r="N728" s="1559"/>
      <c r="O728" s="1559"/>
      <c r="P728" s="1559"/>
      <c r="Q728" s="1559"/>
      <c r="R728" s="1559"/>
      <c r="S728" s="1559"/>
      <c r="T728" s="1559"/>
      <c r="U728" s="1559"/>
      <c r="V728" s="1559"/>
      <c r="W728" s="1560">
        <f>unos!C342</f>
        <v>0</v>
      </c>
      <c r="X728" s="1561"/>
      <c r="Y728" s="1561"/>
      <c r="Z728" s="1561"/>
      <c r="AA728" s="1561"/>
      <c r="AB728" s="1561"/>
      <c r="AC728" s="1561"/>
      <c r="AD728" s="1561"/>
      <c r="AE728" s="1562"/>
      <c r="AF728" s="1563">
        <f>unos!F342</f>
        <v>0</v>
      </c>
      <c r="AG728" s="1561"/>
      <c r="AH728" s="1561"/>
      <c r="AI728" s="1561"/>
      <c r="AJ728" s="1561"/>
      <c r="AK728" s="1561"/>
      <c r="AL728" s="1561"/>
      <c r="AM728" s="1561"/>
      <c r="AN728" s="1562"/>
      <c r="AO728" s="1186">
        <f>IF(OR(W728=0,AF728=0),0,ROUND(AF728/W728,4))</f>
        <v>0</v>
      </c>
    </row>
    <row r="729" spans="1:41">
      <c r="A729" s="1574" t="str">
        <f>unos!A343</f>
        <v>401</v>
      </c>
      <c r="B729" s="1575"/>
      <c r="C729" s="1575"/>
      <c r="D729" s="1576"/>
      <c r="E729" s="1558" t="str">
        <f>unos!B343</f>
        <v>Rezervisanja za troškove obnavlj.prir.bogatst</v>
      </c>
      <c r="F729" s="1559"/>
      <c r="G729" s="1559"/>
      <c r="H729" s="1559"/>
      <c r="I729" s="1559"/>
      <c r="J729" s="1559"/>
      <c r="K729" s="1559"/>
      <c r="L729" s="1559"/>
      <c r="M729" s="1559"/>
      <c r="N729" s="1559"/>
      <c r="O729" s="1559"/>
      <c r="P729" s="1559"/>
      <c r="Q729" s="1559"/>
      <c r="R729" s="1559"/>
      <c r="S729" s="1559"/>
      <c r="T729" s="1559"/>
      <c r="U729" s="1559"/>
      <c r="V729" s="1559"/>
      <c r="W729" s="1560">
        <f>unos!C343</f>
        <v>0</v>
      </c>
      <c r="X729" s="1561"/>
      <c r="Y729" s="1561"/>
      <c r="Z729" s="1561"/>
      <c r="AA729" s="1561"/>
      <c r="AB729" s="1561"/>
      <c r="AC729" s="1561"/>
      <c r="AD729" s="1561"/>
      <c r="AE729" s="1562"/>
      <c r="AF729" s="1563">
        <f>unos!F343</f>
        <v>0</v>
      </c>
      <c r="AG729" s="1561"/>
      <c r="AH729" s="1561"/>
      <c r="AI729" s="1561"/>
      <c r="AJ729" s="1561"/>
      <c r="AK729" s="1561"/>
      <c r="AL729" s="1561"/>
      <c r="AM729" s="1561"/>
      <c r="AN729" s="1562"/>
      <c r="AO729" s="1186">
        <f t="shared" ref="AO729:AO738" si="29">IF(OR(W729=0,AF729=0),0,ROUND(AF729/W729,4))</f>
        <v>0</v>
      </c>
    </row>
    <row r="730" spans="1:41">
      <c r="A730" s="1574" t="str">
        <f>unos!A344</f>
        <v>402</v>
      </c>
      <c r="B730" s="1575"/>
      <c r="C730" s="1575"/>
      <c r="D730" s="1576"/>
      <c r="E730" s="1558" t="str">
        <f>unos!B344</f>
        <v>Rezervisanja za zadržane kaucije i depozite</v>
      </c>
      <c r="F730" s="1559"/>
      <c r="G730" s="1559"/>
      <c r="H730" s="1559"/>
      <c r="I730" s="1559"/>
      <c r="J730" s="1559"/>
      <c r="K730" s="1559"/>
      <c r="L730" s="1559"/>
      <c r="M730" s="1559"/>
      <c r="N730" s="1559"/>
      <c r="O730" s="1559"/>
      <c r="P730" s="1559"/>
      <c r="Q730" s="1559"/>
      <c r="R730" s="1559"/>
      <c r="S730" s="1559"/>
      <c r="T730" s="1559"/>
      <c r="U730" s="1559"/>
      <c r="V730" s="1559"/>
      <c r="W730" s="1560">
        <f>unos!C344</f>
        <v>0</v>
      </c>
      <c r="X730" s="1561"/>
      <c r="Y730" s="1561"/>
      <c r="Z730" s="1561"/>
      <c r="AA730" s="1561"/>
      <c r="AB730" s="1561"/>
      <c r="AC730" s="1561"/>
      <c r="AD730" s="1561"/>
      <c r="AE730" s="1562"/>
      <c r="AF730" s="1563">
        <f>unos!F344</f>
        <v>0</v>
      </c>
      <c r="AG730" s="1561"/>
      <c r="AH730" s="1561"/>
      <c r="AI730" s="1561"/>
      <c r="AJ730" s="1561"/>
      <c r="AK730" s="1561"/>
      <c r="AL730" s="1561"/>
      <c r="AM730" s="1561"/>
      <c r="AN730" s="1562"/>
      <c r="AO730" s="1186">
        <f t="shared" si="29"/>
        <v>0</v>
      </c>
    </row>
    <row r="731" spans="1:41">
      <c r="A731" s="1574" t="str">
        <f>unos!A345</f>
        <v>403</v>
      </c>
      <c r="B731" s="1575"/>
      <c r="C731" s="1575"/>
      <c r="D731" s="1576"/>
      <c r="E731" s="1558" t="str">
        <f>unos!B345</f>
        <v>Rezervisanje za troškove restrukturiranja</v>
      </c>
      <c r="F731" s="1559"/>
      <c r="G731" s="1559"/>
      <c r="H731" s="1559"/>
      <c r="I731" s="1559"/>
      <c r="J731" s="1559"/>
      <c r="K731" s="1559"/>
      <c r="L731" s="1559"/>
      <c r="M731" s="1559"/>
      <c r="N731" s="1559"/>
      <c r="O731" s="1559"/>
      <c r="P731" s="1559"/>
      <c r="Q731" s="1559"/>
      <c r="R731" s="1559"/>
      <c r="S731" s="1559"/>
      <c r="T731" s="1559"/>
      <c r="U731" s="1559"/>
      <c r="V731" s="1559"/>
      <c r="W731" s="1560">
        <f>unos!C345</f>
        <v>0</v>
      </c>
      <c r="X731" s="1561"/>
      <c r="Y731" s="1561"/>
      <c r="Z731" s="1561"/>
      <c r="AA731" s="1561"/>
      <c r="AB731" s="1561"/>
      <c r="AC731" s="1561"/>
      <c r="AD731" s="1561"/>
      <c r="AE731" s="1562"/>
      <c r="AF731" s="1563">
        <f>unos!F345</f>
        <v>0</v>
      </c>
      <c r="AG731" s="1561"/>
      <c r="AH731" s="1561"/>
      <c r="AI731" s="1561"/>
      <c r="AJ731" s="1561"/>
      <c r="AK731" s="1561"/>
      <c r="AL731" s="1561"/>
      <c r="AM731" s="1561"/>
      <c r="AN731" s="1562"/>
      <c r="AO731" s="1186">
        <f t="shared" si="29"/>
        <v>0</v>
      </c>
    </row>
    <row r="732" spans="1:41">
      <c r="A732" s="1574" t="str">
        <f>unos!A346</f>
        <v>404</v>
      </c>
      <c r="B732" s="1575"/>
      <c r="C732" s="1575"/>
      <c r="D732" s="1576"/>
      <c r="E732" s="1558" t="str">
        <f>unos!B346</f>
        <v>Rezervisanje za naknade i benificije zaposlen</v>
      </c>
      <c r="F732" s="1559"/>
      <c r="G732" s="1559"/>
      <c r="H732" s="1559"/>
      <c r="I732" s="1559"/>
      <c r="J732" s="1559"/>
      <c r="K732" s="1559"/>
      <c r="L732" s="1559"/>
      <c r="M732" s="1559"/>
      <c r="N732" s="1559"/>
      <c r="O732" s="1559"/>
      <c r="P732" s="1559"/>
      <c r="Q732" s="1559"/>
      <c r="R732" s="1559"/>
      <c r="S732" s="1559"/>
      <c r="T732" s="1559"/>
      <c r="U732" s="1559"/>
      <c r="V732" s="1559"/>
      <c r="W732" s="1560">
        <f>unos!C346</f>
        <v>0</v>
      </c>
      <c r="X732" s="1561"/>
      <c r="Y732" s="1561"/>
      <c r="Z732" s="1561"/>
      <c r="AA732" s="1561"/>
      <c r="AB732" s="1561"/>
      <c r="AC732" s="1561"/>
      <c r="AD732" s="1561"/>
      <c r="AE732" s="1562"/>
      <c r="AF732" s="1563">
        <f>unos!F346</f>
        <v>0</v>
      </c>
      <c r="AG732" s="1561"/>
      <c r="AH732" s="1561"/>
      <c r="AI732" s="1561"/>
      <c r="AJ732" s="1561"/>
      <c r="AK732" s="1561"/>
      <c r="AL732" s="1561"/>
      <c r="AM732" s="1561"/>
      <c r="AN732" s="1562"/>
      <c r="AO732" s="1186">
        <f t="shared" si="29"/>
        <v>0</v>
      </c>
    </row>
    <row r="733" spans="1:41">
      <c r="A733" s="1574" t="str">
        <f>unos!A347</f>
        <v>405</v>
      </c>
      <c r="B733" s="1575"/>
      <c r="C733" s="1575"/>
      <c r="D733" s="1576"/>
      <c r="E733" s="1558" t="str">
        <f>unos!B347</f>
        <v>Rezervisanje po započetim sudskim sporovima</v>
      </c>
      <c r="F733" s="1559"/>
      <c r="G733" s="1559"/>
      <c r="H733" s="1559"/>
      <c r="I733" s="1559"/>
      <c r="J733" s="1559"/>
      <c r="K733" s="1559"/>
      <c r="L733" s="1559"/>
      <c r="M733" s="1559"/>
      <c r="N733" s="1559"/>
      <c r="O733" s="1559"/>
      <c r="P733" s="1559"/>
      <c r="Q733" s="1559"/>
      <c r="R733" s="1559"/>
      <c r="S733" s="1559"/>
      <c r="T733" s="1559"/>
      <c r="U733" s="1559"/>
      <c r="V733" s="1559"/>
      <c r="W733" s="1560">
        <f>unos!C347</f>
        <v>0</v>
      </c>
      <c r="X733" s="1561"/>
      <c r="Y733" s="1561"/>
      <c r="Z733" s="1561"/>
      <c r="AA733" s="1561"/>
      <c r="AB733" s="1561"/>
      <c r="AC733" s="1561"/>
      <c r="AD733" s="1561"/>
      <c r="AE733" s="1562"/>
      <c r="AF733" s="1563">
        <f>unos!F347</f>
        <v>0</v>
      </c>
      <c r="AG733" s="1561"/>
      <c r="AH733" s="1561"/>
      <c r="AI733" s="1561"/>
      <c r="AJ733" s="1561"/>
      <c r="AK733" s="1561"/>
      <c r="AL733" s="1561"/>
      <c r="AM733" s="1561"/>
      <c r="AN733" s="1562"/>
      <c r="AO733" s="1186">
        <f t="shared" si="29"/>
        <v>0</v>
      </c>
    </row>
    <row r="734" spans="1:41">
      <c r="A734" s="1574" t="str">
        <f>unos!A348</f>
        <v>406</v>
      </c>
      <c r="B734" s="1575"/>
      <c r="C734" s="1575"/>
      <c r="D734" s="1576"/>
      <c r="E734" s="1558" t="str">
        <f>unos!B348</f>
        <v>Rezervisanje po štetnim ugovorima</v>
      </c>
      <c r="F734" s="1559"/>
      <c r="G734" s="1559"/>
      <c r="H734" s="1559"/>
      <c r="I734" s="1559"/>
      <c r="J734" s="1559"/>
      <c r="K734" s="1559"/>
      <c r="L734" s="1559"/>
      <c r="M734" s="1559"/>
      <c r="N734" s="1559"/>
      <c r="O734" s="1559"/>
      <c r="P734" s="1559"/>
      <c r="Q734" s="1559"/>
      <c r="R734" s="1559"/>
      <c r="S734" s="1559"/>
      <c r="T734" s="1559"/>
      <c r="U734" s="1559"/>
      <c r="V734" s="1559"/>
      <c r="W734" s="1560">
        <f>unos!C348</f>
        <v>0</v>
      </c>
      <c r="X734" s="1561"/>
      <c r="Y734" s="1561"/>
      <c r="Z734" s="1561"/>
      <c r="AA734" s="1561"/>
      <c r="AB734" s="1561"/>
      <c r="AC734" s="1561"/>
      <c r="AD734" s="1561"/>
      <c r="AE734" s="1562"/>
      <c r="AF734" s="1563">
        <f>unos!F348</f>
        <v>0</v>
      </c>
      <c r="AG734" s="1561"/>
      <c r="AH734" s="1561"/>
      <c r="AI734" s="1561"/>
      <c r="AJ734" s="1561"/>
      <c r="AK734" s="1561"/>
      <c r="AL734" s="1561"/>
      <c r="AM734" s="1561"/>
      <c r="AN734" s="1562"/>
      <c r="AO734" s="1186">
        <f t="shared" si="29"/>
        <v>0</v>
      </c>
    </row>
    <row r="735" spans="1:41">
      <c r="A735" s="1574" t="str">
        <f>unos!A349</f>
        <v>407</v>
      </c>
      <c r="B735" s="1575"/>
      <c r="C735" s="1575"/>
      <c r="D735" s="1576"/>
      <c r="E735" s="1558" t="str">
        <f>unos!B349</f>
        <v>Unaprijed naplaćeni i drugi odloženi prihodi</v>
      </c>
      <c r="F735" s="1559"/>
      <c r="G735" s="1559"/>
      <c r="H735" s="1559"/>
      <c r="I735" s="1559"/>
      <c r="J735" s="1559"/>
      <c r="K735" s="1559"/>
      <c r="L735" s="1559"/>
      <c r="M735" s="1559"/>
      <c r="N735" s="1559"/>
      <c r="O735" s="1559"/>
      <c r="P735" s="1559"/>
      <c r="Q735" s="1559"/>
      <c r="R735" s="1559"/>
      <c r="S735" s="1559"/>
      <c r="T735" s="1559"/>
      <c r="U735" s="1559"/>
      <c r="V735" s="1559"/>
      <c r="W735" s="1560">
        <f>unos!C349</f>
        <v>0</v>
      </c>
      <c r="X735" s="1561"/>
      <c r="Y735" s="1561"/>
      <c r="Z735" s="1561"/>
      <c r="AA735" s="1561"/>
      <c r="AB735" s="1561"/>
      <c r="AC735" s="1561"/>
      <c r="AD735" s="1561"/>
      <c r="AE735" s="1562"/>
      <c r="AF735" s="1563">
        <f>unos!F349</f>
        <v>0</v>
      </c>
      <c r="AG735" s="1561"/>
      <c r="AH735" s="1561"/>
      <c r="AI735" s="1561"/>
      <c r="AJ735" s="1561"/>
      <c r="AK735" s="1561"/>
      <c r="AL735" s="1561"/>
      <c r="AM735" s="1561"/>
      <c r="AN735" s="1562"/>
      <c r="AO735" s="1186">
        <f t="shared" si="29"/>
        <v>0</v>
      </c>
    </row>
    <row r="736" spans="1:41">
      <c r="A736" s="1574" t="str">
        <f>unos!A350</f>
        <v>408</v>
      </c>
      <c r="B736" s="1575"/>
      <c r="C736" s="1575"/>
      <c r="D736" s="1576"/>
      <c r="E736" s="1558" t="str">
        <f>unos!B350</f>
        <v>Odložene porezne obaveze</v>
      </c>
      <c r="F736" s="1559"/>
      <c r="G736" s="1559"/>
      <c r="H736" s="1559"/>
      <c r="I736" s="1559"/>
      <c r="J736" s="1559"/>
      <c r="K736" s="1559"/>
      <c r="L736" s="1559"/>
      <c r="M736" s="1559"/>
      <c r="N736" s="1559"/>
      <c r="O736" s="1559"/>
      <c r="P736" s="1559"/>
      <c r="Q736" s="1559"/>
      <c r="R736" s="1559"/>
      <c r="S736" s="1559"/>
      <c r="T736" s="1559"/>
      <c r="U736" s="1559"/>
      <c r="V736" s="1559"/>
      <c r="W736" s="1560">
        <f>unos!C350</f>
        <v>0</v>
      </c>
      <c r="X736" s="1561"/>
      <c r="Y736" s="1561"/>
      <c r="Z736" s="1561"/>
      <c r="AA736" s="1561"/>
      <c r="AB736" s="1561"/>
      <c r="AC736" s="1561"/>
      <c r="AD736" s="1561"/>
      <c r="AE736" s="1562"/>
      <c r="AF736" s="1563">
        <f>unos!F350</f>
        <v>0</v>
      </c>
      <c r="AG736" s="1561"/>
      <c r="AH736" s="1561"/>
      <c r="AI736" s="1561"/>
      <c r="AJ736" s="1561"/>
      <c r="AK736" s="1561"/>
      <c r="AL736" s="1561"/>
      <c r="AM736" s="1561"/>
      <c r="AN736" s="1562"/>
      <c r="AO736" s="1186">
        <f t="shared" si="29"/>
        <v>0</v>
      </c>
    </row>
    <row r="737" spans="1:41">
      <c r="A737" s="1574" t="str">
        <f>unos!A351</f>
        <v>409</v>
      </c>
      <c r="B737" s="1575"/>
      <c r="C737" s="1575"/>
      <c r="D737" s="1576"/>
      <c r="E737" s="1558" t="str">
        <f>unos!B351</f>
        <v>Ostala dugoročna rezervisanja i razgraničenja</v>
      </c>
      <c r="F737" s="1559"/>
      <c r="G737" s="1559"/>
      <c r="H737" s="1559"/>
      <c r="I737" s="1559"/>
      <c r="J737" s="1559"/>
      <c r="K737" s="1559"/>
      <c r="L737" s="1559"/>
      <c r="M737" s="1559"/>
      <c r="N737" s="1559"/>
      <c r="O737" s="1559"/>
      <c r="P737" s="1559"/>
      <c r="Q737" s="1559"/>
      <c r="R737" s="1559"/>
      <c r="S737" s="1559"/>
      <c r="T737" s="1559"/>
      <c r="U737" s="1559"/>
      <c r="V737" s="1559"/>
      <c r="W737" s="1560">
        <f>unos!C351</f>
        <v>0</v>
      </c>
      <c r="X737" s="1561"/>
      <c r="Y737" s="1561"/>
      <c r="Z737" s="1561"/>
      <c r="AA737" s="1561"/>
      <c r="AB737" s="1561"/>
      <c r="AC737" s="1561"/>
      <c r="AD737" s="1561"/>
      <c r="AE737" s="1562"/>
      <c r="AF737" s="1563">
        <f>unos!F351</f>
        <v>0</v>
      </c>
      <c r="AG737" s="1561"/>
      <c r="AH737" s="1561"/>
      <c r="AI737" s="1561"/>
      <c r="AJ737" s="1561"/>
      <c r="AK737" s="1561"/>
      <c r="AL737" s="1561"/>
      <c r="AM737" s="1561"/>
      <c r="AN737" s="1562"/>
      <c r="AO737" s="1186">
        <f t="shared" si="29"/>
        <v>0</v>
      </c>
    </row>
    <row r="738" spans="1:41">
      <c r="A738" s="1577"/>
      <c r="B738" s="1577"/>
      <c r="C738" s="1577"/>
      <c r="D738" s="1577"/>
      <c r="E738" s="1167"/>
      <c r="F738" s="1168"/>
      <c r="G738" s="1168"/>
      <c r="H738" s="1168"/>
      <c r="I738" s="1168"/>
      <c r="J738" s="1168"/>
      <c r="K738" s="1168"/>
      <c r="L738" s="1168"/>
      <c r="M738" s="1168"/>
      <c r="N738" s="1168"/>
      <c r="O738" s="1168"/>
      <c r="P738" s="1168"/>
      <c r="Q738" s="1168"/>
      <c r="R738" s="1168"/>
      <c r="S738" s="1167"/>
      <c r="T738" s="1167"/>
      <c r="U738" s="1167"/>
      <c r="V738" s="1169" t="s">
        <v>1997</v>
      </c>
      <c r="W738" s="1578">
        <f>SUM(W728:W737)</f>
        <v>0</v>
      </c>
      <c r="X738" s="1579"/>
      <c r="Y738" s="1579"/>
      <c r="Z738" s="1579"/>
      <c r="AA738" s="1579"/>
      <c r="AB738" s="1579"/>
      <c r="AC738" s="1579"/>
      <c r="AD738" s="1579"/>
      <c r="AE738" s="1580"/>
      <c r="AF738" s="1578">
        <f>SUM(AF728:AF737)</f>
        <v>0</v>
      </c>
      <c r="AG738" s="1579"/>
      <c r="AH738" s="1579"/>
      <c r="AI738" s="1579"/>
      <c r="AJ738" s="1579"/>
      <c r="AK738" s="1579"/>
      <c r="AL738" s="1579"/>
      <c r="AM738" s="1579"/>
      <c r="AN738" s="1580"/>
      <c r="AO738" s="1185">
        <f t="shared" si="29"/>
        <v>0</v>
      </c>
    </row>
    <row r="740" spans="1:41">
      <c r="A740" s="1581"/>
      <c r="B740" s="1581"/>
      <c r="C740" s="1581"/>
      <c r="D740" s="1581"/>
      <c r="E740" s="1581"/>
      <c r="F740" s="1581"/>
      <c r="G740" s="1581"/>
      <c r="H740" s="1581"/>
      <c r="I740" s="1581"/>
      <c r="J740" s="1581"/>
      <c r="K740" s="1581"/>
      <c r="L740" s="1581"/>
      <c r="M740" s="1581"/>
      <c r="N740" s="1581"/>
      <c r="O740" s="1581"/>
      <c r="P740" s="1581"/>
      <c r="Q740" s="1581"/>
      <c r="R740" s="1581"/>
      <c r="S740" s="1581"/>
      <c r="T740" s="1581"/>
      <c r="U740" s="1581"/>
      <c r="V740" s="1581"/>
      <c r="W740" s="1581"/>
      <c r="X740" s="1581"/>
      <c r="Y740" s="1581"/>
      <c r="Z740" s="1581"/>
      <c r="AA740" s="1581"/>
      <c r="AB740" s="1581"/>
      <c r="AC740" s="1581"/>
      <c r="AD740" s="1581"/>
      <c r="AE740" s="1581"/>
      <c r="AF740" s="1581"/>
      <c r="AG740" s="1581"/>
      <c r="AH740" s="1581"/>
      <c r="AI740" s="1581"/>
      <c r="AJ740" s="1581"/>
      <c r="AK740" s="1581"/>
      <c r="AL740" s="1581"/>
      <c r="AM740" s="1581"/>
      <c r="AN740" s="1581"/>
    </row>
    <row r="741" spans="1:41">
      <c r="A741" s="1581"/>
      <c r="B741" s="1581"/>
      <c r="C741" s="1581"/>
      <c r="D741" s="1581"/>
      <c r="E741" s="1581"/>
      <c r="F741" s="1581"/>
      <c r="G741" s="1581"/>
      <c r="H741" s="1581"/>
      <c r="I741" s="1581"/>
      <c r="J741" s="1581"/>
      <c r="K741" s="1581"/>
      <c r="L741" s="1581"/>
      <c r="M741" s="1581"/>
      <c r="N741" s="1581"/>
      <c r="O741" s="1581"/>
      <c r="P741" s="1581"/>
      <c r="Q741" s="1581"/>
      <c r="R741" s="1581"/>
      <c r="S741" s="1581"/>
      <c r="T741" s="1581"/>
      <c r="U741" s="1581"/>
      <c r="V741" s="1581"/>
      <c r="W741" s="1581"/>
      <c r="X741" s="1581"/>
      <c r="Y741" s="1581"/>
      <c r="Z741" s="1581"/>
      <c r="AA741" s="1581"/>
      <c r="AB741" s="1581"/>
      <c r="AC741" s="1581"/>
      <c r="AD741" s="1581"/>
      <c r="AE741" s="1581"/>
      <c r="AF741" s="1581"/>
      <c r="AG741" s="1581"/>
      <c r="AH741" s="1581"/>
      <c r="AI741" s="1581"/>
      <c r="AJ741" s="1581"/>
      <c r="AK741" s="1581"/>
      <c r="AL741" s="1581"/>
      <c r="AM741" s="1581"/>
      <c r="AN741" s="1581"/>
    </row>
    <row r="742" spans="1:41">
      <c r="A742" s="1581"/>
      <c r="B742" s="1581"/>
      <c r="C742" s="1581"/>
      <c r="D742" s="1581"/>
      <c r="E742" s="1581"/>
      <c r="F742" s="1581"/>
      <c r="G742" s="1581"/>
      <c r="H742" s="1581"/>
      <c r="I742" s="1581"/>
      <c r="J742" s="1581"/>
      <c r="K742" s="1581"/>
      <c r="L742" s="1581"/>
      <c r="M742" s="1581"/>
      <c r="N742" s="1581"/>
      <c r="O742" s="1581"/>
      <c r="P742" s="1581"/>
      <c r="Q742" s="1581"/>
      <c r="R742" s="1581"/>
      <c r="S742" s="1581"/>
      <c r="T742" s="1581"/>
      <c r="U742" s="1581"/>
      <c r="V742" s="1581"/>
      <c r="W742" s="1581"/>
      <c r="X742" s="1581"/>
      <c r="Y742" s="1581"/>
      <c r="Z742" s="1581"/>
      <c r="AA742" s="1581"/>
      <c r="AB742" s="1581"/>
      <c r="AC742" s="1581"/>
      <c r="AD742" s="1581"/>
      <c r="AE742" s="1581"/>
      <c r="AF742" s="1581"/>
      <c r="AG742" s="1581"/>
      <c r="AH742" s="1581"/>
      <c r="AI742" s="1581"/>
      <c r="AJ742" s="1581"/>
      <c r="AK742" s="1581"/>
      <c r="AL742" s="1581"/>
      <c r="AM742" s="1581"/>
      <c r="AN742" s="1581"/>
    </row>
    <row r="743" spans="1:41">
      <c r="A743" s="1581"/>
      <c r="B743" s="1581"/>
      <c r="C743" s="1581"/>
      <c r="D743" s="1581"/>
      <c r="E743" s="1581"/>
      <c r="F743" s="1581"/>
      <c r="G743" s="1581"/>
      <c r="H743" s="1581"/>
      <c r="I743" s="1581"/>
      <c r="J743" s="1581"/>
      <c r="K743" s="1581"/>
      <c r="L743" s="1581"/>
      <c r="M743" s="1581"/>
      <c r="N743" s="1581"/>
      <c r="O743" s="1581"/>
      <c r="P743" s="1581"/>
      <c r="Q743" s="1581"/>
      <c r="R743" s="1581"/>
      <c r="S743" s="1581"/>
      <c r="T743" s="1581"/>
      <c r="U743" s="1581"/>
      <c r="V743" s="1581"/>
      <c r="W743" s="1581"/>
      <c r="X743" s="1581"/>
      <c r="Y743" s="1581"/>
      <c r="Z743" s="1581"/>
      <c r="AA743" s="1581"/>
      <c r="AB743" s="1581"/>
      <c r="AC743" s="1581"/>
      <c r="AD743" s="1581"/>
      <c r="AE743" s="1581"/>
      <c r="AF743" s="1581"/>
      <c r="AG743" s="1581"/>
      <c r="AH743" s="1581"/>
      <c r="AI743" s="1581"/>
      <c r="AJ743" s="1581"/>
      <c r="AK743" s="1581"/>
      <c r="AL743" s="1581"/>
      <c r="AM743" s="1581"/>
      <c r="AN743" s="1581"/>
    </row>
    <row r="744" spans="1:41" ht="12.75" customHeight="1">
      <c r="A744" s="828" t="s">
        <v>1933</v>
      </c>
      <c r="B744" s="828" t="s">
        <v>654</v>
      </c>
    </row>
    <row r="746" spans="1:41" ht="14.25" customHeight="1">
      <c r="W746" s="1170" t="s">
        <v>1995</v>
      </c>
      <c r="X746" s="1171"/>
      <c r="Y746" s="1171"/>
      <c r="Z746" s="1171"/>
      <c r="AA746" s="1171"/>
      <c r="AB746" s="1171"/>
      <c r="AC746" s="1171"/>
      <c r="AD746" s="1171"/>
      <c r="AE746" s="1171"/>
      <c r="AF746" s="1171"/>
      <c r="AG746" s="1171"/>
      <c r="AH746" s="1171"/>
      <c r="AI746" s="1171"/>
      <c r="AJ746" s="1171"/>
      <c r="AK746" s="1171"/>
      <c r="AL746" s="1171"/>
      <c r="AM746" s="1171"/>
      <c r="AN746" s="1172"/>
    </row>
    <row r="747" spans="1:41">
      <c r="A747" s="1582" t="s">
        <v>1996</v>
      </c>
      <c r="B747" s="1583"/>
      <c r="C747" s="1583"/>
      <c r="D747" s="1584"/>
      <c r="E747" s="1567" t="s">
        <v>796</v>
      </c>
      <c r="F747" s="1567"/>
      <c r="G747" s="1567"/>
      <c r="H747" s="1567"/>
      <c r="I747" s="1567"/>
      <c r="J747" s="1567"/>
      <c r="K747" s="1567"/>
      <c r="L747" s="1567"/>
      <c r="M747" s="1567"/>
      <c r="N747" s="1567"/>
      <c r="O747" s="1567"/>
      <c r="P747" s="1567"/>
      <c r="Q747" s="1567"/>
      <c r="R747" s="1567"/>
      <c r="S747" s="1567"/>
      <c r="T747" s="1567"/>
      <c r="U747" s="1567"/>
      <c r="V747" s="1567"/>
      <c r="W747" s="1568" t="s">
        <v>1039</v>
      </c>
      <c r="X747" s="1569"/>
      <c r="Y747" s="1569"/>
      <c r="Z747" s="1569"/>
      <c r="AA747" s="1569"/>
      <c r="AB747" s="1569"/>
      <c r="AC747" s="1569"/>
      <c r="AD747" s="1569"/>
      <c r="AE747" s="1570"/>
      <c r="AF747" s="1571" t="s">
        <v>278</v>
      </c>
      <c r="AG747" s="1572"/>
      <c r="AH747" s="1572"/>
      <c r="AI747" s="1572"/>
      <c r="AJ747" s="1572"/>
      <c r="AK747" s="1572"/>
      <c r="AL747" s="1572"/>
      <c r="AM747" s="1572"/>
      <c r="AN747" s="1573"/>
      <c r="AO747" s="1187" t="s">
        <v>2766</v>
      </c>
    </row>
    <row r="748" spans="1:41">
      <c r="A748" s="1574" t="str">
        <f>unos!A352</f>
        <v>410</v>
      </c>
      <c r="B748" s="1575"/>
      <c r="C748" s="1575"/>
      <c r="D748" s="1576"/>
      <c r="E748" s="1558" t="str">
        <f>unos!B352</f>
        <v>Obaveze koje se mogu konvertovati u kapital</v>
      </c>
      <c r="F748" s="1559"/>
      <c r="G748" s="1559"/>
      <c r="H748" s="1559"/>
      <c r="I748" s="1559"/>
      <c r="J748" s="1559"/>
      <c r="K748" s="1559"/>
      <c r="L748" s="1559"/>
      <c r="M748" s="1559"/>
      <c r="N748" s="1559"/>
      <c r="O748" s="1559"/>
      <c r="P748" s="1559"/>
      <c r="Q748" s="1559"/>
      <c r="R748" s="1559"/>
      <c r="S748" s="1559"/>
      <c r="T748" s="1559"/>
      <c r="U748" s="1559"/>
      <c r="V748" s="1559"/>
      <c r="W748" s="1560">
        <f>unos!C352</f>
        <v>0</v>
      </c>
      <c r="X748" s="1561"/>
      <c r="Y748" s="1561"/>
      <c r="Z748" s="1561"/>
      <c r="AA748" s="1561"/>
      <c r="AB748" s="1561"/>
      <c r="AC748" s="1561"/>
      <c r="AD748" s="1561"/>
      <c r="AE748" s="1562"/>
      <c r="AF748" s="1563">
        <f>unos!F352</f>
        <v>0</v>
      </c>
      <c r="AG748" s="1561"/>
      <c r="AH748" s="1561"/>
      <c r="AI748" s="1561"/>
      <c r="AJ748" s="1561"/>
      <c r="AK748" s="1561"/>
      <c r="AL748" s="1561"/>
      <c r="AM748" s="1561"/>
      <c r="AN748" s="1562"/>
      <c r="AO748" s="1186">
        <f>IF(OR(W748=0,AF748=0),0,ROUND(AF748/W748,4))</f>
        <v>0</v>
      </c>
    </row>
    <row r="749" spans="1:41">
      <c r="A749" s="1574" t="str">
        <f>unos!A353</f>
        <v>411</v>
      </c>
      <c r="B749" s="1575"/>
      <c r="C749" s="1575"/>
      <c r="D749" s="1576"/>
      <c r="E749" s="1558" t="str">
        <f>unos!B353</f>
        <v>Dugoročne obaveze prema povezanim prav.licima</v>
      </c>
      <c r="F749" s="1559"/>
      <c r="G749" s="1559"/>
      <c r="H749" s="1559"/>
      <c r="I749" s="1559"/>
      <c r="J749" s="1559"/>
      <c r="K749" s="1559"/>
      <c r="L749" s="1559"/>
      <c r="M749" s="1559"/>
      <c r="N749" s="1559"/>
      <c r="O749" s="1559"/>
      <c r="P749" s="1559"/>
      <c r="Q749" s="1559"/>
      <c r="R749" s="1559"/>
      <c r="S749" s="1559"/>
      <c r="T749" s="1559"/>
      <c r="U749" s="1559"/>
      <c r="V749" s="1559"/>
      <c r="W749" s="1560">
        <f>unos!C353</f>
        <v>0</v>
      </c>
      <c r="X749" s="1561"/>
      <c r="Y749" s="1561"/>
      <c r="Z749" s="1561"/>
      <c r="AA749" s="1561"/>
      <c r="AB749" s="1561"/>
      <c r="AC749" s="1561"/>
      <c r="AD749" s="1561"/>
      <c r="AE749" s="1562"/>
      <c r="AF749" s="1563">
        <f>unos!F353</f>
        <v>0</v>
      </c>
      <c r="AG749" s="1561"/>
      <c r="AH749" s="1561"/>
      <c r="AI749" s="1561"/>
      <c r="AJ749" s="1561"/>
      <c r="AK749" s="1561"/>
      <c r="AL749" s="1561"/>
      <c r="AM749" s="1561"/>
      <c r="AN749" s="1562"/>
      <c r="AO749" s="1186">
        <f t="shared" ref="AO749:AO757" si="30">IF(OR(W749=0,AF749=0),0,ROUND(AF749/W749,4))</f>
        <v>0</v>
      </c>
    </row>
    <row r="750" spans="1:41">
      <c r="A750" s="1574" t="str">
        <f>unos!A354</f>
        <v>412</v>
      </c>
      <c r="B750" s="1575"/>
      <c r="C750" s="1575"/>
      <c r="D750" s="1576"/>
      <c r="E750" s="1558" t="str">
        <f>unos!B354</f>
        <v>Obaveze po emitovanim dug.vrij.papirima</v>
      </c>
      <c r="F750" s="1559"/>
      <c r="G750" s="1559"/>
      <c r="H750" s="1559"/>
      <c r="I750" s="1559"/>
      <c r="J750" s="1559"/>
      <c r="K750" s="1559"/>
      <c r="L750" s="1559"/>
      <c r="M750" s="1559"/>
      <c r="N750" s="1559"/>
      <c r="O750" s="1559"/>
      <c r="P750" s="1559"/>
      <c r="Q750" s="1559"/>
      <c r="R750" s="1559"/>
      <c r="S750" s="1559"/>
      <c r="T750" s="1559"/>
      <c r="U750" s="1559"/>
      <c r="V750" s="1559"/>
      <c r="W750" s="1560">
        <f>unos!C354</f>
        <v>0</v>
      </c>
      <c r="X750" s="1561"/>
      <c r="Y750" s="1561"/>
      <c r="Z750" s="1561"/>
      <c r="AA750" s="1561"/>
      <c r="AB750" s="1561"/>
      <c r="AC750" s="1561"/>
      <c r="AD750" s="1561"/>
      <c r="AE750" s="1562"/>
      <c r="AF750" s="1563">
        <f>unos!F354</f>
        <v>0</v>
      </c>
      <c r="AG750" s="1561"/>
      <c r="AH750" s="1561"/>
      <c r="AI750" s="1561"/>
      <c r="AJ750" s="1561"/>
      <c r="AK750" s="1561"/>
      <c r="AL750" s="1561"/>
      <c r="AM750" s="1561"/>
      <c r="AN750" s="1562"/>
      <c r="AO750" s="1186">
        <f t="shared" si="30"/>
        <v>0</v>
      </c>
    </row>
    <row r="751" spans="1:41">
      <c r="A751" s="1574" t="str">
        <f>unos!A355</f>
        <v>413</v>
      </c>
      <c r="B751" s="1575"/>
      <c r="C751" s="1575"/>
      <c r="D751" s="1576"/>
      <c r="E751" s="1558" t="str">
        <f>unos!B355</f>
        <v>Dugoročni krediti uzeti u zemlji</v>
      </c>
      <c r="F751" s="1559"/>
      <c r="G751" s="1559"/>
      <c r="H751" s="1559"/>
      <c r="I751" s="1559"/>
      <c r="J751" s="1559"/>
      <c r="K751" s="1559"/>
      <c r="L751" s="1559"/>
      <c r="M751" s="1559"/>
      <c r="N751" s="1559"/>
      <c r="O751" s="1559"/>
      <c r="P751" s="1559"/>
      <c r="Q751" s="1559"/>
      <c r="R751" s="1559"/>
      <c r="S751" s="1559"/>
      <c r="T751" s="1559"/>
      <c r="U751" s="1559"/>
      <c r="V751" s="1559"/>
      <c r="W751" s="1560">
        <f>unos!C355</f>
        <v>0</v>
      </c>
      <c r="X751" s="1561"/>
      <c r="Y751" s="1561"/>
      <c r="Z751" s="1561"/>
      <c r="AA751" s="1561"/>
      <c r="AB751" s="1561"/>
      <c r="AC751" s="1561"/>
      <c r="AD751" s="1561"/>
      <c r="AE751" s="1562"/>
      <c r="AF751" s="1563">
        <f>unos!F355</f>
        <v>0</v>
      </c>
      <c r="AG751" s="1561"/>
      <c r="AH751" s="1561"/>
      <c r="AI751" s="1561"/>
      <c r="AJ751" s="1561"/>
      <c r="AK751" s="1561"/>
      <c r="AL751" s="1561"/>
      <c r="AM751" s="1561"/>
      <c r="AN751" s="1562"/>
      <c r="AO751" s="1186">
        <f t="shared" si="30"/>
        <v>0</v>
      </c>
    </row>
    <row r="752" spans="1:41">
      <c r="A752" s="1574" t="str">
        <f>unos!A356</f>
        <v>414</v>
      </c>
      <c r="B752" s="1575"/>
      <c r="C752" s="1575"/>
      <c r="D752" s="1576"/>
      <c r="E752" s="1558" t="str">
        <f>unos!B356</f>
        <v>Dugoročni krediti uzeti u inostranstvu</v>
      </c>
      <c r="F752" s="1559"/>
      <c r="G752" s="1559"/>
      <c r="H752" s="1559"/>
      <c r="I752" s="1559"/>
      <c r="J752" s="1559"/>
      <c r="K752" s="1559"/>
      <c r="L752" s="1559"/>
      <c r="M752" s="1559"/>
      <c r="N752" s="1559"/>
      <c r="O752" s="1559"/>
      <c r="P752" s="1559"/>
      <c r="Q752" s="1559"/>
      <c r="R752" s="1559"/>
      <c r="S752" s="1559"/>
      <c r="T752" s="1559"/>
      <c r="U752" s="1559"/>
      <c r="V752" s="1559"/>
      <c r="W752" s="1560">
        <f>unos!C356</f>
        <v>0</v>
      </c>
      <c r="X752" s="1561"/>
      <c r="Y752" s="1561"/>
      <c r="Z752" s="1561"/>
      <c r="AA752" s="1561"/>
      <c r="AB752" s="1561"/>
      <c r="AC752" s="1561"/>
      <c r="AD752" s="1561"/>
      <c r="AE752" s="1562"/>
      <c r="AF752" s="1563">
        <f>unos!F356</f>
        <v>0</v>
      </c>
      <c r="AG752" s="1561"/>
      <c r="AH752" s="1561"/>
      <c r="AI752" s="1561"/>
      <c r="AJ752" s="1561"/>
      <c r="AK752" s="1561"/>
      <c r="AL752" s="1561"/>
      <c r="AM752" s="1561"/>
      <c r="AN752" s="1562"/>
      <c r="AO752" s="1186">
        <f t="shared" si="30"/>
        <v>0</v>
      </c>
    </row>
    <row r="753" spans="1:41">
      <c r="A753" s="1574" t="str">
        <f>unos!A357</f>
        <v>415</v>
      </c>
      <c r="B753" s="1575"/>
      <c r="C753" s="1575"/>
      <c r="D753" s="1576"/>
      <c r="E753" s="1558" t="str">
        <f>unos!B357</f>
        <v>Dugoročne obaveze po finans.lizingu u zemlji</v>
      </c>
      <c r="F753" s="1559"/>
      <c r="G753" s="1559"/>
      <c r="H753" s="1559"/>
      <c r="I753" s="1559"/>
      <c r="J753" s="1559"/>
      <c r="K753" s="1559"/>
      <c r="L753" s="1559"/>
      <c r="M753" s="1559"/>
      <c r="N753" s="1559"/>
      <c r="O753" s="1559"/>
      <c r="P753" s="1559"/>
      <c r="Q753" s="1559"/>
      <c r="R753" s="1559"/>
      <c r="S753" s="1559"/>
      <c r="T753" s="1559"/>
      <c r="U753" s="1559"/>
      <c r="V753" s="1559"/>
      <c r="W753" s="1560">
        <f>unos!C357</f>
        <v>0</v>
      </c>
      <c r="X753" s="1561"/>
      <c r="Y753" s="1561"/>
      <c r="Z753" s="1561"/>
      <c r="AA753" s="1561"/>
      <c r="AB753" s="1561"/>
      <c r="AC753" s="1561"/>
      <c r="AD753" s="1561"/>
      <c r="AE753" s="1562"/>
      <c r="AF753" s="1563">
        <f>unos!F357</f>
        <v>0</v>
      </c>
      <c r="AG753" s="1561"/>
      <c r="AH753" s="1561"/>
      <c r="AI753" s="1561"/>
      <c r="AJ753" s="1561"/>
      <c r="AK753" s="1561"/>
      <c r="AL753" s="1561"/>
      <c r="AM753" s="1561"/>
      <c r="AN753" s="1562"/>
      <c r="AO753" s="1186">
        <f t="shared" si="30"/>
        <v>0</v>
      </c>
    </row>
    <row r="754" spans="1:41">
      <c r="A754" s="1574" t="str">
        <f>unos!A358</f>
        <v>416</v>
      </c>
      <c r="B754" s="1575"/>
      <c r="C754" s="1575"/>
      <c r="D754" s="1576"/>
      <c r="E754" s="1558" t="str">
        <f>unos!B358</f>
        <v>Dugoročne obaveze po finans.lizingu u inostra</v>
      </c>
      <c r="F754" s="1559"/>
      <c r="G754" s="1559"/>
      <c r="H754" s="1559"/>
      <c r="I754" s="1559"/>
      <c r="J754" s="1559"/>
      <c r="K754" s="1559"/>
      <c r="L754" s="1559"/>
      <c r="M754" s="1559"/>
      <c r="N754" s="1559"/>
      <c r="O754" s="1559"/>
      <c r="P754" s="1559"/>
      <c r="Q754" s="1559"/>
      <c r="R754" s="1559"/>
      <c r="S754" s="1559"/>
      <c r="T754" s="1559"/>
      <c r="U754" s="1559"/>
      <c r="V754" s="1559"/>
      <c r="W754" s="1560">
        <f>unos!C358</f>
        <v>0</v>
      </c>
      <c r="X754" s="1561"/>
      <c r="Y754" s="1561"/>
      <c r="Z754" s="1561"/>
      <c r="AA754" s="1561"/>
      <c r="AB754" s="1561"/>
      <c r="AC754" s="1561"/>
      <c r="AD754" s="1561"/>
      <c r="AE754" s="1562"/>
      <c r="AF754" s="1563">
        <f>unos!F358</f>
        <v>0</v>
      </c>
      <c r="AG754" s="1561"/>
      <c r="AH754" s="1561"/>
      <c r="AI754" s="1561"/>
      <c r="AJ754" s="1561"/>
      <c r="AK754" s="1561"/>
      <c r="AL754" s="1561"/>
      <c r="AM754" s="1561"/>
      <c r="AN754" s="1562"/>
      <c r="AO754" s="1186">
        <f t="shared" si="30"/>
        <v>0</v>
      </c>
    </row>
    <row r="755" spans="1:41">
      <c r="A755" s="1574" t="str">
        <f>unos!A359</f>
        <v>417</v>
      </c>
      <c r="B755" s="1575"/>
      <c r="C755" s="1575"/>
      <c r="D755" s="1576"/>
      <c r="E755" s="1558" t="str">
        <f>unos!B359</f>
        <v>Dug.obaveze po fer vrij.kroz rač.dobiti i gub</v>
      </c>
      <c r="F755" s="1559"/>
      <c r="G755" s="1559"/>
      <c r="H755" s="1559"/>
      <c r="I755" s="1559"/>
      <c r="J755" s="1559"/>
      <c r="K755" s="1559"/>
      <c r="L755" s="1559"/>
      <c r="M755" s="1559"/>
      <c r="N755" s="1559"/>
      <c r="O755" s="1559"/>
      <c r="P755" s="1559"/>
      <c r="Q755" s="1559"/>
      <c r="R755" s="1559"/>
      <c r="S755" s="1559"/>
      <c r="T755" s="1559"/>
      <c r="U755" s="1559"/>
      <c r="V755" s="1559"/>
      <c r="W755" s="1560">
        <f>unos!C359</f>
        <v>0</v>
      </c>
      <c r="X755" s="1561"/>
      <c r="Y755" s="1561"/>
      <c r="Z755" s="1561"/>
      <c r="AA755" s="1561"/>
      <c r="AB755" s="1561"/>
      <c r="AC755" s="1561"/>
      <c r="AD755" s="1561"/>
      <c r="AE755" s="1562"/>
      <c r="AF755" s="1563">
        <f>unos!F359</f>
        <v>0</v>
      </c>
      <c r="AG755" s="1561"/>
      <c r="AH755" s="1561"/>
      <c r="AI755" s="1561"/>
      <c r="AJ755" s="1561"/>
      <c r="AK755" s="1561"/>
      <c r="AL755" s="1561"/>
      <c r="AM755" s="1561"/>
      <c r="AN755" s="1562"/>
      <c r="AO755" s="1186">
        <f t="shared" si="30"/>
        <v>0</v>
      </c>
    </row>
    <row r="756" spans="1:41">
      <c r="A756" s="1574" t="str">
        <f>unos!A360</f>
        <v>419</v>
      </c>
      <c r="B756" s="1575"/>
      <c r="C756" s="1575"/>
      <c r="D756" s="1576"/>
      <c r="E756" s="1558" t="str">
        <f>unos!B360</f>
        <v>Ostale dugoročne obaveze</v>
      </c>
      <c r="F756" s="1559"/>
      <c r="G756" s="1559"/>
      <c r="H756" s="1559"/>
      <c r="I756" s="1559"/>
      <c r="J756" s="1559"/>
      <c r="K756" s="1559"/>
      <c r="L756" s="1559"/>
      <c r="M756" s="1559"/>
      <c r="N756" s="1559"/>
      <c r="O756" s="1559"/>
      <c r="P756" s="1559"/>
      <c r="Q756" s="1559"/>
      <c r="R756" s="1559"/>
      <c r="S756" s="1559"/>
      <c r="T756" s="1559"/>
      <c r="U756" s="1559"/>
      <c r="V756" s="1559"/>
      <c r="W756" s="1560">
        <f>unos!C360</f>
        <v>0</v>
      </c>
      <c r="X756" s="1561"/>
      <c r="Y756" s="1561"/>
      <c r="Z756" s="1561"/>
      <c r="AA756" s="1561"/>
      <c r="AB756" s="1561"/>
      <c r="AC756" s="1561"/>
      <c r="AD756" s="1561"/>
      <c r="AE756" s="1562"/>
      <c r="AF756" s="1563">
        <f>unos!F360</f>
        <v>0</v>
      </c>
      <c r="AG756" s="1561"/>
      <c r="AH756" s="1561"/>
      <c r="AI756" s="1561"/>
      <c r="AJ756" s="1561"/>
      <c r="AK756" s="1561"/>
      <c r="AL756" s="1561"/>
      <c r="AM756" s="1561"/>
      <c r="AN756" s="1562"/>
      <c r="AO756" s="1186">
        <f t="shared" si="30"/>
        <v>0</v>
      </c>
    </row>
    <row r="757" spans="1:41">
      <c r="A757" s="1577"/>
      <c r="B757" s="1577"/>
      <c r="C757" s="1577"/>
      <c r="D757" s="1577"/>
      <c r="E757" s="1167"/>
      <c r="F757" s="1168"/>
      <c r="G757" s="1168"/>
      <c r="H757" s="1168"/>
      <c r="I757" s="1168"/>
      <c r="J757" s="1168"/>
      <c r="K757" s="1168"/>
      <c r="L757" s="1168"/>
      <c r="M757" s="1168"/>
      <c r="N757" s="1168"/>
      <c r="O757" s="1168"/>
      <c r="P757" s="1168"/>
      <c r="Q757" s="1168"/>
      <c r="R757" s="1168"/>
      <c r="S757" s="1167"/>
      <c r="T757" s="1167"/>
      <c r="U757" s="1167"/>
      <c r="V757" s="1169" t="s">
        <v>1997</v>
      </c>
      <c r="W757" s="1578">
        <f>SUM(W748:W756)</f>
        <v>0</v>
      </c>
      <c r="X757" s="1579"/>
      <c r="Y757" s="1579"/>
      <c r="Z757" s="1579"/>
      <c r="AA757" s="1579"/>
      <c r="AB757" s="1579"/>
      <c r="AC757" s="1579"/>
      <c r="AD757" s="1579"/>
      <c r="AE757" s="1580"/>
      <c r="AF757" s="1578">
        <f>SUM(AF748:AF756)</f>
        <v>0</v>
      </c>
      <c r="AG757" s="1579"/>
      <c r="AH757" s="1579"/>
      <c r="AI757" s="1579"/>
      <c r="AJ757" s="1579"/>
      <c r="AK757" s="1579"/>
      <c r="AL757" s="1579"/>
      <c r="AM757" s="1579"/>
      <c r="AN757" s="1580"/>
      <c r="AO757" s="1185">
        <f t="shared" si="30"/>
        <v>0</v>
      </c>
    </row>
    <row r="759" spans="1:41">
      <c r="A759" s="1581"/>
      <c r="B759" s="1581"/>
      <c r="C759" s="1581"/>
      <c r="D759" s="1581"/>
      <c r="E759" s="1581"/>
      <c r="F759" s="1581"/>
      <c r="G759" s="1581"/>
      <c r="H759" s="1581"/>
      <c r="I759" s="1581"/>
      <c r="J759" s="1581"/>
      <c r="K759" s="1581"/>
      <c r="L759" s="1581"/>
      <c r="M759" s="1581"/>
      <c r="N759" s="1581"/>
      <c r="O759" s="1581"/>
      <c r="P759" s="1581"/>
      <c r="Q759" s="1581"/>
      <c r="R759" s="1581"/>
      <c r="S759" s="1581"/>
      <c r="T759" s="1581"/>
      <c r="U759" s="1581"/>
      <c r="V759" s="1581"/>
      <c r="W759" s="1581"/>
      <c r="X759" s="1581"/>
      <c r="Y759" s="1581"/>
      <c r="Z759" s="1581"/>
      <c r="AA759" s="1581"/>
      <c r="AB759" s="1581"/>
      <c r="AC759" s="1581"/>
      <c r="AD759" s="1581"/>
      <c r="AE759" s="1581"/>
      <c r="AF759" s="1581"/>
      <c r="AG759" s="1581"/>
      <c r="AH759" s="1581"/>
      <c r="AI759" s="1581"/>
      <c r="AJ759" s="1581"/>
      <c r="AK759" s="1581"/>
      <c r="AL759" s="1581"/>
      <c r="AM759" s="1581"/>
      <c r="AN759" s="1581"/>
    </row>
    <row r="760" spans="1:41">
      <c r="A760" s="1581"/>
      <c r="B760" s="1581"/>
      <c r="C760" s="1581"/>
      <c r="D760" s="1581"/>
      <c r="E760" s="1581"/>
      <c r="F760" s="1581"/>
      <c r="G760" s="1581"/>
      <c r="H760" s="1581"/>
      <c r="I760" s="1581"/>
      <c r="J760" s="1581"/>
      <c r="K760" s="1581"/>
      <c r="L760" s="1581"/>
      <c r="M760" s="1581"/>
      <c r="N760" s="1581"/>
      <c r="O760" s="1581"/>
      <c r="P760" s="1581"/>
      <c r="Q760" s="1581"/>
      <c r="R760" s="1581"/>
      <c r="S760" s="1581"/>
      <c r="T760" s="1581"/>
      <c r="U760" s="1581"/>
      <c r="V760" s="1581"/>
      <c r="W760" s="1581"/>
      <c r="X760" s="1581"/>
      <c r="Y760" s="1581"/>
      <c r="Z760" s="1581"/>
      <c r="AA760" s="1581"/>
      <c r="AB760" s="1581"/>
      <c r="AC760" s="1581"/>
      <c r="AD760" s="1581"/>
      <c r="AE760" s="1581"/>
      <c r="AF760" s="1581"/>
      <c r="AG760" s="1581"/>
      <c r="AH760" s="1581"/>
      <c r="AI760" s="1581"/>
      <c r="AJ760" s="1581"/>
      <c r="AK760" s="1581"/>
      <c r="AL760" s="1581"/>
      <c r="AM760" s="1581"/>
      <c r="AN760" s="1581"/>
    </row>
    <row r="761" spans="1:41">
      <c r="A761" s="1581"/>
      <c r="B761" s="1581"/>
      <c r="C761" s="1581"/>
      <c r="D761" s="1581"/>
      <c r="E761" s="1581"/>
      <c r="F761" s="1581"/>
      <c r="G761" s="1581"/>
      <c r="H761" s="1581"/>
      <c r="I761" s="1581"/>
      <c r="J761" s="1581"/>
      <c r="K761" s="1581"/>
      <c r="L761" s="1581"/>
      <c r="M761" s="1581"/>
      <c r="N761" s="1581"/>
      <c r="O761" s="1581"/>
      <c r="P761" s="1581"/>
      <c r="Q761" s="1581"/>
      <c r="R761" s="1581"/>
      <c r="S761" s="1581"/>
      <c r="T761" s="1581"/>
      <c r="U761" s="1581"/>
      <c r="V761" s="1581"/>
      <c r="W761" s="1581"/>
      <c r="X761" s="1581"/>
      <c r="Y761" s="1581"/>
      <c r="Z761" s="1581"/>
      <c r="AA761" s="1581"/>
      <c r="AB761" s="1581"/>
      <c r="AC761" s="1581"/>
      <c r="AD761" s="1581"/>
      <c r="AE761" s="1581"/>
      <c r="AF761" s="1581"/>
      <c r="AG761" s="1581"/>
      <c r="AH761" s="1581"/>
      <c r="AI761" s="1581"/>
      <c r="AJ761" s="1581"/>
      <c r="AK761" s="1581"/>
      <c r="AL761" s="1581"/>
      <c r="AM761" s="1581"/>
      <c r="AN761" s="1581"/>
    </row>
    <row r="762" spans="1:41">
      <c r="A762" s="1581"/>
      <c r="B762" s="1581"/>
      <c r="C762" s="1581"/>
      <c r="D762" s="1581"/>
      <c r="E762" s="1581"/>
      <c r="F762" s="1581"/>
      <c r="G762" s="1581"/>
      <c r="H762" s="1581"/>
      <c r="I762" s="1581"/>
      <c r="J762" s="1581"/>
      <c r="K762" s="1581"/>
      <c r="L762" s="1581"/>
      <c r="M762" s="1581"/>
      <c r="N762" s="1581"/>
      <c r="O762" s="1581"/>
      <c r="P762" s="1581"/>
      <c r="Q762" s="1581"/>
      <c r="R762" s="1581"/>
      <c r="S762" s="1581"/>
      <c r="T762" s="1581"/>
      <c r="U762" s="1581"/>
      <c r="V762" s="1581"/>
      <c r="W762" s="1581"/>
      <c r="X762" s="1581"/>
      <c r="Y762" s="1581"/>
      <c r="Z762" s="1581"/>
      <c r="AA762" s="1581"/>
      <c r="AB762" s="1581"/>
      <c r="AC762" s="1581"/>
      <c r="AD762" s="1581"/>
      <c r="AE762" s="1581"/>
      <c r="AF762" s="1581"/>
      <c r="AG762" s="1581"/>
      <c r="AH762" s="1581"/>
      <c r="AI762" s="1581"/>
      <c r="AJ762" s="1581"/>
      <c r="AK762" s="1581"/>
      <c r="AL762" s="1581"/>
      <c r="AM762" s="1581"/>
      <c r="AN762" s="1581"/>
    </row>
    <row r="763" spans="1:41" ht="12.75" customHeight="1">
      <c r="A763" s="828" t="s">
        <v>1933</v>
      </c>
      <c r="B763" s="828" t="s">
        <v>79</v>
      </c>
    </row>
    <row r="765" spans="1:41" ht="14.25" customHeight="1">
      <c r="W765" s="1170" t="s">
        <v>1995</v>
      </c>
      <c r="X765" s="1171"/>
      <c r="Y765" s="1171"/>
      <c r="Z765" s="1171"/>
      <c r="AA765" s="1171"/>
      <c r="AB765" s="1171"/>
      <c r="AC765" s="1171"/>
      <c r="AD765" s="1171"/>
      <c r="AE765" s="1171"/>
      <c r="AF765" s="1171"/>
      <c r="AG765" s="1171"/>
      <c r="AH765" s="1171"/>
      <c r="AI765" s="1171"/>
      <c r="AJ765" s="1171"/>
      <c r="AK765" s="1171"/>
      <c r="AL765" s="1171"/>
      <c r="AM765" s="1171"/>
      <c r="AN765" s="1172"/>
    </row>
    <row r="766" spans="1:41">
      <c r="A766" s="1582" t="s">
        <v>1996</v>
      </c>
      <c r="B766" s="1583"/>
      <c r="C766" s="1583"/>
      <c r="D766" s="1584"/>
      <c r="E766" s="1567" t="s">
        <v>796</v>
      </c>
      <c r="F766" s="1567"/>
      <c r="G766" s="1567"/>
      <c r="H766" s="1567"/>
      <c r="I766" s="1567"/>
      <c r="J766" s="1567"/>
      <c r="K766" s="1567"/>
      <c r="L766" s="1567"/>
      <c r="M766" s="1567"/>
      <c r="N766" s="1567"/>
      <c r="O766" s="1567"/>
      <c r="P766" s="1567"/>
      <c r="Q766" s="1567"/>
      <c r="R766" s="1567"/>
      <c r="S766" s="1567"/>
      <c r="T766" s="1567"/>
      <c r="U766" s="1567"/>
      <c r="V766" s="1567"/>
      <c r="W766" s="1568" t="s">
        <v>1039</v>
      </c>
      <c r="X766" s="1569"/>
      <c r="Y766" s="1569"/>
      <c r="Z766" s="1569"/>
      <c r="AA766" s="1569"/>
      <c r="AB766" s="1569"/>
      <c r="AC766" s="1569"/>
      <c r="AD766" s="1569"/>
      <c r="AE766" s="1570"/>
      <c r="AF766" s="1571" t="s">
        <v>278</v>
      </c>
      <c r="AG766" s="1572"/>
      <c r="AH766" s="1572"/>
      <c r="AI766" s="1572"/>
      <c r="AJ766" s="1572"/>
      <c r="AK766" s="1572"/>
      <c r="AL766" s="1572"/>
      <c r="AM766" s="1572"/>
      <c r="AN766" s="1573"/>
      <c r="AO766" s="1187" t="s">
        <v>2766</v>
      </c>
    </row>
    <row r="767" spans="1:41">
      <c r="A767" s="1574" t="str">
        <f>unos!A361</f>
        <v>420</v>
      </c>
      <c r="B767" s="1575"/>
      <c r="C767" s="1575"/>
      <c r="D767" s="1576"/>
      <c r="E767" s="1558" t="str">
        <f>unos!B361</f>
        <v>Obaveze prema povezanim pravnim licima</v>
      </c>
      <c r="F767" s="1559"/>
      <c r="G767" s="1559"/>
      <c r="H767" s="1559"/>
      <c r="I767" s="1559"/>
      <c r="J767" s="1559"/>
      <c r="K767" s="1559"/>
      <c r="L767" s="1559"/>
      <c r="M767" s="1559"/>
      <c r="N767" s="1559"/>
      <c r="O767" s="1559"/>
      <c r="P767" s="1559"/>
      <c r="Q767" s="1559"/>
      <c r="R767" s="1559"/>
      <c r="S767" s="1559"/>
      <c r="T767" s="1559"/>
      <c r="U767" s="1559"/>
      <c r="V767" s="1559"/>
      <c r="W767" s="1560">
        <f>unos!C361</f>
        <v>0</v>
      </c>
      <c r="X767" s="1561"/>
      <c r="Y767" s="1561"/>
      <c r="Z767" s="1561"/>
      <c r="AA767" s="1561"/>
      <c r="AB767" s="1561"/>
      <c r="AC767" s="1561"/>
      <c r="AD767" s="1561"/>
      <c r="AE767" s="1562"/>
      <c r="AF767" s="1563">
        <f>unos!F361</f>
        <v>0</v>
      </c>
      <c r="AG767" s="1561"/>
      <c r="AH767" s="1561"/>
      <c r="AI767" s="1561"/>
      <c r="AJ767" s="1561"/>
      <c r="AK767" s="1561"/>
      <c r="AL767" s="1561"/>
      <c r="AM767" s="1561"/>
      <c r="AN767" s="1562"/>
      <c r="AO767" s="1186">
        <f>IF(OR(W767=0,AF767=0),0,ROUND(AF767/W767,4))</f>
        <v>0</v>
      </c>
    </row>
    <row r="768" spans="1:41">
      <c r="A768" s="1574" t="str">
        <f>unos!A362</f>
        <v>421</v>
      </c>
      <c r="B768" s="1575"/>
      <c r="C768" s="1575"/>
      <c r="D768" s="1576"/>
      <c r="E768" s="1558" t="str">
        <f>unos!B362</f>
        <v>Obav.po emitovanim kratk.vrij.papirima</v>
      </c>
      <c r="F768" s="1559"/>
      <c r="G768" s="1559"/>
      <c r="H768" s="1559"/>
      <c r="I768" s="1559"/>
      <c r="J768" s="1559"/>
      <c r="K768" s="1559"/>
      <c r="L768" s="1559"/>
      <c r="M768" s="1559"/>
      <c r="N768" s="1559"/>
      <c r="O768" s="1559"/>
      <c r="P768" s="1559"/>
      <c r="Q768" s="1559"/>
      <c r="R768" s="1559"/>
      <c r="S768" s="1559"/>
      <c r="T768" s="1559"/>
      <c r="U768" s="1559"/>
      <c r="V768" s="1559"/>
      <c r="W768" s="1560">
        <f>unos!C362</f>
        <v>0</v>
      </c>
      <c r="X768" s="1561"/>
      <c r="Y768" s="1561"/>
      <c r="Z768" s="1561"/>
      <c r="AA768" s="1561"/>
      <c r="AB768" s="1561"/>
      <c r="AC768" s="1561"/>
      <c r="AD768" s="1561"/>
      <c r="AE768" s="1562"/>
      <c r="AF768" s="1563">
        <f>unos!F362</f>
        <v>0</v>
      </c>
      <c r="AG768" s="1561"/>
      <c r="AH768" s="1561"/>
      <c r="AI768" s="1561"/>
      <c r="AJ768" s="1561"/>
      <c r="AK768" s="1561"/>
      <c r="AL768" s="1561"/>
      <c r="AM768" s="1561"/>
      <c r="AN768" s="1562"/>
      <c r="AO768" s="1186">
        <f t="shared" ref="AO768:AO775" si="31">IF(OR(W768=0,AF768=0),0,ROUND(AF768/W768,4))</f>
        <v>0</v>
      </c>
    </row>
    <row r="769" spans="1:41">
      <c r="A769" s="1574" t="str">
        <f>unos!A363</f>
        <v>422</v>
      </c>
      <c r="B769" s="1575"/>
      <c r="C769" s="1575"/>
      <c r="D769" s="1576"/>
      <c r="E769" s="1558" t="str">
        <f>unos!B363</f>
        <v>Kratkoročni krediti uzeti u zemlji</v>
      </c>
      <c r="F769" s="1559"/>
      <c r="G769" s="1559"/>
      <c r="H769" s="1559"/>
      <c r="I769" s="1559"/>
      <c r="J769" s="1559"/>
      <c r="K769" s="1559"/>
      <c r="L769" s="1559"/>
      <c r="M769" s="1559"/>
      <c r="N769" s="1559"/>
      <c r="O769" s="1559"/>
      <c r="P769" s="1559"/>
      <c r="Q769" s="1559"/>
      <c r="R769" s="1559"/>
      <c r="S769" s="1559"/>
      <c r="T769" s="1559"/>
      <c r="U769" s="1559"/>
      <c r="V769" s="1559"/>
      <c r="W769" s="1560">
        <f>unos!C363</f>
        <v>0</v>
      </c>
      <c r="X769" s="1561"/>
      <c r="Y769" s="1561"/>
      <c r="Z769" s="1561"/>
      <c r="AA769" s="1561"/>
      <c r="AB769" s="1561"/>
      <c r="AC769" s="1561"/>
      <c r="AD769" s="1561"/>
      <c r="AE769" s="1562"/>
      <c r="AF769" s="1563">
        <f>unos!F363</f>
        <v>0</v>
      </c>
      <c r="AG769" s="1561"/>
      <c r="AH769" s="1561"/>
      <c r="AI769" s="1561"/>
      <c r="AJ769" s="1561"/>
      <c r="AK769" s="1561"/>
      <c r="AL769" s="1561"/>
      <c r="AM769" s="1561"/>
      <c r="AN769" s="1562"/>
      <c r="AO769" s="1186">
        <f t="shared" si="31"/>
        <v>0</v>
      </c>
    </row>
    <row r="770" spans="1:41">
      <c r="A770" s="1574" t="str">
        <f>unos!A364</f>
        <v>423</v>
      </c>
      <c r="B770" s="1575"/>
      <c r="C770" s="1575"/>
      <c r="D770" s="1576"/>
      <c r="E770" s="1558" t="str">
        <f>unos!B364</f>
        <v>Kratkoročni krediti uzeti u inostranstvu</v>
      </c>
      <c r="F770" s="1559"/>
      <c r="G770" s="1559"/>
      <c r="H770" s="1559"/>
      <c r="I770" s="1559"/>
      <c r="J770" s="1559"/>
      <c r="K770" s="1559"/>
      <c r="L770" s="1559"/>
      <c r="M770" s="1559"/>
      <c r="N770" s="1559"/>
      <c r="O770" s="1559"/>
      <c r="P770" s="1559"/>
      <c r="Q770" s="1559"/>
      <c r="R770" s="1559"/>
      <c r="S770" s="1559"/>
      <c r="T770" s="1559"/>
      <c r="U770" s="1559"/>
      <c r="V770" s="1559"/>
      <c r="W770" s="1560">
        <f>unos!C364</f>
        <v>0</v>
      </c>
      <c r="X770" s="1561"/>
      <c r="Y770" s="1561"/>
      <c r="Z770" s="1561"/>
      <c r="AA770" s="1561"/>
      <c r="AB770" s="1561"/>
      <c r="AC770" s="1561"/>
      <c r="AD770" s="1561"/>
      <c r="AE770" s="1562"/>
      <c r="AF770" s="1563">
        <f>unos!F364</f>
        <v>0</v>
      </c>
      <c r="AG770" s="1561"/>
      <c r="AH770" s="1561"/>
      <c r="AI770" s="1561"/>
      <c r="AJ770" s="1561"/>
      <c r="AK770" s="1561"/>
      <c r="AL770" s="1561"/>
      <c r="AM770" s="1561"/>
      <c r="AN770" s="1562"/>
      <c r="AO770" s="1186">
        <f t="shared" si="31"/>
        <v>0</v>
      </c>
    </row>
    <row r="771" spans="1:41">
      <c r="A771" s="1574" t="str">
        <f>unos!A365</f>
        <v>424</v>
      </c>
      <c r="B771" s="1575"/>
      <c r="C771" s="1575"/>
      <c r="D771" s="1576"/>
      <c r="E771" s="1558" t="str">
        <f>unos!B365</f>
        <v>Kratkoročni dio dugoročnih kredita</v>
      </c>
      <c r="F771" s="1559"/>
      <c r="G771" s="1559"/>
      <c r="H771" s="1559"/>
      <c r="I771" s="1559"/>
      <c r="J771" s="1559"/>
      <c r="K771" s="1559"/>
      <c r="L771" s="1559"/>
      <c r="M771" s="1559"/>
      <c r="N771" s="1559"/>
      <c r="O771" s="1559"/>
      <c r="P771" s="1559"/>
      <c r="Q771" s="1559"/>
      <c r="R771" s="1559"/>
      <c r="S771" s="1559"/>
      <c r="T771" s="1559"/>
      <c r="U771" s="1559"/>
      <c r="V771" s="1559"/>
      <c r="W771" s="1560">
        <f>unos!C365</f>
        <v>0</v>
      </c>
      <c r="X771" s="1561"/>
      <c r="Y771" s="1561"/>
      <c r="Z771" s="1561"/>
      <c r="AA771" s="1561"/>
      <c r="AB771" s="1561"/>
      <c r="AC771" s="1561"/>
      <c r="AD771" s="1561"/>
      <c r="AE771" s="1562"/>
      <c r="AF771" s="1563">
        <f>unos!F365</f>
        <v>0</v>
      </c>
      <c r="AG771" s="1561"/>
      <c r="AH771" s="1561"/>
      <c r="AI771" s="1561"/>
      <c r="AJ771" s="1561"/>
      <c r="AK771" s="1561"/>
      <c r="AL771" s="1561"/>
      <c r="AM771" s="1561"/>
      <c r="AN771" s="1562"/>
      <c r="AO771" s="1186">
        <f t="shared" si="31"/>
        <v>0</v>
      </c>
    </row>
    <row r="772" spans="1:41">
      <c r="A772" s="1574" t="str">
        <f>unos!A366</f>
        <v>425</v>
      </c>
      <c r="B772" s="1575"/>
      <c r="C772" s="1575"/>
      <c r="D772" s="1576"/>
      <c r="E772" s="1558" t="str">
        <f>unos!B366</f>
        <v>Kratk.dio dug.obav.po finansijskom lizingu</v>
      </c>
      <c r="F772" s="1559"/>
      <c r="G772" s="1559"/>
      <c r="H772" s="1559"/>
      <c r="I772" s="1559"/>
      <c r="J772" s="1559"/>
      <c r="K772" s="1559"/>
      <c r="L772" s="1559"/>
      <c r="M772" s="1559"/>
      <c r="N772" s="1559"/>
      <c r="O772" s="1559"/>
      <c r="P772" s="1559"/>
      <c r="Q772" s="1559"/>
      <c r="R772" s="1559"/>
      <c r="S772" s="1559"/>
      <c r="T772" s="1559"/>
      <c r="U772" s="1559"/>
      <c r="V772" s="1559"/>
      <c r="W772" s="1560">
        <f>unos!C366</f>
        <v>0</v>
      </c>
      <c r="X772" s="1561"/>
      <c r="Y772" s="1561"/>
      <c r="Z772" s="1561"/>
      <c r="AA772" s="1561"/>
      <c r="AB772" s="1561"/>
      <c r="AC772" s="1561"/>
      <c r="AD772" s="1561"/>
      <c r="AE772" s="1562"/>
      <c r="AF772" s="1563">
        <f>unos!F366</f>
        <v>0</v>
      </c>
      <c r="AG772" s="1561"/>
      <c r="AH772" s="1561"/>
      <c r="AI772" s="1561"/>
      <c r="AJ772" s="1561"/>
      <c r="AK772" s="1561"/>
      <c r="AL772" s="1561"/>
      <c r="AM772" s="1561"/>
      <c r="AN772" s="1562"/>
      <c r="AO772" s="1186">
        <f t="shared" si="31"/>
        <v>0</v>
      </c>
    </row>
    <row r="773" spans="1:41">
      <c r="A773" s="1574" t="str">
        <f>unos!A367</f>
        <v>427</v>
      </c>
      <c r="B773" s="1575"/>
      <c r="C773" s="1575"/>
      <c r="D773" s="1576"/>
      <c r="E773" s="1558" t="str">
        <f>unos!B367</f>
        <v>Kratk.obav.po fer vrij. kroz rač.dobiti i gub</v>
      </c>
      <c r="F773" s="1559"/>
      <c r="G773" s="1559"/>
      <c r="H773" s="1559"/>
      <c r="I773" s="1559"/>
      <c r="J773" s="1559"/>
      <c r="K773" s="1559"/>
      <c r="L773" s="1559"/>
      <c r="M773" s="1559"/>
      <c r="N773" s="1559"/>
      <c r="O773" s="1559"/>
      <c r="P773" s="1559"/>
      <c r="Q773" s="1559"/>
      <c r="R773" s="1559"/>
      <c r="S773" s="1559"/>
      <c r="T773" s="1559"/>
      <c r="U773" s="1559"/>
      <c r="V773" s="1559"/>
      <c r="W773" s="1560">
        <f>unos!C367</f>
        <v>0</v>
      </c>
      <c r="X773" s="1561"/>
      <c r="Y773" s="1561"/>
      <c r="Z773" s="1561"/>
      <c r="AA773" s="1561"/>
      <c r="AB773" s="1561"/>
      <c r="AC773" s="1561"/>
      <c r="AD773" s="1561"/>
      <c r="AE773" s="1562"/>
      <c r="AF773" s="1563">
        <f>unos!F367</f>
        <v>0</v>
      </c>
      <c r="AG773" s="1561"/>
      <c r="AH773" s="1561"/>
      <c r="AI773" s="1561"/>
      <c r="AJ773" s="1561"/>
      <c r="AK773" s="1561"/>
      <c r="AL773" s="1561"/>
      <c r="AM773" s="1561"/>
      <c r="AN773" s="1562"/>
      <c r="AO773" s="1186">
        <f t="shared" si="31"/>
        <v>0</v>
      </c>
    </row>
    <row r="774" spans="1:41">
      <c r="A774" s="1574" t="str">
        <f>unos!A368</f>
        <v>429</v>
      </c>
      <c r="B774" s="1575"/>
      <c r="C774" s="1575"/>
      <c r="D774" s="1576"/>
      <c r="E774" s="1558" t="str">
        <f>unos!B368</f>
        <v>Ostale  kratkoročne finansijske obaveze</v>
      </c>
      <c r="F774" s="1559"/>
      <c r="G774" s="1559"/>
      <c r="H774" s="1559"/>
      <c r="I774" s="1559"/>
      <c r="J774" s="1559"/>
      <c r="K774" s="1559"/>
      <c r="L774" s="1559"/>
      <c r="M774" s="1559"/>
      <c r="N774" s="1559"/>
      <c r="O774" s="1559"/>
      <c r="P774" s="1559"/>
      <c r="Q774" s="1559"/>
      <c r="R774" s="1559"/>
      <c r="S774" s="1559"/>
      <c r="T774" s="1559"/>
      <c r="U774" s="1559"/>
      <c r="V774" s="1559"/>
      <c r="W774" s="1560">
        <f>unos!C368</f>
        <v>0</v>
      </c>
      <c r="X774" s="1561"/>
      <c r="Y774" s="1561"/>
      <c r="Z774" s="1561"/>
      <c r="AA774" s="1561"/>
      <c r="AB774" s="1561"/>
      <c r="AC774" s="1561"/>
      <c r="AD774" s="1561"/>
      <c r="AE774" s="1562"/>
      <c r="AF774" s="1563">
        <f>unos!F368</f>
        <v>0</v>
      </c>
      <c r="AG774" s="1561"/>
      <c r="AH774" s="1561"/>
      <c r="AI774" s="1561"/>
      <c r="AJ774" s="1561"/>
      <c r="AK774" s="1561"/>
      <c r="AL774" s="1561"/>
      <c r="AM774" s="1561"/>
      <c r="AN774" s="1562"/>
      <c r="AO774" s="1186">
        <f t="shared" si="31"/>
        <v>0</v>
      </c>
    </row>
    <row r="775" spans="1:41">
      <c r="A775" s="1577"/>
      <c r="B775" s="1577"/>
      <c r="C775" s="1577"/>
      <c r="D775" s="1577"/>
      <c r="E775" s="1167"/>
      <c r="F775" s="1168"/>
      <c r="G775" s="1168"/>
      <c r="H775" s="1168"/>
      <c r="I775" s="1168"/>
      <c r="J775" s="1168"/>
      <c r="K775" s="1168"/>
      <c r="L775" s="1168"/>
      <c r="M775" s="1168"/>
      <c r="N775" s="1168"/>
      <c r="O775" s="1168"/>
      <c r="P775" s="1168"/>
      <c r="Q775" s="1168"/>
      <c r="R775" s="1168"/>
      <c r="S775" s="1167"/>
      <c r="T775" s="1167"/>
      <c r="U775" s="1167"/>
      <c r="V775" s="1169" t="s">
        <v>1997</v>
      </c>
      <c r="W775" s="1578">
        <f>SUM(W767:W774)</f>
        <v>0</v>
      </c>
      <c r="X775" s="1579"/>
      <c r="Y775" s="1579"/>
      <c r="Z775" s="1579"/>
      <c r="AA775" s="1579"/>
      <c r="AB775" s="1579"/>
      <c r="AC775" s="1579"/>
      <c r="AD775" s="1579"/>
      <c r="AE775" s="1580"/>
      <c r="AF775" s="1578">
        <f>SUM(AF767:AF774)</f>
        <v>0</v>
      </c>
      <c r="AG775" s="1579"/>
      <c r="AH775" s="1579"/>
      <c r="AI775" s="1579"/>
      <c r="AJ775" s="1579"/>
      <c r="AK775" s="1579"/>
      <c r="AL775" s="1579"/>
      <c r="AM775" s="1579"/>
      <c r="AN775" s="1580"/>
      <c r="AO775" s="1185">
        <f t="shared" si="31"/>
        <v>0</v>
      </c>
    </row>
    <row r="777" spans="1:41">
      <c r="A777" s="1581"/>
      <c r="B777" s="1581"/>
      <c r="C777" s="1581"/>
      <c r="D777" s="1581"/>
      <c r="E777" s="1581"/>
      <c r="F777" s="1581"/>
      <c r="G777" s="1581"/>
      <c r="H777" s="1581"/>
      <c r="I777" s="1581"/>
      <c r="J777" s="1581"/>
      <c r="K777" s="1581"/>
      <c r="L777" s="1581"/>
      <c r="M777" s="1581"/>
      <c r="N777" s="1581"/>
      <c r="O777" s="1581"/>
      <c r="P777" s="1581"/>
      <c r="Q777" s="1581"/>
      <c r="R777" s="1581"/>
      <c r="S777" s="1581"/>
      <c r="T777" s="1581"/>
      <c r="U777" s="1581"/>
      <c r="V777" s="1581"/>
      <c r="W777" s="1581"/>
      <c r="X777" s="1581"/>
      <c r="Y777" s="1581"/>
      <c r="Z777" s="1581"/>
      <c r="AA777" s="1581"/>
      <c r="AB777" s="1581"/>
      <c r="AC777" s="1581"/>
      <c r="AD777" s="1581"/>
      <c r="AE777" s="1581"/>
      <c r="AF777" s="1581"/>
      <c r="AG777" s="1581"/>
      <c r="AH777" s="1581"/>
      <c r="AI777" s="1581"/>
      <c r="AJ777" s="1581"/>
      <c r="AK777" s="1581"/>
      <c r="AL777" s="1581"/>
      <c r="AM777" s="1581"/>
      <c r="AN777" s="1581"/>
    </row>
    <row r="778" spans="1:41">
      <c r="A778" s="1581"/>
      <c r="B778" s="1581"/>
      <c r="C778" s="1581"/>
      <c r="D778" s="1581"/>
      <c r="E778" s="1581"/>
      <c r="F778" s="1581"/>
      <c r="G778" s="1581"/>
      <c r="H778" s="1581"/>
      <c r="I778" s="1581"/>
      <c r="J778" s="1581"/>
      <c r="K778" s="1581"/>
      <c r="L778" s="1581"/>
      <c r="M778" s="1581"/>
      <c r="N778" s="1581"/>
      <c r="O778" s="1581"/>
      <c r="P778" s="1581"/>
      <c r="Q778" s="1581"/>
      <c r="R778" s="1581"/>
      <c r="S778" s="1581"/>
      <c r="T778" s="1581"/>
      <c r="U778" s="1581"/>
      <c r="V778" s="1581"/>
      <c r="W778" s="1581"/>
      <c r="X778" s="1581"/>
      <c r="Y778" s="1581"/>
      <c r="Z778" s="1581"/>
      <c r="AA778" s="1581"/>
      <c r="AB778" s="1581"/>
      <c r="AC778" s="1581"/>
      <c r="AD778" s="1581"/>
      <c r="AE778" s="1581"/>
      <c r="AF778" s="1581"/>
      <c r="AG778" s="1581"/>
      <c r="AH778" s="1581"/>
      <c r="AI778" s="1581"/>
      <c r="AJ778" s="1581"/>
      <c r="AK778" s="1581"/>
      <c r="AL778" s="1581"/>
      <c r="AM778" s="1581"/>
      <c r="AN778" s="1581"/>
    </row>
    <row r="779" spans="1:41">
      <c r="A779" s="1581"/>
      <c r="B779" s="1581"/>
      <c r="C779" s="1581"/>
      <c r="D779" s="1581"/>
      <c r="E779" s="1581"/>
      <c r="F779" s="1581"/>
      <c r="G779" s="1581"/>
      <c r="H779" s="1581"/>
      <c r="I779" s="1581"/>
      <c r="J779" s="1581"/>
      <c r="K779" s="1581"/>
      <c r="L779" s="1581"/>
      <c r="M779" s="1581"/>
      <c r="N779" s="1581"/>
      <c r="O779" s="1581"/>
      <c r="P779" s="1581"/>
      <c r="Q779" s="1581"/>
      <c r="R779" s="1581"/>
      <c r="S779" s="1581"/>
      <c r="T779" s="1581"/>
      <c r="U779" s="1581"/>
      <c r="V779" s="1581"/>
      <c r="W779" s="1581"/>
      <c r="X779" s="1581"/>
      <c r="Y779" s="1581"/>
      <c r="Z779" s="1581"/>
      <c r="AA779" s="1581"/>
      <c r="AB779" s="1581"/>
      <c r="AC779" s="1581"/>
      <c r="AD779" s="1581"/>
      <c r="AE779" s="1581"/>
      <c r="AF779" s="1581"/>
      <c r="AG779" s="1581"/>
      <c r="AH779" s="1581"/>
      <c r="AI779" s="1581"/>
      <c r="AJ779" s="1581"/>
      <c r="AK779" s="1581"/>
      <c r="AL779" s="1581"/>
      <c r="AM779" s="1581"/>
      <c r="AN779" s="1581"/>
    </row>
    <row r="780" spans="1:41">
      <c r="A780" s="1581"/>
      <c r="B780" s="1581"/>
      <c r="C780" s="1581"/>
      <c r="D780" s="1581"/>
      <c r="E780" s="1581"/>
      <c r="F780" s="1581"/>
      <c r="G780" s="1581"/>
      <c r="H780" s="1581"/>
      <c r="I780" s="1581"/>
      <c r="J780" s="1581"/>
      <c r="K780" s="1581"/>
      <c r="L780" s="1581"/>
      <c r="M780" s="1581"/>
      <c r="N780" s="1581"/>
      <c r="O780" s="1581"/>
      <c r="P780" s="1581"/>
      <c r="Q780" s="1581"/>
      <c r="R780" s="1581"/>
      <c r="S780" s="1581"/>
      <c r="T780" s="1581"/>
      <c r="U780" s="1581"/>
      <c r="V780" s="1581"/>
      <c r="W780" s="1581"/>
      <c r="X780" s="1581"/>
      <c r="Y780" s="1581"/>
      <c r="Z780" s="1581"/>
      <c r="AA780" s="1581"/>
      <c r="AB780" s="1581"/>
      <c r="AC780" s="1581"/>
      <c r="AD780" s="1581"/>
      <c r="AE780" s="1581"/>
      <c r="AF780" s="1581"/>
      <c r="AG780" s="1581"/>
      <c r="AH780" s="1581"/>
      <c r="AI780" s="1581"/>
      <c r="AJ780" s="1581"/>
      <c r="AK780" s="1581"/>
      <c r="AL780" s="1581"/>
      <c r="AM780" s="1581"/>
      <c r="AN780" s="1581"/>
    </row>
    <row r="781" spans="1:41" ht="12.75" customHeight="1">
      <c r="A781" s="828" t="s">
        <v>1933</v>
      </c>
      <c r="B781" s="828" t="s">
        <v>80</v>
      </c>
    </row>
    <row r="783" spans="1:41" ht="14.25" customHeight="1">
      <c r="W783" s="1170" t="s">
        <v>1995</v>
      </c>
      <c r="X783" s="1171"/>
      <c r="Y783" s="1171"/>
      <c r="Z783" s="1171"/>
      <c r="AA783" s="1171"/>
      <c r="AB783" s="1171"/>
      <c r="AC783" s="1171"/>
      <c r="AD783" s="1171"/>
      <c r="AE783" s="1171"/>
      <c r="AF783" s="1171"/>
      <c r="AG783" s="1171"/>
      <c r="AH783" s="1171"/>
      <c r="AI783" s="1171"/>
      <c r="AJ783" s="1171"/>
      <c r="AK783" s="1171"/>
      <c r="AL783" s="1171"/>
      <c r="AM783" s="1171"/>
      <c r="AN783" s="1172"/>
    </row>
    <row r="784" spans="1:41">
      <c r="A784" s="1582" t="s">
        <v>1996</v>
      </c>
      <c r="B784" s="1583"/>
      <c r="C784" s="1583"/>
      <c r="D784" s="1584"/>
      <c r="E784" s="1567" t="s">
        <v>796</v>
      </c>
      <c r="F784" s="1567"/>
      <c r="G784" s="1567"/>
      <c r="H784" s="1567"/>
      <c r="I784" s="1567"/>
      <c r="J784" s="1567"/>
      <c r="K784" s="1567"/>
      <c r="L784" s="1567"/>
      <c r="M784" s="1567"/>
      <c r="N784" s="1567"/>
      <c r="O784" s="1567"/>
      <c r="P784" s="1567"/>
      <c r="Q784" s="1567"/>
      <c r="R784" s="1567"/>
      <c r="S784" s="1567"/>
      <c r="T784" s="1567"/>
      <c r="U784" s="1567"/>
      <c r="V784" s="1567"/>
      <c r="W784" s="1568" t="s">
        <v>1039</v>
      </c>
      <c r="X784" s="1569"/>
      <c r="Y784" s="1569"/>
      <c r="Z784" s="1569"/>
      <c r="AA784" s="1569"/>
      <c r="AB784" s="1569"/>
      <c r="AC784" s="1569"/>
      <c r="AD784" s="1569"/>
      <c r="AE784" s="1570"/>
      <c r="AF784" s="1571" t="s">
        <v>278</v>
      </c>
      <c r="AG784" s="1572"/>
      <c r="AH784" s="1572"/>
      <c r="AI784" s="1572"/>
      <c r="AJ784" s="1572"/>
      <c r="AK784" s="1572"/>
      <c r="AL784" s="1572"/>
      <c r="AM784" s="1572"/>
      <c r="AN784" s="1573"/>
      <c r="AO784" s="1187" t="s">
        <v>2766</v>
      </c>
    </row>
    <row r="785" spans="1:41">
      <c r="A785" s="1574" t="str">
        <f>unos!A369</f>
        <v>430</v>
      </c>
      <c r="B785" s="1575"/>
      <c r="C785" s="1575"/>
      <c r="D785" s="1576"/>
      <c r="E785" s="1558" t="str">
        <f>unos!B369</f>
        <v>Primljeni avansi, depoziti i kaucije</v>
      </c>
      <c r="F785" s="1559"/>
      <c r="G785" s="1559"/>
      <c r="H785" s="1559"/>
      <c r="I785" s="1559"/>
      <c r="J785" s="1559"/>
      <c r="K785" s="1559"/>
      <c r="L785" s="1559"/>
      <c r="M785" s="1559"/>
      <c r="N785" s="1559"/>
      <c r="O785" s="1559"/>
      <c r="P785" s="1559"/>
      <c r="Q785" s="1559"/>
      <c r="R785" s="1559"/>
      <c r="S785" s="1559"/>
      <c r="T785" s="1559"/>
      <c r="U785" s="1559"/>
      <c r="V785" s="1559"/>
      <c r="W785" s="1560">
        <f>unos!C369</f>
        <v>0</v>
      </c>
      <c r="X785" s="1561"/>
      <c r="Y785" s="1561"/>
      <c r="Z785" s="1561"/>
      <c r="AA785" s="1561"/>
      <c r="AB785" s="1561"/>
      <c r="AC785" s="1561"/>
      <c r="AD785" s="1561"/>
      <c r="AE785" s="1562"/>
      <c r="AF785" s="1563">
        <f>unos!F369</f>
        <v>0</v>
      </c>
      <c r="AG785" s="1561"/>
      <c r="AH785" s="1561"/>
      <c r="AI785" s="1561"/>
      <c r="AJ785" s="1561"/>
      <c r="AK785" s="1561"/>
      <c r="AL785" s="1561"/>
      <c r="AM785" s="1561"/>
      <c r="AN785" s="1562"/>
      <c r="AO785" s="1186">
        <f t="shared" ref="AO785:AO790" si="32">IF(OR(W785=0,AF785=0),0,ROUND(AF785/W785,4))</f>
        <v>0</v>
      </c>
    </row>
    <row r="786" spans="1:41">
      <c r="A786" s="1574" t="str">
        <f>unos!A370</f>
        <v>431</v>
      </c>
      <c r="B786" s="1575"/>
      <c r="C786" s="1575"/>
      <c r="D786" s="1576"/>
      <c r="E786" s="1558" t="str">
        <f>unos!B370</f>
        <v>Dobavljači - povezana pravna lica</v>
      </c>
      <c r="F786" s="1559"/>
      <c r="G786" s="1559"/>
      <c r="H786" s="1559"/>
      <c r="I786" s="1559"/>
      <c r="J786" s="1559"/>
      <c r="K786" s="1559"/>
      <c r="L786" s="1559"/>
      <c r="M786" s="1559"/>
      <c r="N786" s="1559"/>
      <c r="O786" s="1559"/>
      <c r="P786" s="1559"/>
      <c r="Q786" s="1559"/>
      <c r="R786" s="1559"/>
      <c r="S786" s="1559"/>
      <c r="T786" s="1559"/>
      <c r="U786" s="1559"/>
      <c r="V786" s="1559"/>
      <c r="W786" s="1560">
        <f>unos!C370</f>
        <v>0</v>
      </c>
      <c r="X786" s="1561"/>
      <c r="Y786" s="1561"/>
      <c r="Z786" s="1561"/>
      <c r="AA786" s="1561"/>
      <c r="AB786" s="1561"/>
      <c r="AC786" s="1561"/>
      <c r="AD786" s="1561"/>
      <c r="AE786" s="1562"/>
      <c r="AF786" s="1563">
        <f>unos!F370</f>
        <v>0</v>
      </c>
      <c r="AG786" s="1561"/>
      <c r="AH786" s="1561"/>
      <c r="AI786" s="1561"/>
      <c r="AJ786" s="1561"/>
      <c r="AK786" s="1561"/>
      <c r="AL786" s="1561"/>
      <c r="AM786" s="1561"/>
      <c r="AN786" s="1562"/>
      <c r="AO786" s="1186">
        <f t="shared" si="32"/>
        <v>0</v>
      </c>
    </row>
    <row r="787" spans="1:41">
      <c r="A787" s="1574" t="str">
        <f>unos!A371</f>
        <v>432</v>
      </c>
      <c r="B787" s="1575"/>
      <c r="C787" s="1575"/>
      <c r="D787" s="1576"/>
      <c r="E787" s="1558" t="str">
        <f>unos!B371</f>
        <v>Dobavljači u zemlji</v>
      </c>
      <c r="F787" s="1559"/>
      <c r="G787" s="1559"/>
      <c r="H787" s="1559"/>
      <c r="I787" s="1559"/>
      <c r="J787" s="1559"/>
      <c r="K787" s="1559"/>
      <c r="L787" s="1559"/>
      <c r="M787" s="1559"/>
      <c r="N787" s="1559"/>
      <c r="O787" s="1559"/>
      <c r="P787" s="1559"/>
      <c r="Q787" s="1559"/>
      <c r="R787" s="1559"/>
      <c r="S787" s="1559"/>
      <c r="T787" s="1559"/>
      <c r="U787" s="1559"/>
      <c r="V787" s="1559"/>
      <c r="W787" s="1560">
        <f>unos!C371</f>
        <v>0</v>
      </c>
      <c r="X787" s="1561"/>
      <c r="Y787" s="1561"/>
      <c r="Z787" s="1561"/>
      <c r="AA787" s="1561"/>
      <c r="AB787" s="1561"/>
      <c r="AC787" s="1561"/>
      <c r="AD787" s="1561"/>
      <c r="AE787" s="1562"/>
      <c r="AF787" s="1563">
        <f>unos!F371</f>
        <v>0</v>
      </c>
      <c r="AG787" s="1561"/>
      <c r="AH787" s="1561"/>
      <c r="AI787" s="1561"/>
      <c r="AJ787" s="1561"/>
      <c r="AK787" s="1561"/>
      <c r="AL787" s="1561"/>
      <c r="AM787" s="1561"/>
      <c r="AN787" s="1562"/>
      <c r="AO787" s="1186">
        <f t="shared" si="32"/>
        <v>0</v>
      </c>
    </row>
    <row r="788" spans="1:41">
      <c r="A788" s="1574" t="str">
        <f>unos!A372</f>
        <v>433</v>
      </c>
      <c r="B788" s="1575"/>
      <c r="C788" s="1575"/>
      <c r="D788" s="1576"/>
      <c r="E788" s="1558" t="str">
        <f>unos!B372</f>
        <v>Dobavljači u inostranstvu</v>
      </c>
      <c r="F788" s="1559"/>
      <c r="G788" s="1559"/>
      <c r="H788" s="1559"/>
      <c r="I788" s="1559"/>
      <c r="J788" s="1559"/>
      <c r="K788" s="1559"/>
      <c r="L788" s="1559"/>
      <c r="M788" s="1559"/>
      <c r="N788" s="1559"/>
      <c r="O788" s="1559"/>
      <c r="P788" s="1559"/>
      <c r="Q788" s="1559"/>
      <c r="R788" s="1559"/>
      <c r="S788" s="1559"/>
      <c r="T788" s="1559"/>
      <c r="U788" s="1559"/>
      <c r="V788" s="1559"/>
      <c r="W788" s="1560">
        <f>unos!C372</f>
        <v>0</v>
      </c>
      <c r="X788" s="1561"/>
      <c r="Y788" s="1561"/>
      <c r="Z788" s="1561"/>
      <c r="AA788" s="1561"/>
      <c r="AB788" s="1561"/>
      <c r="AC788" s="1561"/>
      <c r="AD788" s="1561"/>
      <c r="AE788" s="1562"/>
      <c r="AF788" s="1563">
        <f>unos!F372</f>
        <v>0</v>
      </c>
      <c r="AG788" s="1561"/>
      <c r="AH788" s="1561"/>
      <c r="AI788" s="1561"/>
      <c r="AJ788" s="1561"/>
      <c r="AK788" s="1561"/>
      <c r="AL788" s="1561"/>
      <c r="AM788" s="1561"/>
      <c r="AN788" s="1562"/>
      <c r="AO788" s="1186">
        <f t="shared" si="32"/>
        <v>0</v>
      </c>
    </row>
    <row r="789" spans="1:41">
      <c r="A789" s="1574" t="str">
        <f>unos!A373</f>
        <v>439</v>
      </c>
      <c r="B789" s="1575"/>
      <c r="C789" s="1575"/>
      <c r="D789" s="1576"/>
      <c r="E789" s="1558" t="str">
        <f>unos!B373</f>
        <v>Ostale obaveze iz poslovanja</v>
      </c>
      <c r="F789" s="1559"/>
      <c r="G789" s="1559"/>
      <c r="H789" s="1559"/>
      <c r="I789" s="1559"/>
      <c r="J789" s="1559"/>
      <c r="K789" s="1559"/>
      <c r="L789" s="1559"/>
      <c r="M789" s="1559"/>
      <c r="N789" s="1559"/>
      <c r="O789" s="1559"/>
      <c r="P789" s="1559"/>
      <c r="Q789" s="1559"/>
      <c r="R789" s="1559"/>
      <c r="S789" s="1559"/>
      <c r="T789" s="1559"/>
      <c r="U789" s="1559"/>
      <c r="V789" s="1559"/>
      <c r="W789" s="1560">
        <f>unos!C373</f>
        <v>0</v>
      </c>
      <c r="X789" s="1561"/>
      <c r="Y789" s="1561"/>
      <c r="Z789" s="1561"/>
      <c r="AA789" s="1561"/>
      <c r="AB789" s="1561"/>
      <c r="AC789" s="1561"/>
      <c r="AD789" s="1561"/>
      <c r="AE789" s="1562"/>
      <c r="AF789" s="1563">
        <f>unos!F373</f>
        <v>0</v>
      </c>
      <c r="AG789" s="1561"/>
      <c r="AH789" s="1561"/>
      <c r="AI789" s="1561"/>
      <c r="AJ789" s="1561"/>
      <c r="AK789" s="1561"/>
      <c r="AL789" s="1561"/>
      <c r="AM789" s="1561"/>
      <c r="AN789" s="1562"/>
      <c r="AO789" s="1186">
        <f t="shared" si="32"/>
        <v>0</v>
      </c>
    </row>
    <row r="790" spans="1:41">
      <c r="A790" s="1577"/>
      <c r="B790" s="1577"/>
      <c r="C790" s="1577"/>
      <c r="D790" s="1577"/>
      <c r="E790" s="1167"/>
      <c r="F790" s="1168"/>
      <c r="G790" s="1168"/>
      <c r="H790" s="1168"/>
      <c r="I790" s="1168"/>
      <c r="J790" s="1168"/>
      <c r="K790" s="1168"/>
      <c r="L790" s="1168"/>
      <c r="M790" s="1168"/>
      <c r="N790" s="1168"/>
      <c r="O790" s="1168"/>
      <c r="P790" s="1168"/>
      <c r="Q790" s="1168"/>
      <c r="R790" s="1168"/>
      <c r="S790" s="1167"/>
      <c r="T790" s="1167"/>
      <c r="U790" s="1167"/>
      <c r="V790" s="1169" t="s">
        <v>1997</v>
      </c>
      <c r="W790" s="1578">
        <f>SUM(W785:W789)</f>
        <v>0</v>
      </c>
      <c r="X790" s="1579"/>
      <c r="Y790" s="1579"/>
      <c r="Z790" s="1579"/>
      <c r="AA790" s="1579"/>
      <c r="AB790" s="1579"/>
      <c r="AC790" s="1579"/>
      <c r="AD790" s="1579"/>
      <c r="AE790" s="1580"/>
      <c r="AF790" s="1578">
        <f>SUM(AF785:AF789)</f>
        <v>0</v>
      </c>
      <c r="AG790" s="1579"/>
      <c r="AH790" s="1579"/>
      <c r="AI790" s="1579"/>
      <c r="AJ790" s="1579"/>
      <c r="AK790" s="1579"/>
      <c r="AL790" s="1579"/>
      <c r="AM790" s="1579"/>
      <c r="AN790" s="1580"/>
      <c r="AO790" s="1185">
        <f t="shared" si="32"/>
        <v>0</v>
      </c>
    </row>
    <row r="792" spans="1:41">
      <c r="A792" s="1581"/>
      <c r="B792" s="1581"/>
      <c r="C792" s="1581"/>
      <c r="D792" s="1581"/>
      <c r="E792" s="1581"/>
      <c r="F792" s="1581"/>
      <c r="G792" s="1581"/>
      <c r="H792" s="1581"/>
      <c r="I792" s="1581"/>
      <c r="J792" s="1581"/>
      <c r="K792" s="1581"/>
      <c r="L792" s="1581"/>
      <c r="M792" s="1581"/>
      <c r="N792" s="1581"/>
      <c r="O792" s="1581"/>
      <c r="P792" s="1581"/>
      <c r="Q792" s="1581"/>
      <c r="R792" s="1581"/>
      <c r="S792" s="1581"/>
      <c r="T792" s="1581"/>
      <c r="U792" s="1581"/>
      <c r="V792" s="1581"/>
      <c r="W792" s="1581"/>
      <c r="X792" s="1581"/>
      <c r="Y792" s="1581"/>
      <c r="Z792" s="1581"/>
      <c r="AA792" s="1581"/>
      <c r="AB792" s="1581"/>
      <c r="AC792" s="1581"/>
      <c r="AD792" s="1581"/>
      <c r="AE792" s="1581"/>
      <c r="AF792" s="1581"/>
      <c r="AG792" s="1581"/>
      <c r="AH792" s="1581"/>
      <c r="AI792" s="1581"/>
      <c r="AJ792" s="1581"/>
      <c r="AK792" s="1581"/>
      <c r="AL792" s="1581"/>
      <c r="AM792" s="1581"/>
      <c r="AN792" s="1581"/>
    </row>
    <row r="793" spans="1:41">
      <c r="A793" s="1581"/>
      <c r="B793" s="1581"/>
      <c r="C793" s="1581"/>
      <c r="D793" s="1581"/>
      <c r="E793" s="1581"/>
      <c r="F793" s="1581"/>
      <c r="G793" s="1581"/>
      <c r="H793" s="1581"/>
      <c r="I793" s="1581"/>
      <c r="J793" s="1581"/>
      <c r="K793" s="1581"/>
      <c r="L793" s="1581"/>
      <c r="M793" s="1581"/>
      <c r="N793" s="1581"/>
      <c r="O793" s="1581"/>
      <c r="P793" s="1581"/>
      <c r="Q793" s="1581"/>
      <c r="R793" s="1581"/>
      <c r="S793" s="1581"/>
      <c r="T793" s="1581"/>
      <c r="U793" s="1581"/>
      <c r="V793" s="1581"/>
      <c r="W793" s="1581"/>
      <c r="X793" s="1581"/>
      <c r="Y793" s="1581"/>
      <c r="Z793" s="1581"/>
      <c r="AA793" s="1581"/>
      <c r="AB793" s="1581"/>
      <c r="AC793" s="1581"/>
      <c r="AD793" s="1581"/>
      <c r="AE793" s="1581"/>
      <c r="AF793" s="1581"/>
      <c r="AG793" s="1581"/>
      <c r="AH793" s="1581"/>
      <c r="AI793" s="1581"/>
      <c r="AJ793" s="1581"/>
      <c r="AK793" s="1581"/>
      <c r="AL793" s="1581"/>
      <c r="AM793" s="1581"/>
      <c r="AN793" s="1581"/>
    </row>
    <row r="794" spans="1:41">
      <c r="A794" s="1581"/>
      <c r="B794" s="1581"/>
      <c r="C794" s="1581"/>
      <c r="D794" s="1581"/>
      <c r="E794" s="1581"/>
      <c r="F794" s="1581"/>
      <c r="G794" s="1581"/>
      <c r="H794" s="1581"/>
      <c r="I794" s="1581"/>
      <c r="J794" s="1581"/>
      <c r="K794" s="1581"/>
      <c r="L794" s="1581"/>
      <c r="M794" s="1581"/>
      <c r="N794" s="1581"/>
      <c r="O794" s="1581"/>
      <c r="P794" s="1581"/>
      <c r="Q794" s="1581"/>
      <c r="R794" s="1581"/>
      <c r="S794" s="1581"/>
      <c r="T794" s="1581"/>
      <c r="U794" s="1581"/>
      <c r="V794" s="1581"/>
      <c r="W794" s="1581"/>
      <c r="X794" s="1581"/>
      <c r="Y794" s="1581"/>
      <c r="Z794" s="1581"/>
      <c r="AA794" s="1581"/>
      <c r="AB794" s="1581"/>
      <c r="AC794" s="1581"/>
      <c r="AD794" s="1581"/>
      <c r="AE794" s="1581"/>
      <c r="AF794" s="1581"/>
      <c r="AG794" s="1581"/>
      <c r="AH794" s="1581"/>
      <c r="AI794" s="1581"/>
      <c r="AJ794" s="1581"/>
      <c r="AK794" s="1581"/>
      <c r="AL794" s="1581"/>
      <c r="AM794" s="1581"/>
      <c r="AN794" s="1581"/>
    </row>
    <row r="795" spans="1:41">
      <c r="A795" s="1581"/>
      <c r="B795" s="1581"/>
      <c r="C795" s="1581"/>
      <c r="D795" s="1581"/>
      <c r="E795" s="1581"/>
      <c r="F795" s="1581"/>
      <c r="G795" s="1581"/>
      <c r="H795" s="1581"/>
      <c r="I795" s="1581"/>
      <c r="J795" s="1581"/>
      <c r="K795" s="1581"/>
      <c r="L795" s="1581"/>
      <c r="M795" s="1581"/>
      <c r="N795" s="1581"/>
      <c r="O795" s="1581"/>
      <c r="P795" s="1581"/>
      <c r="Q795" s="1581"/>
      <c r="R795" s="1581"/>
      <c r="S795" s="1581"/>
      <c r="T795" s="1581"/>
      <c r="U795" s="1581"/>
      <c r="V795" s="1581"/>
      <c r="W795" s="1581"/>
      <c r="X795" s="1581"/>
      <c r="Y795" s="1581"/>
      <c r="Z795" s="1581"/>
      <c r="AA795" s="1581"/>
      <c r="AB795" s="1581"/>
      <c r="AC795" s="1581"/>
      <c r="AD795" s="1581"/>
      <c r="AE795" s="1581"/>
      <c r="AF795" s="1581"/>
      <c r="AG795" s="1581"/>
      <c r="AH795" s="1581"/>
      <c r="AI795" s="1581"/>
      <c r="AJ795" s="1581"/>
      <c r="AK795" s="1581"/>
      <c r="AL795" s="1581"/>
      <c r="AM795" s="1581"/>
      <c r="AN795" s="1581"/>
    </row>
    <row r="796" spans="1:41" ht="12.75" customHeight="1">
      <c r="A796" s="828" t="s">
        <v>1933</v>
      </c>
      <c r="B796" s="828" t="s">
        <v>81</v>
      </c>
    </row>
    <row r="798" spans="1:41" ht="14.25" customHeight="1">
      <c r="W798" s="1170" t="s">
        <v>1995</v>
      </c>
      <c r="X798" s="1171"/>
      <c r="Y798" s="1171"/>
      <c r="Z798" s="1171"/>
      <c r="AA798" s="1171"/>
      <c r="AB798" s="1171"/>
      <c r="AC798" s="1171"/>
      <c r="AD798" s="1171"/>
      <c r="AE798" s="1171"/>
      <c r="AF798" s="1171"/>
      <c r="AG798" s="1171"/>
      <c r="AH798" s="1171"/>
      <c r="AI798" s="1171"/>
      <c r="AJ798" s="1171"/>
      <c r="AK798" s="1171"/>
      <c r="AL798" s="1171"/>
      <c r="AM798" s="1171"/>
      <c r="AN798" s="1172"/>
    </row>
    <row r="799" spans="1:41">
      <c r="A799" s="1582" t="s">
        <v>1996</v>
      </c>
      <c r="B799" s="1583"/>
      <c r="C799" s="1583"/>
      <c r="D799" s="1584"/>
      <c r="E799" s="1567" t="s">
        <v>796</v>
      </c>
      <c r="F799" s="1567"/>
      <c r="G799" s="1567"/>
      <c r="H799" s="1567"/>
      <c r="I799" s="1567"/>
      <c r="J799" s="1567"/>
      <c r="K799" s="1567"/>
      <c r="L799" s="1567"/>
      <c r="M799" s="1567"/>
      <c r="N799" s="1567"/>
      <c r="O799" s="1567"/>
      <c r="P799" s="1567"/>
      <c r="Q799" s="1567"/>
      <c r="R799" s="1567"/>
      <c r="S799" s="1567"/>
      <c r="T799" s="1567"/>
      <c r="U799" s="1567"/>
      <c r="V799" s="1567"/>
      <c r="W799" s="1568" t="s">
        <v>1039</v>
      </c>
      <c r="X799" s="1569"/>
      <c r="Y799" s="1569"/>
      <c r="Z799" s="1569"/>
      <c r="AA799" s="1569"/>
      <c r="AB799" s="1569"/>
      <c r="AC799" s="1569"/>
      <c r="AD799" s="1569"/>
      <c r="AE799" s="1570"/>
      <c r="AF799" s="1571" t="s">
        <v>278</v>
      </c>
      <c r="AG799" s="1572"/>
      <c r="AH799" s="1572"/>
      <c r="AI799" s="1572"/>
      <c r="AJ799" s="1572"/>
      <c r="AK799" s="1572"/>
      <c r="AL799" s="1572"/>
      <c r="AM799" s="1572"/>
      <c r="AN799" s="1573"/>
      <c r="AO799" s="1187" t="s">
        <v>2766</v>
      </c>
    </row>
    <row r="800" spans="1:41">
      <c r="A800" s="1574" t="str">
        <f>unos!A374</f>
        <v>440</v>
      </c>
      <c r="B800" s="1575"/>
      <c r="C800" s="1575"/>
      <c r="D800" s="1576"/>
      <c r="E800" s="1558" t="str">
        <f>unos!B374</f>
        <v>Obaveze prema uvozniku</v>
      </c>
      <c r="F800" s="1559"/>
      <c r="G800" s="1559"/>
      <c r="H800" s="1559"/>
      <c r="I800" s="1559"/>
      <c r="J800" s="1559"/>
      <c r="K800" s="1559"/>
      <c r="L800" s="1559"/>
      <c r="M800" s="1559"/>
      <c r="N800" s="1559"/>
      <c r="O800" s="1559"/>
      <c r="P800" s="1559"/>
      <c r="Q800" s="1559"/>
      <c r="R800" s="1559"/>
      <c r="S800" s="1559"/>
      <c r="T800" s="1559"/>
      <c r="U800" s="1559"/>
      <c r="V800" s="1559"/>
      <c r="W800" s="1560">
        <f>unos!C374</f>
        <v>0</v>
      </c>
      <c r="X800" s="1561"/>
      <c r="Y800" s="1561"/>
      <c r="Z800" s="1561"/>
      <c r="AA800" s="1561"/>
      <c r="AB800" s="1561"/>
      <c r="AC800" s="1561"/>
      <c r="AD800" s="1561"/>
      <c r="AE800" s="1562"/>
      <c r="AF800" s="1563">
        <f>unos!F374</f>
        <v>0</v>
      </c>
      <c r="AG800" s="1561"/>
      <c r="AH800" s="1561"/>
      <c r="AI800" s="1561"/>
      <c r="AJ800" s="1561"/>
      <c r="AK800" s="1561"/>
      <c r="AL800" s="1561"/>
      <c r="AM800" s="1561"/>
      <c r="AN800" s="1562"/>
      <c r="AO800" s="1186">
        <f t="shared" ref="AO800:AO805" si="33">IF(OR(W800=0,AF800=0),0,ROUND(AF800/W800,4))</f>
        <v>0</v>
      </c>
    </row>
    <row r="801" spans="1:41">
      <c r="A801" s="1574" t="str">
        <f>unos!A375</f>
        <v>441</v>
      </c>
      <c r="B801" s="1575"/>
      <c r="C801" s="1575"/>
      <c r="D801" s="1576"/>
      <c r="E801" s="1558" t="str">
        <f>unos!B375</f>
        <v>Obaveze po osnovu izvoza za tuđi račun</v>
      </c>
      <c r="F801" s="1559"/>
      <c r="G801" s="1559"/>
      <c r="H801" s="1559"/>
      <c r="I801" s="1559"/>
      <c r="J801" s="1559"/>
      <c r="K801" s="1559"/>
      <c r="L801" s="1559"/>
      <c r="M801" s="1559"/>
      <c r="N801" s="1559"/>
      <c r="O801" s="1559"/>
      <c r="P801" s="1559"/>
      <c r="Q801" s="1559"/>
      <c r="R801" s="1559"/>
      <c r="S801" s="1559"/>
      <c r="T801" s="1559"/>
      <c r="U801" s="1559"/>
      <c r="V801" s="1559"/>
      <c r="W801" s="1560">
        <f>unos!C375</f>
        <v>0</v>
      </c>
      <c r="X801" s="1561"/>
      <c r="Y801" s="1561"/>
      <c r="Z801" s="1561"/>
      <c r="AA801" s="1561"/>
      <c r="AB801" s="1561"/>
      <c r="AC801" s="1561"/>
      <c r="AD801" s="1561"/>
      <c r="AE801" s="1562"/>
      <c r="AF801" s="1563">
        <f>unos!F375</f>
        <v>0</v>
      </c>
      <c r="AG801" s="1561"/>
      <c r="AH801" s="1561"/>
      <c r="AI801" s="1561"/>
      <c r="AJ801" s="1561"/>
      <c r="AK801" s="1561"/>
      <c r="AL801" s="1561"/>
      <c r="AM801" s="1561"/>
      <c r="AN801" s="1562"/>
      <c r="AO801" s="1186">
        <f t="shared" si="33"/>
        <v>0</v>
      </c>
    </row>
    <row r="802" spans="1:41">
      <c r="A802" s="1574" t="str">
        <f>unos!A376</f>
        <v>442</v>
      </c>
      <c r="B802" s="1575"/>
      <c r="C802" s="1575"/>
      <c r="D802" s="1576"/>
      <c r="E802" s="1558" t="str">
        <f>unos!B376</f>
        <v>Obaveze po osnovu komisione i konsig.prodaje</v>
      </c>
      <c r="F802" s="1559"/>
      <c r="G802" s="1559"/>
      <c r="H802" s="1559"/>
      <c r="I802" s="1559"/>
      <c r="J802" s="1559"/>
      <c r="K802" s="1559"/>
      <c r="L802" s="1559"/>
      <c r="M802" s="1559"/>
      <c r="N802" s="1559"/>
      <c r="O802" s="1559"/>
      <c r="P802" s="1559"/>
      <c r="Q802" s="1559"/>
      <c r="R802" s="1559"/>
      <c r="S802" s="1559"/>
      <c r="T802" s="1559"/>
      <c r="U802" s="1559"/>
      <c r="V802" s="1559"/>
      <c r="W802" s="1560">
        <f>unos!C376</f>
        <v>0</v>
      </c>
      <c r="X802" s="1561"/>
      <c r="Y802" s="1561"/>
      <c r="Z802" s="1561"/>
      <c r="AA802" s="1561"/>
      <c r="AB802" s="1561"/>
      <c r="AC802" s="1561"/>
      <c r="AD802" s="1561"/>
      <c r="AE802" s="1562"/>
      <c r="AF802" s="1563">
        <f>unos!F376</f>
        <v>0</v>
      </c>
      <c r="AG802" s="1561"/>
      <c r="AH802" s="1561"/>
      <c r="AI802" s="1561"/>
      <c r="AJ802" s="1561"/>
      <c r="AK802" s="1561"/>
      <c r="AL802" s="1561"/>
      <c r="AM802" s="1561"/>
      <c r="AN802" s="1562"/>
      <c r="AO802" s="1186">
        <f t="shared" si="33"/>
        <v>0</v>
      </c>
    </row>
    <row r="803" spans="1:41">
      <c r="A803" s="1574" t="str">
        <f>unos!A377</f>
        <v>443</v>
      </c>
      <c r="B803" s="1575"/>
      <c r="C803" s="1575"/>
      <c r="D803" s="1576"/>
      <c r="E803" s="1558" t="str">
        <f>unos!B377</f>
        <v>Obaveze iz zajedničkih poslova</v>
      </c>
      <c r="F803" s="1559"/>
      <c r="G803" s="1559"/>
      <c r="H803" s="1559"/>
      <c r="I803" s="1559"/>
      <c r="J803" s="1559"/>
      <c r="K803" s="1559"/>
      <c r="L803" s="1559"/>
      <c r="M803" s="1559"/>
      <c r="N803" s="1559"/>
      <c r="O803" s="1559"/>
      <c r="P803" s="1559"/>
      <c r="Q803" s="1559"/>
      <c r="R803" s="1559"/>
      <c r="S803" s="1559"/>
      <c r="T803" s="1559"/>
      <c r="U803" s="1559"/>
      <c r="V803" s="1559"/>
      <c r="W803" s="1560">
        <f>unos!C377</f>
        <v>0</v>
      </c>
      <c r="X803" s="1561"/>
      <c r="Y803" s="1561"/>
      <c r="Z803" s="1561"/>
      <c r="AA803" s="1561"/>
      <c r="AB803" s="1561"/>
      <c r="AC803" s="1561"/>
      <c r="AD803" s="1561"/>
      <c r="AE803" s="1562"/>
      <c r="AF803" s="1563">
        <f>unos!F377</f>
        <v>0</v>
      </c>
      <c r="AG803" s="1561"/>
      <c r="AH803" s="1561"/>
      <c r="AI803" s="1561"/>
      <c r="AJ803" s="1561"/>
      <c r="AK803" s="1561"/>
      <c r="AL803" s="1561"/>
      <c r="AM803" s="1561"/>
      <c r="AN803" s="1562"/>
      <c r="AO803" s="1186">
        <f t="shared" si="33"/>
        <v>0</v>
      </c>
    </row>
    <row r="804" spans="1:41">
      <c r="A804" s="1574" t="str">
        <f>unos!A378</f>
        <v>449</v>
      </c>
      <c r="B804" s="1575"/>
      <c r="C804" s="1575"/>
      <c r="D804" s="1576"/>
      <c r="E804" s="1558" t="str">
        <f>unos!B378</f>
        <v>Ostale obaveze iz specifičnih poslova</v>
      </c>
      <c r="F804" s="1559"/>
      <c r="G804" s="1559"/>
      <c r="H804" s="1559"/>
      <c r="I804" s="1559"/>
      <c r="J804" s="1559"/>
      <c r="K804" s="1559"/>
      <c r="L804" s="1559"/>
      <c r="M804" s="1559"/>
      <c r="N804" s="1559"/>
      <c r="O804" s="1559"/>
      <c r="P804" s="1559"/>
      <c r="Q804" s="1559"/>
      <c r="R804" s="1559"/>
      <c r="S804" s="1559"/>
      <c r="T804" s="1559"/>
      <c r="U804" s="1559"/>
      <c r="V804" s="1559"/>
      <c r="W804" s="1560">
        <f>unos!C378</f>
        <v>0</v>
      </c>
      <c r="X804" s="1561"/>
      <c r="Y804" s="1561"/>
      <c r="Z804" s="1561"/>
      <c r="AA804" s="1561"/>
      <c r="AB804" s="1561"/>
      <c r="AC804" s="1561"/>
      <c r="AD804" s="1561"/>
      <c r="AE804" s="1562"/>
      <c r="AF804" s="1563">
        <f>unos!F378</f>
        <v>0</v>
      </c>
      <c r="AG804" s="1561"/>
      <c r="AH804" s="1561"/>
      <c r="AI804" s="1561"/>
      <c r="AJ804" s="1561"/>
      <c r="AK804" s="1561"/>
      <c r="AL804" s="1561"/>
      <c r="AM804" s="1561"/>
      <c r="AN804" s="1562"/>
      <c r="AO804" s="1186">
        <f t="shared" si="33"/>
        <v>0</v>
      </c>
    </row>
    <row r="805" spans="1:41">
      <c r="A805" s="1577"/>
      <c r="B805" s="1577"/>
      <c r="C805" s="1577"/>
      <c r="D805" s="1577"/>
      <c r="E805" s="1167"/>
      <c r="F805" s="1168"/>
      <c r="G805" s="1168"/>
      <c r="H805" s="1168"/>
      <c r="I805" s="1168"/>
      <c r="J805" s="1168"/>
      <c r="K805" s="1168"/>
      <c r="L805" s="1168"/>
      <c r="M805" s="1168"/>
      <c r="N805" s="1168"/>
      <c r="O805" s="1168"/>
      <c r="P805" s="1168"/>
      <c r="Q805" s="1168"/>
      <c r="R805" s="1168"/>
      <c r="S805" s="1167"/>
      <c r="T805" s="1167"/>
      <c r="U805" s="1167"/>
      <c r="V805" s="1169" t="s">
        <v>1997</v>
      </c>
      <c r="W805" s="1578">
        <f>SUM(W800:W804)</f>
        <v>0</v>
      </c>
      <c r="X805" s="1579"/>
      <c r="Y805" s="1579"/>
      <c r="Z805" s="1579"/>
      <c r="AA805" s="1579"/>
      <c r="AB805" s="1579"/>
      <c r="AC805" s="1579"/>
      <c r="AD805" s="1579"/>
      <c r="AE805" s="1580"/>
      <c r="AF805" s="1578">
        <f>SUM(AF800:AF804)</f>
        <v>0</v>
      </c>
      <c r="AG805" s="1579"/>
      <c r="AH805" s="1579"/>
      <c r="AI805" s="1579"/>
      <c r="AJ805" s="1579"/>
      <c r="AK805" s="1579"/>
      <c r="AL805" s="1579"/>
      <c r="AM805" s="1579"/>
      <c r="AN805" s="1580"/>
      <c r="AO805" s="1185">
        <f t="shared" si="33"/>
        <v>0</v>
      </c>
    </row>
    <row r="807" spans="1:41">
      <c r="A807" s="1581"/>
      <c r="B807" s="1581"/>
      <c r="C807" s="1581"/>
      <c r="D807" s="1581"/>
      <c r="E807" s="1581"/>
      <c r="F807" s="1581"/>
      <c r="G807" s="1581"/>
      <c r="H807" s="1581"/>
      <c r="I807" s="1581"/>
      <c r="J807" s="1581"/>
      <c r="K807" s="1581"/>
      <c r="L807" s="1581"/>
      <c r="M807" s="1581"/>
      <c r="N807" s="1581"/>
      <c r="O807" s="1581"/>
      <c r="P807" s="1581"/>
      <c r="Q807" s="1581"/>
      <c r="R807" s="1581"/>
      <c r="S807" s="1581"/>
      <c r="T807" s="1581"/>
      <c r="U807" s="1581"/>
      <c r="V807" s="1581"/>
      <c r="W807" s="1581"/>
      <c r="X807" s="1581"/>
      <c r="Y807" s="1581"/>
      <c r="Z807" s="1581"/>
      <c r="AA807" s="1581"/>
      <c r="AB807" s="1581"/>
      <c r="AC807" s="1581"/>
      <c r="AD807" s="1581"/>
      <c r="AE807" s="1581"/>
      <c r="AF807" s="1581"/>
      <c r="AG807" s="1581"/>
      <c r="AH807" s="1581"/>
      <c r="AI807" s="1581"/>
      <c r="AJ807" s="1581"/>
      <c r="AK807" s="1581"/>
      <c r="AL807" s="1581"/>
      <c r="AM807" s="1581"/>
      <c r="AN807" s="1581"/>
    </row>
    <row r="808" spans="1:41">
      <c r="A808" s="1581"/>
      <c r="B808" s="1581"/>
      <c r="C808" s="1581"/>
      <c r="D808" s="1581"/>
      <c r="E808" s="1581"/>
      <c r="F808" s="1581"/>
      <c r="G808" s="1581"/>
      <c r="H808" s="1581"/>
      <c r="I808" s="1581"/>
      <c r="J808" s="1581"/>
      <c r="K808" s="1581"/>
      <c r="L808" s="1581"/>
      <c r="M808" s="1581"/>
      <c r="N808" s="1581"/>
      <c r="O808" s="1581"/>
      <c r="P808" s="1581"/>
      <c r="Q808" s="1581"/>
      <c r="R808" s="1581"/>
      <c r="S808" s="1581"/>
      <c r="T808" s="1581"/>
      <c r="U808" s="1581"/>
      <c r="V808" s="1581"/>
      <c r="W808" s="1581"/>
      <c r="X808" s="1581"/>
      <c r="Y808" s="1581"/>
      <c r="Z808" s="1581"/>
      <c r="AA808" s="1581"/>
      <c r="AB808" s="1581"/>
      <c r="AC808" s="1581"/>
      <c r="AD808" s="1581"/>
      <c r="AE808" s="1581"/>
      <c r="AF808" s="1581"/>
      <c r="AG808" s="1581"/>
      <c r="AH808" s="1581"/>
      <c r="AI808" s="1581"/>
      <c r="AJ808" s="1581"/>
      <c r="AK808" s="1581"/>
      <c r="AL808" s="1581"/>
      <c r="AM808" s="1581"/>
      <c r="AN808" s="1581"/>
    </row>
    <row r="809" spans="1:41">
      <c r="A809" s="1581"/>
      <c r="B809" s="1581"/>
      <c r="C809" s="1581"/>
      <c r="D809" s="1581"/>
      <c r="E809" s="1581"/>
      <c r="F809" s="1581"/>
      <c r="G809" s="1581"/>
      <c r="H809" s="1581"/>
      <c r="I809" s="1581"/>
      <c r="J809" s="1581"/>
      <c r="K809" s="1581"/>
      <c r="L809" s="1581"/>
      <c r="M809" s="1581"/>
      <c r="N809" s="1581"/>
      <c r="O809" s="1581"/>
      <c r="P809" s="1581"/>
      <c r="Q809" s="1581"/>
      <c r="R809" s="1581"/>
      <c r="S809" s="1581"/>
      <c r="T809" s="1581"/>
      <c r="U809" s="1581"/>
      <c r="V809" s="1581"/>
      <c r="W809" s="1581"/>
      <c r="X809" s="1581"/>
      <c r="Y809" s="1581"/>
      <c r="Z809" s="1581"/>
      <c r="AA809" s="1581"/>
      <c r="AB809" s="1581"/>
      <c r="AC809" s="1581"/>
      <c r="AD809" s="1581"/>
      <c r="AE809" s="1581"/>
      <c r="AF809" s="1581"/>
      <c r="AG809" s="1581"/>
      <c r="AH809" s="1581"/>
      <c r="AI809" s="1581"/>
      <c r="AJ809" s="1581"/>
      <c r="AK809" s="1581"/>
      <c r="AL809" s="1581"/>
      <c r="AM809" s="1581"/>
      <c r="AN809" s="1581"/>
    </row>
    <row r="810" spans="1:41">
      <c r="A810" s="1581"/>
      <c r="B810" s="1581"/>
      <c r="C810" s="1581"/>
      <c r="D810" s="1581"/>
      <c r="E810" s="1581"/>
      <c r="F810" s="1581"/>
      <c r="G810" s="1581"/>
      <c r="H810" s="1581"/>
      <c r="I810" s="1581"/>
      <c r="J810" s="1581"/>
      <c r="K810" s="1581"/>
      <c r="L810" s="1581"/>
      <c r="M810" s="1581"/>
      <c r="N810" s="1581"/>
      <c r="O810" s="1581"/>
      <c r="P810" s="1581"/>
      <c r="Q810" s="1581"/>
      <c r="R810" s="1581"/>
      <c r="S810" s="1581"/>
      <c r="T810" s="1581"/>
      <c r="U810" s="1581"/>
      <c r="V810" s="1581"/>
      <c r="W810" s="1581"/>
      <c r="X810" s="1581"/>
      <c r="Y810" s="1581"/>
      <c r="Z810" s="1581"/>
      <c r="AA810" s="1581"/>
      <c r="AB810" s="1581"/>
      <c r="AC810" s="1581"/>
      <c r="AD810" s="1581"/>
      <c r="AE810" s="1581"/>
      <c r="AF810" s="1581"/>
      <c r="AG810" s="1581"/>
      <c r="AH810" s="1581"/>
      <c r="AI810" s="1581"/>
      <c r="AJ810" s="1581"/>
      <c r="AK810" s="1581"/>
      <c r="AL810" s="1581"/>
      <c r="AM810" s="1581"/>
      <c r="AN810" s="1581"/>
    </row>
    <row r="811" spans="1:41" ht="12.75" customHeight="1">
      <c r="A811" s="828" t="s">
        <v>1933</v>
      </c>
      <c r="B811" s="828" t="s">
        <v>82</v>
      </c>
    </row>
    <row r="813" spans="1:41" ht="14.25" customHeight="1">
      <c r="W813" s="1170" t="s">
        <v>1995</v>
      </c>
      <c r="X813" s="1171"/>
      <c r="Y813" s="1171"/>
      <c r="Z813" s="1171"/>
      <c r="AA813" s="1171"/>
      <c r="AB813" s="1171"/>
      <c r="AC813" s="1171"/>
      <c r="AD813" s="1171"/>
      <c r="AE813" s="1171"/>
      <c r="AF813" s="1171"/>
      <c r="AG813" s="1171"/>
      <c r="AH813" s="1171"/>
      <c r="AI813" s="1171"/>
      <c r="AJ813" s="1171"/>
      <c r="AK813" s="1171"/>
      <c r="AL813" s="1171"/>
      <c r="AM813" s="1171"/>
      <c r="AN813" s="1172"/>
    </row>
    <row r="814" spans="1:41">
      <c r="A814" s="1582" t="s">
        <v>1996</v>
      </c>
      <c r="B814" s="1583"/>
      <c r="C814" s="1583"/>
      <c r="D814" s="1584"/>
      <c r="E814" s="1567" t="s">
        <v>796</v>
      </c>
      <c r="F814" s="1567"/>
      <c r="G814" s="1567"/>
      <c r="H814" s="1567"/>
      <c r="I814" s="1567"/>
      <c r="J814" s="1567"/>
      <c r="K814" s="1567"/>
      <c r="L814" s="1567"/>
      <c r="M814" s="1567"/>
      <c r="N814" s="1567"/>
      <c r="O814" s="1567"/>
      <c r="P814" s="1567"/>
      <c r="Q814" s="1567"/>
      <c r="R814" s="1567"/>
      <c r="S814" s="1567"/>
      <c r="T814" s="1567"/>
      <c r="U814" s="1567"/>
      <c r="V814" s="1567"/>
      <c r="W814" s="1568" t="s">
        <v>1039</v>
      </c>
      <c r="X814" s="1569"/>
      <c r="Y814" s="1569"/>
      <c r="Z814" s="1569"/>
      <c r="AA814" s="1569"/>
      <c r="AB814" s="1569"/>
      <c r="AC814" s="1569"/>
      <c r="AD814" s="1569"/>
      <c r="AE814" s="1570"/>
      <c r="AF814" s="1571" t="s">
        <v>278</v>
      </c>
      <c r="AG814" s="1572"/>
      <c r="AH814" s="1572"/>
      <c r="AI814" s="1572"/>
      <c r="AJ814" s="1572"/>
      <c r="AK814" s="1572"/>
      <c r="AL814" s="1572"/>
      <c r="AM814" s="1572"/>
      <c r="AN814" s="1573"/>
      <c r="AO814" s="1187" t="s">
        <v>2766</v>
      </c>
    </row>
    <row r="815" spans="1:41">
      <c r="A815" s="1574" t="str">
        <f>unos!A379</f>
        <v>450</v>
      </c>
      <c r="B815" s="1575"/>
      <c r="C815" s="1575"/>
      <c r="D815" s="1576"/>
      <c r="E815" s="1558" t="str">
        <f>unos!B379</f>
        <v>Obaveze za neto plaće i naknade plaća</v>
      </c>
      <c r="F815" s="1559"/>
      <c r="G815" s="1559"/>
      <c r="H815" s="1559"/>
      <c r="I815" s="1559"/>
      <c r="J815" s="1559"/>
      <c r="K815" s="1559"/>
      <c r="L815" s="1559"/>
      <c r="M815" s="1559"/>
      <c r="N815" s="1559"/>
      <c r="O815" s="1559"/>
      <c r="P815" s="1559"/>
      <c r="Q815" s="1559"/>
      <c r="R815" s="1559"/>
      <c r="S815" s="1559"/>
      <c r="T815" s="1559"/>
      <c r="U815" s="1559"/>
      <c r="V815" s="1559"/>
      <c r="W815" s="1560">
        <f>unos!C379</f>
        <v>0</v>
      </c>
      <c r="X815" s="1561"/>
      <c r="Y815" s="1561"/>
      <c r="Z815" s="1561"/>
      <c r="AA815" s="1561"/>
      <c r="AB815" s="1561"/>
      <c r="AC815" s="1561"/>
      <c r="AD815" s="1561"/>
      <c r="AE815" s="1562"/>
      <c r="AF815" s="1563">
        <f>unos!F379</f>
        <v>0</v>
      </c>
      <c r="AG815" s="1561"/>
      <c r="AH815" s="1561"/>
      <c r="AI815" s="1561"/>
      <c r="AJ815" s="1561"/>
      <c r="AK815" s="1561"/>
      <c r="AL815" s="1561"/>
      <c r="AM815" s="1561"/>
      <c r="AN815" s="1562"/>
      <c r="AO815" s="1186">
        <f>IF(OR(W815=0,AF815=0),0,ROUND(AF815/W815,4))</f>
        <v>0</v>
      </c>
    </row>
    <row r="816" spans="1:41">
      <c r="A816" s="1574" t="str">
        <f>unos!A380</f>
        <v>451</v>
      </c>
      <c r="B816" s="1575"/>
      <c r="C816" s="1575"/>
      <c r="D816" s="1576"/>
      <c r="E816" s="1558" t="str">
        <f>unos!B380</f>
        <v>Obaveze za porez i posebne dadžb.na plaće i n</v>
      </c>
      <c r="F816" s="1559"/>
      <c r="G816" s="1559"/>
      <c r="H816" s="1559"/>
      <c r="I816" s="1559"/>
      <c r="J816" s="1559"/>
      <c r="K816" s="1559"/>
      <c r="L816" s="1559"/>
      <c r="M816" s="1559"/>
      <c r="N816" s="1559"/>
      <c r="O816" s="1559"/>
      <c r="P816" s="1559"/>
      <c r="Q816" s="1559"/>
      <c r="R816" s="1559"/>
      <c r="S816" s="1559"/>
      <c r="T816" s="1559"/>
      <c r="U816" s="1559"/>
      <c r="V816" s="1559"/>
      <c r="W816" s="1560">
        <f>unos!C380</f>
        <v>0</v>
      </c>
      <c r="X816" s="1561"/>
      <c r="Y816" s="1561"/>
      <c r="Z816" s="1561"/>
      <c r="AA816" s="1561"/>
      <c r="AB816" s="1561"/>
      <c r="AC816" s="1561"/>
      <c r="AD816" s="1561"/>
      <c r="AE816" s="1562"/>
      <c r="AF816" s="1563">
        <f>unos!F380</f>
        <v>0</v>
      </c>
      <c r="AG816" s="1561"/>
      <c r="AH816" s="1561"/>
      <c r="AI816" s="1561"/>
      <c r="AJ816" s="1561"/>
      <c r="AK816" s="1561"/>
      <c r="AL816" s="1561"/>
      <c r="AM816" s="1561"/>
      <c r="AN816" s="1562"/>
      <c r="AO816" s="1186">
        <f t="shared" ref="AO816:AO824" si="34">IF(OR(W816=0,AF816=0),0,ROUND(AF816/W816,4))</f>
        <v>0</v>
      </c>
    </row>
    <row r="817" spans="1:41">
      <c r="A817" s="1574" t="str">
        <f>unos!A381</f>
        <v>452</v>
      </c>
      <c r="B817" s="1575"/>
      <c r="C817" s="1575"/>
      <c r="D817" s="1576"/>
      <c r="E817" s="1558" t="str">
        <f>unos!B381</f>
        <v>Obaveze za doprinose u vezi plaća i nakn.plać</v>
      </c>
      <c r="F817" s="1559"/>
      <c r="G817" s="1559"/>
      <c r="H817" s="1559"/>
      <c r="I817" s="1559"/>
      <c r="J817" s="1559"/>
      <c r="K817" s="1559"/>
      <c r="L817" s="1559"/>
      <c r="M817" s="1559"/>
      <c r="N817" s="1559"/>
      <c r="O817" s="1559"/>
      <c r="P817" s="1559"/>
      <c r="Q817" s="1559"/>
      <c r="R817" s="1559"/>
      <c r="S817" s="1559"/>
      <c r="T817" s="1559"/>
      <c r="U817" s="1559"/>
      <c r="V817" s="1559"/>
      <c r="W817" s="1560">
        <f>unos!C381</f>
        <v>0</v>
      </c>
      <c r="X817" s="1561"/>
      <c r="Y817" s="1561"/>
      <c r="Z817" s="1561"/>
      <c r="AA817" s="1561"/>
      <c r="AB817" s="1561"/>
      <c r="AC817" s="1561"/>
      <c r="AD817" s="1561"/>
      <c r="AE817" s="1562"/>
      <c r="AF817" s="1563">
        <f>unos!F381</f>
        <v>0</v>
      </c>
      <c r="AG817" s="1561"/>
      <c r="AH817" s="1561"/>
      <c r="AI817" s="1561"/>
      <c r="AJ817" s="1561"/>
      <c r="AK817" s="1561"/>
      <c r="AL817" s="1561"/>
      <c r="AM817" s="1561"/>
      <c r="AN817" s="1562"/>
      <c r="AO817" s="1186">
        <f t="shared" si="34"/>
        <v>0</v>
      </c>
    </row>
    <row r="818" spans="1:41">
      <c r="A818" s="1574" t="str">
        <f>unos!A382</f>
        <v>453</v>
      </c>
      <c r="B818" s="1575"/>
      <c r="C818" s="1575"/>
      <c r="D818" s="1576"/>
      <c r="E818" s="1558" t="str">
        <f>unos!B382</f>
        <v>Obaveze za neto naknade plaća koje se refundi</v>
      </c>
      <c r="F818" s="1559"/>
      <c r="G818" s="1559"/>
      <c r="H818" s="1559"/>
      <c r="I818" s="1559"/>
      <c r="J818" s="1559"/>
      <c r="K818" s="1559"/>
      <c r="L818" s="1559"/>
      <c r="M818" s="1559"/>
      <c r="N818" s="1559"/>
      <c r="O818" s="1559"/>
      <c r="P818" s="1559"/>
      <c r="Q818" s="1559"/>
      <c r="R818" s="1559"/>
      <c r="S818" s="1559"/>
      <c r="T818" s="1559"/>
      <c r="U818" s="1559"/>
      <c r="V818" s="1559"/>
      <c r="W818" s="1560">
        <f>unos!C382</f>
        <v>0</v>
      </c>
      <c r="X818" s="1561"/>
      <c r="Y818" s="1561"/>
      <c r="Z818" s="1561"/>
      <c r="AA818" s="1561"/>
      <c r="AB818" s="1561"/>
      <c r="AC818" s="1561"/>
      <c r="AD818" s="1561"/>
      <c r="AE818" s="1562"/>
      <c r="AF818" s="1563">
        <f>unos!F382</f>
        <v>0</v>
      </c>
      <c r="AG818" s="1561"/>
      <c r="AH818" s="1561"/>
      <c r="AI818" s="1561"/>
      <c r="AJ818" s="1561"/>
      <c r="AK818" s="1561"/>
      <c r="AL818" s="1561"/>
      <c r="AM818" s="1561"/>
      <c r="AN818" s="1562"/>
      <c r="AO818" s="1186">
        <f t="shared" si="34"/>
        <v>0</v>
      </c>
    </row>
    <row r="819" spans="1:41">
      <c r="A819" s="1574" t="str">
        <f>unos!A383</f>
        <v>454</v>
      </c>
      <c r="B819" s="1575"/>
      <c r="C819" s="1575"/>
      <c r="D819" s="1576"/>
      <c r="E819" s="1558" t="str">
        <f>unos!B383</f>
        <v>Obav.za porez i pos.dadžb.na plać.koje refund</v>
      </c>
      <c r="F819" s="1559"/>
      <c r="G819" s="1559"/>
      <c r="H819" s="1559"/>
      <c r="I819" s="1559"/>
      <c r="J819" s="1559"/>
      <c r="K819" s="1559"/>
      <c r="L819" s="1559"/>
      <c r="M819" s="1559"/>
      <c r="N819" s="1559"/>
      <c r="O819" s="1559"/>
      <c r="P819" s="1559"/>
      <c r="Q819" s="1559"/>
      <c r="R819" s="1559"/>
      <c r="S819" s="1559"/>
      <c r="T819" s="1559"/>
      <c r="U819" s="1559"/>
      <c r="V819" s="1559"/>
      <c r="W819" s="1560">
        <f>unos!C383</f>
        <v>0</v>
      </c>
      <c r="X819" s="1561"/>
      <c r="Y819" s="1561"/>
      <c r="Z819" s="1561"/>
      <c r="AA819" s="1561"/>
      <c r="AB819" s="1561"/>
      <c r="AC819" s="1561"/>
      <c r="AD819" s="1561"/>
      <c r="AE819" s="1562"/>
      <c r="AF819" s="1563">
        <f>unos!F383</f>
        <v>0</v>
      </c>
      <c r="AG819" s="1561"/>
      <c r="AH819" s="1561"/>
      <c r="AI819" s="1561"/>
      <c r="AJ819" s="1561"/>
      <c r="AK819" s="1561"/>
      <c r="AL819" s="1561"/>
      <c r="AM819" s="1561"/>
      <c r="AN819" s="1562"/>
      <c r="AO819" s="1186">
        <f t="shared" si="34"/>
        <v>0</v>
      </c>
    </row>
    <row r="820" spans="1:41">
      <c r="A820" s="1574" t="str">
        <f>unos!A384</f>
        <v>455</v>
      </c>
      <c r="B820" s="1575"/>
      <c r="C820" s="1575"/>
      <c r="D820" s="1576"/>
      <c r="E820" s="1558" t="str">
        <f>unos!B384</f>
        <v>Obaveze na doprinose u vez plaća koje se refu</v>
      </c>
      <c r="F820" s="1559"/>
      <c r="G820" s="1559"/>
      <c r="H820" s="1559"/>
      <c r="I820" s="1559"/>
      <c r="J820" s="1559"/>
      <c r="K820" s="1559"/>
      <c r="L820" s="1559"/>
      <c r="M820" s="1559"/>
      <c r="N820" s="1559"/>
      <c r="O820" s="1559"/>
      <c r="P820" s="1559"/>
      <c r="Q820" s="1559"/>
      <c r="R820" s="1559"/>
      <c r="S820" s="1559"/>
      <c r="T820" s="1559"/>
      <c r="U820" s="1559"/>
      <c r="V820" s="1559"/>
      <c r="W820" s="1560">
        <f>unos!C384</f>
        <v>0</v>
      </c>
      <c r="X820" s="1561"/>
      <c r="Y820" s="1561"/>
      <c r="Z820" s="1561"/>
      <c r="AA820" s="1561"/>
      <c r="AB820" s="1561"/>
      <c r="AC820" s="1561"/>
      <c r="AD820" s="1561"/>
      <c r="AE820" s="1562"/>
      <c r="AF820" s="1563">
        <f>unos!F384</f>
        <v>0</v>
      </c>
      <c r="AG820" s="1561"/>
      <c r="AH820" s="1561"/>
      <c r="AI820" s="1561"/>
      <c r="AJ820" s="1561"/>
      <c r="AK820" s="1561"/>
      <c r="AL820" s="1561"/>
      <c r="AM820" s="1561"/>
      <c r="AN820" s="1562"/>
      <c r="AO820" s="1186">
        <f t="shared" si="34"/>
        <v>0</v>
      </c>
    </row>
    <row r="821" spans="1:41">
      <c r="A821" s="1574" t="str">
        <f>unos!A385</f>
        <v>456</v>
      </c>
      <c r="B821" s="1575"/>
      <c r="C821" s="1575"/>
      <c r="D821" s="1576"/>
      <c r="E821" s="1558" t="str">
        <f>unos!B385</f>
        <v>Obaveze za ostala neto prim.nakn.i mater.prav</v>
      </c>
      <c r="F821" s="1559"/>
      <c r="G821" s="1559"/>
      <c r="H821" s="1559"/>
      <c r="I821" s="1559"/>
      <c r="J821" s="1559"/>
      <c r="K821" s="1559"/>
      <c r="L821" s="1559"/>
      <c r="M821" s="1559"/>
      <c r="N821" s="1559"/>
      <c r="O821" s="1559"/>
      <c r="P821" s="1559"/>
      <c r="Q821" s="1559"/>
      <c r="R821" s="1559"/>
      <c r="S821" s="1559"/>
      <c r="T821" s="1559"/>
      <c r="U821" s="1559"/>
      <c r="V821" s="1559"/>
      <c r="W821" s="1560">
        <f>unos!C385</f>
        <v>0</v>
      </c>
      <c r="X821" s="1561"/>
      <c r="Y821" s="1561"/>
      <c r="Z821" s="1561"/>
      <c r="AA821" s="1561"/>
      <c r="AB821" s="1561"/>
      <c r="AC821" s="1561"/>
      <c r="AD821" s="1561"/>
      <c r="AE821" s="1562"/>
      <c r="AF821" s="1563">
        <f>unos!F385</f>
        <v>0</v>
      </c>
      <c r="AG821" s="1561"/>
      <c r="AH821" s="1561"/>
      <c r="AI821" s="1561"/>
      <c r="AJ821" s="1561"/>
      <c r="AK821" s="1561"/>
      <c r="AL821" s="1561"/>
      <c r="AM821" s="1561"/>
      <c r="AN821" s="1562"/>
      <c r="AO821" s="1186">
        <f t="shared" si="34"/>
        <v>0</v>
      </c>
    </row>
    <row r="822" spans="1:41">
      <c r="A822" s="1574" t="str">
        <f>unos!A386</f>
        <v>457</v>
      </c>
      <c r="B822" s="1575"/>
      <c r="C822" s="1575"/>
      <c r="D822" s="1576"/>
      <c r="E822" s="1558" t="str">
        <f>unos!B386</f>
        <v>Obav.za porez i pos.dadžb.na ostala primanja</v>
      </c>
      <c r="F822" s="1559"/>
      <c r="G822" s="1559"/>
      <c r="H822" s="1559"/>
      <c r="I822" s="1559"/>
      <c r="J822" s="1559"/>
      <c r="K822" s="1559"/>
      <c r="L822" s="1559"/>
      <c r="M822" s="1559"/>
      <c r="N822" s="1559"/>
      <c r="O822" s="1559"/>
      <c r="P822" s="1559"/>
      <c r="Q822" s="1559"/>
      <c r="R822" s="1559"/>
      <c r="S822" s="1559"/>
      <c r="T822" s="1559"/>
      <c r="U822" s="1559"/>
      <c r="V822" s="1559"/>
      <c r="W822" s="1560">
        <f>unos!C386</f>
        <v>0</v>
      </c>
      <c r="X822" s="1561"/>
      <c r="Y822" s="1561"/>
      <c r="Z822" s="1561"/>
      <c r="AA822" s="1561"/>
      <c r="AB822" s="1561"/>
      <c r="AC822" s="1561"/>
      <c r="AD822" s="1561"/>
      <c r="AE822" s="1562"/>
      <c r="AF822" s="1563">
        <f>unos!F386</f>
        <v>0</v>
      </c>
      <c r="AG822" s="1561"/>
      <c r="AH822" s="1561"/>
      <c r="AI822" s="1561"/>
      <c r="AJ822" s="1561"/>
      <c r="AK822" s="1561"/>
      <c r="AL822" s="1561"/>
      <c r="AM822" s="1561"/>
      <c r="AN822" s="1562"/>
      <c r="AO822" s="1186">
        <f t="shared" si="34"/>
        <v>0</v>
      </c>
    </row>
    <row r="823" spans="1:41">
      <c r="A823" s="1574" t="str">
        <f>unos!A387</f>
        <v>458</v>
      </c>
      <c r="B823" s="1575"/>
      <c r="C823" s="1575"/>
      <c r="D823" s="1576"/>
      <c r="E823" s="1558" t="str">
        <f>unos!B387</f>
        <v>Obav.za doprinose u vezi stalih primanja zap.</v>
      </c>
      <c r="F823" s="1559"/>
      <c r="G823" s="1559"/>
      <c r="H823" s="1559"/>
      <c r="I823" s="1559"/>
      <c r="J823" s="1559"/>
      <c r="K823" s="1559"/>
      <c r="L823" s="1559"/>
      <c r="M823" s="1559"/>
      <c r="N823" s="1559"/>
      <c r="O823" s="1559"/>
      <c r="P823" s="1559"/>
      <c r="Q823" s="1559"/>
      <c r="R823" s="1559"/>
      <c r="S823" s="1559"/>
      <c r="T823" s="1559"/>
      <c r="U823" s="1559"/>
      <c r="V823" s="1559"/>
      <c r="W823" s="1560">
        <f>unos!C387</f>
        <v>0</v>
      </c>
      <c r="X823" s="1561"/>
      <c r="Y823" s="1561"/>
      <c r="Z823" s="1561"/>
      <c r="AA823" s="1561"/>
      <c r="AB823" s="1561"/>
      <c r="AC823" s="1561"/>
      <c r="AD823" s="1561"/>
      <c r="AE823" s="1562"/>
      <c r="AF823" s="1563">
        <f>unos!F387</f>
        <v>0</v>
      </c>
      <c r="AG823" s="1561"/>
      <c r="AH823" s="1561"/>
      <c r="AI823" s="1561"/>
      <c r="AJ823" s="1561"/>
      <c r="AK823" s="1561"/>
      <c r="AL823" s="1561"/>
      <c r="AM823" s="1561"/>
      <c r="AN823" s="1562"/>
      <c r="AO823" s="1186">
        <f t="shared" si="34"/>
        <v>0</v>
      </c>
    </row>
    <row r="824" spans="1:41">
      <c r="A824" s="1577"/>
      <c r="B824" s="1577"/>
      <c r="C824" s="1577"/>
      <c r="D824" s="1577"/>
      <c r="E824" s="1167"/>
      <c r="F824" s="1168"/>
      <c r="G824" s="1168"/>
      <c r="H824" s="1168"/>
      <c r="I824" s="1168"/>
      <c r="J824" s="1168"/>
      <c r="K824" s="1168"/>
      <c r="L824" s="1168"/>
      <c r="M824" s="1168"/>
      <c r="N824" s="1168"/>
      <c r="O824" s="1168"/>
      <c r="P824" s="1168"/>
      <c r="Q824" s="1168"/>
      <c r="R824" s="1168"/>
      <c r="S824" s="1167"/>
      <c r="T824" s="1167"/>
      <c r="U824" s="1167"/>
      <c r="V824" s="1169" t="s">
        <v>1997</v>
      </c>
      <c r="W824" s="1578">
        <f>SUM(W815:W823)</f>
        <v>0</v>
      </c>
      <c r="X824" s="1579"/>
      <c r="Y824" s="1579"/>
      <c r="Z824" s="1579"/>
      <c r="AA824" s="1579"/>
      <c r="AB824" s="1579"/>
      <c r="AC824" s="1579"/>
      <c r="AD824" s="1579"/>
      <c r="AE824" s="1580"/>
      <c r="AF824" s="1578">
        <f>SUM(AF815:AF823)</f>
        <v>0</v>
      </c>
      <c r="AG824" s="1579"/>
      <c r="AH824" s="1579"/>
      <c r="AI824" s="1579"/>
      <c r="AJ824" s="1579"/>
      <c r="AK824" s="1579"/>
      <c r="AL824" s="1579"/>
      <c r="AM824" s="1579"/>
      <c r="AN824" s="1580"/>
      <c r="AO824" s="1185">
        <f t="shared" si="34"/>
        <v>0</v>
      </c>
    </row>
    <row r="826" spans="1:41">
      <c r="A826" s="1581"/>
      <c r="B826" s="1581"/>
      <c r="C826" s="1581"/>
      <c r="D826" s="1581"/>
      <c r="E826" s="1581"/>
      <c r="F826" s="1581"/>
      <c r="G826" s="1581"/>
      <c r="H826" s="1581"/>
      <c r="I826" s="1581"/>
      <c r="J826" s="1581"/>
      <c r="K826" s="1581"/>
      <c r="L826" s="1581"/>
      <c r="M826" s="1581"/>
      <c r="N826" s="1581"/>
      <c r="O826" s="1581"/>
      <c r="P826" s="1581"/>
      <c r="Q826" s="1581"/>
      <c r="R826" s="1581"/>
      <c r="S826" s="1581"/>
      <c r="T826" s="1581"/>
      <c r="U826" s="1581"/>
      <c r="V826" s="1581"/>
      <c r="W826" s="1581"/>
      <c r="X826" s="1581"/>
      <c r="Y826" s="1581"/>
      <c r="Z826" s="1581"/>
      <c r="AA826" s="1581"/>
      <c r="AB826" s="1581"/>
      <c r="AC826" s="1581"/>
      <c r="AD826" s="1581"/>
      <c r="AE826" s="1581"/>
      <c r="AF826" s="1581"/>
      <c r="AG826" s="1581"/>
      <c r="AH826" s="1581"/>
      <c r="AI826" s="1581"/>
      <c r="AJ826" s="1581"/>
      <c r="AK826" s="1581"/>
      <c r="AL826" s="1581"/>
      <c r="AM826" s="1581"/>
      <c r="AN826" s="1581"/>
    </row>
    <row r="827" spans="1:41">
      <c r="A827" s="1581"/>
      <c r="B827" s="1581"/>
      <c r="C827" s="1581"/>
      <c r="D827" s="1581"/>
      <c r="E827" s="1581"/>
      <c r="F827" s="1581"/>
      <c r="G827" s="1581"/>
      <c r="H827" s="1581"/>
      <c r="I827" s="1581"/>
      <c r="J827" s="1581"/>
      <c r="K827" s="1581"/>
      <c r="L827" s="1581"/>
      <c r="M827" s="1581"/>
      <c r="N827" s="1581"/>
      <c r="O827" s="1581"/>
      <c r="P827" s="1581"/>
      <c r="Q827" s="1581"/>
      <c r="R827" s="1581"/>
      <c r="S827" s="1581"/>
      <c r="T827" s="1581"/>
      <c r="U827" s="1581"/>
      <c r="V827" s="1581"/>
      <c r="W827" s="1581"/>
      <c r="X827" s="1581"/>
      <c r="Y827" s="1581"/>
      <c r="Z827" s="1581"/>
      <c r="AA827" s="1581"/>
      <c r="AB827" s="1581"/>
      <c r="AC827" s="1581"/>
      <c r="AD827" s="1581"/>
      <c r="AE827" s="1581"/>
      <c r="AF827" s="1581"/>
      <c r="AG827" s="1581"/>
      <c r="AH827" s="1581"/>
      <c r="AI827" s="1581"/>
      <c r="AJ827" s="1581"/>
      <c r="AK827" s="1581"/>
      <c r="AL827" s="1581"/>
      <c r="AM827" s="1581"/>
      <c r="AN827" s="1581"/>
    </row>
    <row r="828" spans="1:41">
      <c r="A828" s="1581"/>
      <c r="B828" s="1581"/>
      <c r="C828" s="1581"/>
      <c r="D828" s="1581"/>
      <c r="E828" s="1581"/>
      <c r="F828" s="1581"/>
      <c r="G828" s="1581"/>
      <c r="H828" s="1581"/>
      <c r="I828" s="1581"/>
      <c r="J828" s="1581"/>
      <c r="K828" s="1581"/>
      <c r="L828" s="1581"/>
      <c r="M828" s="1581"/>
      <c r="N828" s="1581"/>
      <c r="O828" s="1581"/>
      <c r="P828" s="1581"/>
      <c r="Q828" s="1581"/>
      <c r="R828" s="1581"/>
      <c r="S828" s="1581"/>
      <c r="T828" s="1581"/>
      <c r="U828" s="1581"/>
      <c r="V828" s="1581"/>
      <c r="W828" s="1581"/>
      <c r="X828" s="1581"/>
      <c r="Y828" s="1581"/>
      <c r="Z828" s="1581"/>
      <c r="AA828" s="1581"/>
      <c r="AB828" s="1581"/>
      <c r="AC828" s="1581"/>
      <c r="AD828" s="1581"/>
      <c r="AE828" s="1581"/>
      <c r="AF828" s="1581"/>
      <c r="AG828" s="1581"/>
      <c r="AH828" s="1581"/>
      <c r="AI828" s="1581"/>
      <c r="AJ828" s="1581"/>
      <c r="AK828" s="1581"/>
      <c r="AL828" s="1581"/>
      <c r="AM828" s="1581"/>
      <c r="AN828" s="1581"/>
    </row>
    <row r="829" spans="1:41">
      <c r="A829" s="1581"/>
      <c r="B829" s="1581"/>
      <c r="C829" s="1581"/>
      <c r="D829" s="1581"/>
      <c r="E829" s="1581"/>
      <c r="F829" s="1581"/>
      <c r="G829" s="1581"/>
      <c r="H829" s="1581"/>
      <c r="I829" s="1581"/>
      <c r="J829" s="1581"/>
      <c r="K829" s="1581"/>
      <c r="L829" s="1581"/>
      <c r="M829" s="1581"/>
      <c r="N829" s="1581"/>
      <c r="O829" s="1581"/>
      <c r="P829" s="1581"/>
      <c r="Q829" s="1581"/>
      <c r="R829" s="1581"/>
      <c r="S829" s="1581"/>
      <c r="T829" s="1581"/>
      <c r="U829" s="1581"/>
      <c r="V829" s="1581"/>
      <c r="W829" s="1581"/>
      <c r="X829" s="1581"/>
      <c r="Y829" s="1581"/>
      <c r="Z829" s="1581"/>
      <c r="AA829" s="1581"/>
      <c r="AB829" s="1581"/>
      <c r="AC829" s="1581"/>
      <c r="AD829" s="1581"/>
      <c r="AE829" s="1581"/>
      <c r="AF829" s="1581"/>
      <c r="AG829" s="1581"/>
      <c r="AH829" s="1581"/>
      <c r="AI829" s="1581"/>
      <c r="AJ829" s="1581"/>
      <c r="AK829" s="1581"/>
      <c r="AL829" s="1581"/>
      <c r="AM829" s="1581"/>
      <c r="AN829" s="1581"/>
    </row>
    <row r="830" spans="1:41" ht="12.75" customHeight="1">
      <c r="A830" s="828" t="s">
        <v>1933</v>
      </c>
      <c r="B830" s="828" t="s">
        <v>83</v>
      </c>
    </row>
    <row r="832" spans="1:41" ht="14.25" customHeight="1">
      <c r="W832" s="1170" t="s">
        <v>1995</v>
      </c>
      <c r="X832" s="1171"/>
      <c r="Y832" s="1171"/>
      <c r="Z832" s="1171"/>
      <c r="AA832" s="1171"/>
      <c r="AB832" s="1171"/>
      <c r="AC832" s="1171"/>
      <c r="AD832" s="1171"/>
      <c r="AE832" s="1171"/>
      <c r="AF832" s="1171"/>
      <c r="AG832" s="1171"/>
      <c r="AH832" s="1171"/>
      <c r="AI832" s="1171"/>
      <c r="AJ832" s="1171"/>
      <c r="AK832" s="1171"/>
      <c r="AL832" s="1171"/>
      <c r="AM832" s="1171"/>
      <c r="AN832" s="1172"/>
    </row>
    <row r="833" spans="1:41">
      <c r="A833" s="1582" t="s">
        <v>1996</v>
      </c>
      <c r="B833" s="1583"/>
      <c r="C833" s="1583"/>
      <c r="D833" s="1584"/>
      <c r="E833" s="1567" t="s">
        <v>796</v>
      </c>
      <c r="F833" s="1567"/>
      <c r="G833" s="1567"/>
      <c r="H833" s="1567"/>
      <c r="I833" s="1567"/>
      <c r="J833" s="1567"/>
      <c r="K833" s="1567"/>
      <c r="L833" s="1567"/>
      <c r="M833" s="1567"/>
      <c r="N833" s="1567"/>
      <c r="O833" s="1567"/>
      <c r="P833" s="1567"/>
      <c r="Q833" s="1567"/>
      <c r="R833" s="1567"/>
      <c r="S833" s="1567"/>
      <c r="T833" s="1567"/>
      <c r="U833" s="1567"/>
      <c r="V833" s="1567"/>
      <c r="W833" s="1568" t="s">
        <v>1039</v>
      </c>
      <c r="X833" s="1569"/>
      <c r="Y833" s="1569"/>
      <c r="Z833" s="1569"/>
      <c r="AA833" s="1569"/>
      <c r="AB833" s="1569"/>
      <c r="AC833" s="1569"/>
      <c r="AD833" s="1569"/>
      <c r="AE833" s="1570"/>
      <c r="AF833" s="1571" t="s">
        <v>278</v>
      </c>
      <c r="AG833" s="1572"/>
      <c r="AH833" s="1572"/>
      <c r="AI833" s="1572"/>
      <c r="AJ833" s="1572"/>
      <c r="AK833" s="1572"/>
      <c r="AL833" s="1572"/>
      <c r="AM833" s="1572"/>
      <c r="AN833" s="1573"/>
      <c r="AO833" s="1187" t="s">
        <v>2766</v>
      </c>
    </row>
    <row r="834" spans="1:41">
      <c r="A834" s="1574" t="str">
        <f>unos!A388</f>
        <v>460</v>
      </c>
      <c r="B834" s="1575"/>
      <c r="C834" s="1575"/>
      <c r="D834" s="1576"/>
      <c r="E834" s="1558" t="str">
        <f>unos!B388</f>
        <v>Obaveze po osnovu kamata i trošk.finansiranja</v>
      </c>
      <c r="F834" s="1559"/>
      <c r="G834" s="1559"/>
      <c r="H834" s="1559"/>
      <c r="I834" s="1559"/>
      <c r="J834" s="1559"/>
      <c r="K834" s="1559"/>
      <c r="L834" s="1559"/>
      <c r="M834" s="1559"/>
      <c r="N834" s="1559"/>
      <c r="O834" s="1559"/>
      <c r="P834" s="1559"/>
      <c r="Q834" s="1559"/>
      <c r="R834" s="1559"/>
      <c r="S834" s="1559"/>
      <c r="T834" s="1559"/>
      <c r="U834" s="1559"/>
      <c r="V834" s="1559"/>
      <c r="W834" s="1560">
        <f>unos!C388</f>
        <v>0</v>
      </c>
      <c r="X834" s="1561"/>
      <c r="Y834" s="1561"/>
      <c r="Z834" s="1561"/>
      <c r="AA834" s="1561"/>
      <c r="AB834" s="1561"/>
      <c r="AC834" s="1561"/>
      <c r="AD834" s="1561"/>
      <c r="AE834" s="1562"/>
      <c r="AF834" s="1563">
        <f>unos!F388</f>
        <v>0</v>
      </c>
      <c r="AG834" s="1561"/>
      <c r="AH834" s="1561"/>
      <c r="AI834" s="1561"/>
      <c r="AJ834" s="1561"/>
      <c r="AK834" s="1561"/>
      <c r="AL834" s="1561"/>
      <c r="AM834" s="1561"/>
      <c r="AN834" s="1562"/>
      <c r="AO834" s="1186">
        <f>IF(OR(W834=0,AF834=0),0,ROUND(AF834/W834,4))</f>
        <v>0</v>
      </c>
    </row>
    <row r="835" spans="1:41">
      <c r="A835" s="1574" t="str">
        <f>unos!A389</f>
        <v>461</v>
      </c>
      <c r="B835" s="1575"/>
      <c r="C835" s="1575"/>
      <c r="D835" s="1576"/>
      <c r="E835" s="1558" t="str">
        <f>unos!B389</f>
        <v>Obaveze za dividende</v>
      </c>
      <c r="F835" s="1559"/>
      <c r="G835" s="1559"/>
      <c r="H835" s="1559"/>
      <c r="I835" s="1559"/>
      <c r="J835" s="1559"/>
      <c r="K835" s="1559"/>
      <c r="L835" s="1559"/>
      <c r="M835" s="1559"/>
      <c r="N835" s="1559"/>
      <c r="O835" s="1559"/>
      <c r="P835" s="1559"/>
      <c r="Q835" s="1559"/>
      <c r="R835" s="1559"/>
      <c r="S835" s="1559"/>
      <c r="T835" s="1559"/>
      <c r="U835" s="1559"/>
      <c r="V835" s="1559"/>
      <c r="W835" s="1560">
        <f>unos!C389</f>
        <v>0</v>
      </c>
      <c r="X835" s="1561"/>
      <c r="Y835" s="1561"/>
      <c r="Z835" s="1561"/>
      <c r="AA835" s="1561"/>
      <c r="AB835" s="1561"/>
      <c r="AC835" s="1561"/>
      <c r="AD835" s="1561"/>
      <c r="AE835" s="1562"/>
      <c r="AF835" s="1563">
        <f>unos!F389</f>
        <v>0</v>
      </c>
      <c r="AG835" s="1561"/>
      <c r="AH835" s="1561"/>
      <c r="AI835" s="1561"/>
      <c r="AJ835" s="1561"/>
      <c r="AK835" s="1561"/>
      <c r="AL835" s="1561"/>
      <c r="AM835" s="1561"/>
      <c r="AN835" s="1562"/>
      <c r="AO835" s="1186">
        <f t="shared" ref="AO835:AO844" si="35">IF(OR(W835=0,AF835=0),0,ROUND(AF835/W835,4))</f>
        <v>0</v>
      </c>
    </row>
    <row r="836" spans="1:41">
      <c r="A836" s="1574" t="str">
        <f>unos!A390</f>
        <v>462</v>
      </c>
      <c r="B836" s="1575"/>
      <c r="C836" s="1575"/>
      <c r="D836" s="1576"/>
      <c r="E836" s="1558" t="str">
        <f>unos!B390</f>
        <v>Obaveze zaučešće u dobiti</v>
      </c>
      <c r="F836" s="1559"/>
      <c r="G836" s="1559"/>
      <c r="H836" s="1559"/>
      <c r="I836" s="1559"/>
      <c r="J836" s="1559"/>
      <c r="K836" s="1559"/>
      <c r="L836" s="1559"/>
      <c r="M836" s="1559"/>
      <c r="N836" s="1559"/>
      <c r="O836" s="1559"/>
      <c r="P836" s="1559"/>
      <c r="Q836" s="1559"/>
      <c r="R836" s="1559"/>
      <c r="S836" s="1559"/>
      <c r="T836" s="1559"/>
      <c r="U836" s="1559"/>
      <c r="V836" s="1559"/>
      <c r="W836" s="1560">
        <f>unos!C390</f>
        <v>0</v>
      </c>
      <c r="X836" s="1561"/>
      <c r="Y836" s="1561"/>
      <c r="Z836" s="1561"/>
      <c r="AA836" s="1561"/>
      <c r="AB836" s="1561"/>
      <c r="AC836" s="1561"/>
      <c r="AD836" s="1561"/>
      <c r="AE836" s="1562"/>
      <c r="AF836" s="1563">
        <f>unos!F390</f>
        <v>0</v>
      </c>
      <c r="AG836" s="1561"/>
      <c r="AH836" s="1561"/>
      <c r="AI836" s="1561"/>
      <c r="AJ836" s="1561"/>
      <c r="AK836" s="1561"/>
      <c r="AL836" s="1561"/>
      <c r="AM836" s="1561"/>
      <c r="AN836" s="1562"/>
      <c r="AO836" s="1186">
        <f t="shared" si="35"/>
        <v>0</v>
      </c>
    </row>
    <row r="837" spans="1:41">
      <c r="A837" s="1574" t="str">
        <f>unos!A391</f>
        <v>463</v>
      </c>
      <c r="B837" s="1575"/>
      <c r="C837" s="1575"/>
      <c r="D837" s="1576"/>
      <c r="E837" s="1558" t="str">
        <f>unos!B391</f>
        <v>Obaveze za naknade članovima odbora i komisij</v>
      </c>
      <c r="F837" s="1559"/>
      <c r="G837" s="1559"/>
      <c r="H837" s="1559"/>
      <c r="I837" s="1559"/>
      <c r="J837" s="1559"/>
      <c r="K837" s="1559"/>
      <c r="L837" s="1559"/>
      <c r="M837" s="1559"/>
      <c r="N837" s="1559"/>
      <c r="O837" s="1559"/>
      <c r="P837" s="1559"/>
      <c r="Q837" s="1559"/>
      <c r="R837" s="1559"/>
      <c r="S837" s="1559"/>
      <c r="T837" s="1559"/>
      <c r="U837" s="1559"/>
      <c r="V837" s="1559"/>
      <c r="W837" s="1560">
        <f>unos!C391</f>
        <v>0</v>
      </c>
      <c r="X837" s="1561"/>
      <c r="Y837" s="1561"/>
      <c r="Z837" s="1561"/>
      <c r="AA837" s="1561"/>
      <c r="AB837" s="1561"/>
      <c r="AC837" s="1561"/>
      <c r="AD837" s="1561"/>
      <c r="AE837" s="1562"/>
      <c r="AF837" s="1563">
        <f>unos!F391</f>
        <v>0</v>
      </c>
      <c r="AG837" s="1561"/>
      <c r="AH837" s="1561"/>
      <c r="AI837" s="1561"/>
      <c r="AJ837" s="1561"/>
      <c r="AK837" s="1561"/>
      <c r="AL837" s="1561"/>
      <c r="AM837" s="1561"/>
      <c r="AN837" s="1562"/>
      <c r="AO837" s="1186">
        <f t="shared" si="35"/>
        <v>0</v>
      </c>
    </row>
    <row r="838" spans="1:41">
      <c r="A838" s="1574" t="str">
        <f>unos!A392</f>
        <v>464</v>
      </c>
      <c r="B838" s="1575"/>
      <c r="C838" s="1575"/>
      <c r="D838" s="1576"/>
      <c r="E838" s="1558" t="str">
        <f>unos!B392</f>
        <v>Obav.za porez i pos.dadžb.na nakn.čl.odbora</v>
      </c>
      <c r="F838" s="1559"/>
      <c r="G838" s="1559"/>
      <c r="H838" s="1559"/>
      <c r="I838" s="1559"/>
      <c r="J838" s="1559"/>
      <c r="K838" s="1559"/>
      <c r="L838" s="1559"/>
      <c r="M838" s="1559"/>
      <c r="N838" s="1559"/>
      <c r="O838" s="1559"/>
      <c r="P838" s="1559"/>
      <c r="Q838" s="1559"/>
      <c r="R838" s="1559"/>
      <c r="S838" s="1559"/>
      <c r="T838" s="1559"/>
      <c r="U838" s="1559"/>
      <c r="V838" s="1559"/>
      <c r="W838" s="1560">
        <f>unos!C392</f>
        <v>0</v>
      </c>
      <c r="X838" s="1561"/>
      <c r="Y838" s="1561"/>
      <c r="Z838" s="1561"/>
      <c r="AA838" s="1561"/>
      <c r="AB838" s="1561"/>
      <c r="AC838" s="1561"/>
      <c r="AD838" s="1561"/>
      <c r="AE838" s="1562"/>
      <c r="AF838" s="1563">
        <f>unos!F392</f>
        <v>0</v>
      </c>
      <c r="AG838" s="1561"/>
      <c r="AH838" s="1561"/>
      <c r="AI838" s="1561"/>
      <c r="AJ838" s="1561"/>
      <c r="AK838" s="1561"/>
      <c r="AL838" s="1561"/>
      <c r="AM838" s="1561"/>
      <c r="AN838" s="1562"/>
      <c r="AO838" s="1186">
        <f t="shared" si="35"/>
        <v>0</v>
      </c>
    </row>
    <row r="839" spans="1:41">
      <c r="A839" s="1574" t="str">
        <f>unos!A393</f>
        <v>465</v>
      </c>
      <c r="B839" s="1575"/>
      <c r="C839" s="1575"/>
      <c r="D839" s="1576"/>
      <c r="E839" s="1558" t="str">
        <f>unos!B393</f>
        <v>Obav.za dorinose u vez nakn.čl.odbora i komis</v>
      </c>
      <c r="F839" s="1559"/>
      <c r="G839" s="1559"/>
      <c r="H839" s="1559"/>
      <c r="I839" s="1559"/>
      <c r="J839" s="1559"/>
      <c r="K839" s="1559"/>
      <c r="L839" s="1559"/>
      <c r="M839" s="1559"/>
      <c r="N839" s="1559"/>
      <c r="O839" s="1559"/>
      <c r="P839" s="1559"/>
      <c r="Q839" s="1559"/>
      <c r="R839" s="1559"/>
      <c r="S839" s="1559"/>
      <c r="T839" s="1559"/>
      <c r="U839" s="1559"/>
      <c r="V839" s="1559"/>
      <c r="W839" s="1560">
        <f>unos!C393</f>
        <v>0</v>
      </c>
      <c r="X839" s="1561"/>
      <c r="Y839" s="1561"/>
      <c r="Z839" s="1561"/>
      <c r="AA839" s="1561"/>
      <c r="AB839" s="1561"/>
      <c r="AC839" s="1561"/>
      <c r="AD839" s="1561"/>
      <c r="AE839" s="1562"/>
      <c r="AF839" s="1563">
        <f>unos!F393</f>
        <v>0</v>
      </c>
      <c r="AG839" s="1561"/>
      <c r="AH839" s="1561"/>
      <c r="AI839" s="1561"/>
      <c r="AJ839" s="1561"/>
      <c r="AK839" s="1561"/>
      <c r="AL839" s="1561"/>
      <c r="AM839" s="1561"/>
      <c r="AN839" s="1562"/>
      <c r="AO839" s="1186">
        <f t="shared" si="35"/>
        <v>0</v>
      </c>
    </row>
    <row r="840" spans="1:41">
      <c r="A840" s="1574" t="str">
        <f>unos!A394</f>
        <v>466</v>
      </c>
      <c r="B840" s="1575"/>
      <c r="C840" s="1575"/>
      <c r="D840" s="1576"/>
      <c r="E840" s="1558" t="str">
        <f>unos!B394</f>
        <v>Obav.prema fizičkim licima po ugovorima</v>
      </c>
      <c r="F840" s="1559"/>
      <c r="G840" s="1559"/>
      <c r="H840" s="1559"/>
      <c r="I840" s="1559"/>
      <c r="J840" s="1559"/>
      <c r="K840" s="1559"/>
      <c r="L840" s="1559"/>
      <c r="M840" s="1559"/>
      <c r="N840" s="1559"/>
      <c r="O840" s="1559"/>
      <c r="P840" s="1559"/>
      <c r="Q840" s="1559"/>
      <c r="R840" s="1559"/>
      <c r="S840" s="1559"/>
      <c r="T840" s="1559"/>
      <c r="U840" s="1559"/>
      <c r="V840" s="1559"/>
      <c r="W840" s="1560">
        <f>unos!C394</f>
        <v>0</v>
      </c>
      <c r="X840" s="1561"/>
      <c r="Y840" s="1561"/>
      <c r="Z840" s="1561"/>
      <c r="AA840" s="1561"/>
      <c r="AB840" s="1561"/>
      <c r="AC840" s="1561"/>
      <c r="AD840" s="1561"/>
      <c r="AE840" s="1562"/>
      <c r="AF840" s="1563">
        <f>unos!F394</f>
        <v>0</v>
      </c>
      <c r="AG840" s="1561"/>
      <c r="AH840" s="1561"/>
      <c r="AI840" s="1561"/>
      <c r="AJ840" s="1561"/>
      <c r="AK840" s="1561"/>
      <c r="AL840" s="1561"/>
      <c r="AM840" s="1561"/>
      <c r="AN840" s="1562"/>
      <c r="AO840" s="1186">
        <f t="shared" si="35"/>
        <v>0</v>
      </c>
    </row>
    <row r="841" spans="1:41">
      <c r="A841" s="1574" t="str">
        <f>unos!A395</f>
        <v>467</v>
      </c>
      <c r="B841" s="1575"/>
      <c r="C841" s="1575"/>
      <c r="D841" s="1576"/>
      <c r="E841" s="1558" t="str">
        <f>unos!B395</f>
        <v>Obav.za porez o pos.dadžb.na nakn.fiz.licima</v>
      </c>
      <c r="F841" s="1559"/>
      <c r="G841" s="1559"/>
      <c r="H841" s="1559"/>
      <c r="I841" s="1559"/>
      <c r="J841" s="1559"/>
      <c r="K841" s="1559"/>
      <c r="L841" s="1559"/>
      <c r="M841" s="1559"/>
      <c r="N841" s="1559"/>
      <c r="O841" s="1559"/>
      <c r="P841" s="1559"/>
      <c r="Q841" s="1559"/>
      <c r="R841" s="1559"/>
      <c r="S841" s="1559"/>
      <c r="T841" s="1559"/>
      <c r="U841" s="1559"/>
      <c r="V841" s="1559"/>
      <c r="W841" s="1560">
        <f>unos!C395</f>
        <v>0</v>
      </c>
      <c r="X841" s="1561"/>
      <c r="Y841" s="1561"/>
      <c r="Z841" s="1561"/>
      <c r="AA841" s="1561"/>
      <c r="AB841" s="1561"/>
      <c r="AC841" s="1561"/>
      <c r="AD841" s="1561"/>
      <c r="AE841" s="1562"/>
      <c r="AF841" s="1563">
        <f>unos!F395</f>
        <v>0</v>
      </c>
      <c r="AG841" s="1561"/>
      <c r="AH841" s="1561"/>
      <c r="AI841" s="1561"/>
      <c r="AJ841" s="1561"/>
      <c r="AK841" s="1561"/>
      <c r="AL841" s="1561"/>
      <c r="AM841" s="1561"/>
      <c r="AN841" s="1562"/>
      <c r="AO841" s="1186">
        <f t="shared" si="35"/>
        <v>0</v>
      </c>
    </row>
    <row r="842" spans="1:41">
      <c r="A842" s="1574" t="str">
        <f>unos!A396</f>
        <v>468</v>
      </c>
      <c r="B842" s="1575"/>
      <c r="C842" s="1575"/>
      <c r="D842" s="1576"/>
      <c r="E842" s="1558" t="str">
        <f>unos!B396</f>
        <v>Obav.za doprinose u vezi nakn.fizičkim licima</v>
      </c>
      <c r="F842" s="1559"/>
      <c r="G842" s="1559"/>
      <c r="H842" s="1559"/>
      <c r="I842" s="1559"/>
      <c r="J842" s="1559"/>
      <c r="K842" s="1559"/>
      <c r="L842" s="1559"/>
      <c r="M842" s="1559"/>
      <c r="N842" s="1559"/>
      <c r="O842" s="1559"/>
      <c r="P842" s="1559"/>
      <c r="Q842" s="1559"/>
      <c r="R842" s="1559"/>
      <c r="S842" s="1559"/>
      <c r="T842" s="1559"/>
      <c r="U842" s="1559"/>
      <c r="V842" s="1559"/>
      <c r="W842" s="1560">
        <f>unos!C396</f>
        <v>0</v>
      </c>
      <c r="X842" s="1561"/>
      <c r="Y842" s="1561"/>
      <c r="Z842" s="1561"/>
      <c r="AA842" s="1561"/>
      <c r="AB842" s="1561"/>
      <c r="AC842" s="1561"/>
      <c r="AD842" s="1561"/>
      <c r="AE842" s="1562"/>
      <c r="AF842" s="1563">
        <f>unos!F396</f>
        <v>0</v>
      </c>
      <c r="AG842" s="1561"/>
      <c r="AH842" s="1561"/>
      <c r="AI842" s="1561"/>
      <c r="AJ842" s="1561"/>
      <c r="AK842" s="1561"/>
      <c r="AL842" s="1561"/>
      <c r="AM842" s="1561"/>
      <c r="AN842" s="1562"/>
      <c r="AO842" s="1186">
        <f t="shared" si="35"/>
        <v>0</v>
      </c>
    </row>
    <row r="843" spans="1:41">
      <c r="A843" s="1574" t="str">
        <f>unos!A397</f>
        <v>469</v>
      </c>
      <c r="B843" s="1575"/>
      <c r="C843" s="1575"/>
      <c r="D843" s="1576"/>
      <c r="E843" s="1558" t="str">
        <f>unos!B397</f>
        <v>Ostale obaveze</v>
      </c>
      <c r="F843" s="1559"/>
      <c r="G843" s="1559"/>
      <c r="H843" s="1559"/>
      <c r="I843" s="1559"/>
      <c r="J843" s="1559"/>
      <c r="K843" s="1559"/>
      <c r="L843" s="1559"/>
      <c r="M843" s="1559"/>
      <c r="N843" s="1559"/>
      <c r="O843" s="1559"/>
      <c r="P843" s="1559"/>
      <c r="Q843" s="1559"/>
      <c r="R843" s="1559"/>
      <c r="S843" s="1559"/>
      <c r="T843" s="1559"/>
      <c r="U843" s="1559"/>
      <c r="V843" s="1559"/>
      <c r="W843" s="1560">
        <f>unos!C397</f>
        <v>0</v>
      </c>
      <c r="X843" s="1561"/>
      <c r="Y843" s="1561"/>
      <c r="Z843" s="1561"/>
      <c r="AA843" s="1561"/>
      <c r="AB843" s="1561"/>
      <c r="AC843" s="1561"/>
      <c r="AD843" s="1561"/>
      <c r="AE843" s="1562"/>
      <c r="AF843" s="1563">
        <f>unos!F397</f>
        <v>0</v>
      </c>
      <c r="AG843" s="1561"/>
      <c r="AH843" s="1561"/>
      <c r="AI843" s="1561"/>
      <c r="AJ843" s="1561"/>
      <c r="AK843" s="1561"/>
      <c r="AL843" s="1561"/>
      <c r="AM843" s="1561"/>
      <c r="AN843" s="1562"/>
      <c r="AO843" s="1186">
        <f t="shared" si="35"/>
        <v>0</v>
      </c>
    </row>
    <row r="844" spans="1:41">
      <c r="A844" s="1577"/>
      <c r="B844" s="1577"/>
      <c r="C844" s="1577"/>
      <c r="D844" s="1577"/>
      <c r="E844" s="1167"/>
      <c r="F844" s="1168"/>
      <c r="G844" s="1168"/>
      <c r="H844" s="1168"/>
      <c r="I844" s="1168"/>
      <c r="J844" s="1168"/>
      <c r="K844" s="1168"/>
      <c r="L844" s="1168"/>
      <c r="M844" s="1168"/>
      <c r="N844" s="1168"/>
      <c r="O844" s="1168"/>
      <c r="P844" s="1168"/>
      <c r="Q844" s="1168"/>
      <c r="R844" s="1168"/>
      <c r="S844" s="1167"/>
      <c r="T844" s="1167"/>
      <c r="U844" s="1167"/>
      <c r="V844" s="1169" t="s">
        <v>1997</v>
      </c>
      <c r="W844" s="1578">
        <f>SUM(W834:W843)</f>
        <v>0</v>
      </c>
      <c r="X844" s="1579"/>
      <c r="Y844" s="1579"/>
      <c r="Z844" s="1579"/>
      <c r="AA844" s="1579"/>
      <c r="AB844" s="1579"/>
      <c r="AC844" s="1579"/>
      <c r="AD844" s="1579"/>
      <c r="AE844" s="1580"/>
      <c r="AF844" s="1578">
        <f>SUM(AF834:AF843)</f>
        <v>0</v>
      </c>
      <c r="AG844" s="1579"/>
      <c r="AH844" s="1579"/>
      <c r="AI844" s="1579"/>
      <c r="AJ844" s="1579"/>
      <c r="AK844" s="1579"/>
      <c r="AL844" s="1579"/>
      <c r="AM844" s="1579"/>
      <c r="AN844" s="1580"/>
      <c r="AO844" s="1185">
        <f t="shared" si="35"/>
        <v>0</v>
      </c>
    </row>
    <row r="846" spans="1:41">
      <c r="A846" s="1581"/>
      <c r="B846" s="1581"/>
      <c r="C846" s="1581"/>
      <c r="D846" s="1581"/>
      <c r="E846" s="1581"/>
      <c r="F846" s="1581"/>
      <c r="G846" s="1581"/>
      <c r="H846" s="1581"/>
      <c r="I846" s="1581"/>
      <c r="J846" s="1581"/>
      <c r="K846" s="1581"/>
      <c r="L846" s="1581"/>
      <c r="M846" s="1581"/>
      <c r="N846" s="1581"/>
      <c r="O846" s="1581"/>
      <c r="P846" s="1581"/>
      <c r="Q846" s="1581"/>
      <c r="R846" s="1581"/>
      <c r="S846" s="1581"/>
      <c r="T846" s="1581"/>
      <c r="U846" s="1581"/>
      <c r="V846" s="1581"/>
      <c r="W846" s="1581"/>
      <c r="X846" s="1581"/>
      <c r="Y846" s="1581"/>
      <c r="Z846" s="1581"/>
      <c r="AA846" s="1581"/>
      <c r="AB846" s="1581"/>
      <c r="AC846" s="1581"/>
      <c r="AD846" s="1581"/>
      <c r="AE846" s="1581"/>
      <c r="AF846" s="1581"/>
      <c r="AG846" s="1581"/>
      <c r="AH846" s="1581"/>
      <c r="AI846" s="1581"/>
      <c r="AJ846" s="1581"/>
      <c r="AK846" s="1581"/>
      <c r="AL846" s="1581"/>
      <c r="AM846" s="1581"/>
      <c r="AN846" s="1581"/>
    </row>
    <row r="847" spans="1:41">
      <c r="A847" s="1581"/>
      <c r="B847" s="1581"/>
      <c r="C847" s="1581"/>
      <c r="D847" s="1581"/>
      <c r="E847" s="1581"/>
      <c r="F847" s="1581"/>
      <c r="G847" s="1581"/>
      <c r="H847" s="1581"/>
      <c r="I847" s="1581"/>
      <c r="J847" s="1581"/>
      <c r="K847" s="1581"/>
      <c r="L847" s="1581"/>
      <c r="M847" s="1581"/>
      <c r="N847" s="1581"/>
      <c r="O847" s="1581"/>
      <c r="P847" s="1581"/>
      <c r="Q847" s="1581"/>
      <c r="R847" s="1581"/>
      <c r="S847" s="1581"/>
      <c r="T847" s="1581"/>
      <c r="U847" s="1581"/>
      <c r="V847" s="1581"/>
      <c r="W847" s="1581"/>
      <c r="X847" s="1581"/>
      <c r="Y847" s="1581"/>
      <c r="Z847" s="1581"/>
      <c r="AA847" s="1581"/>
      <c r="AB847" s="1581"/>
      <c r="AC847" s="1581"/>
      <c r="AD847" s="1581"/>
      <c r="AE847" s="1581"/>
      <c r="AF847" s="1581"/>
      <c r="AG847" s="1581"/>
      <c r="AH847" s="1581"/>
      <c r="AI847" s="1581"/>
      <c r="AJ847" s="1581"/>
      <c r="AK847" s="1581"/>
      <c r="AL847" s="1581"/>
      <c r="AM847" s="1581"/>
      <c r="AN847" s="1581"/>
    </row>
    <row r="848" spans="1:41">
      <c r="A848" s="1581"/>
      <c r="B848" s="1581"/>
      <c r="C848" s="1581"/>
      <c r="D848" s="1581"/>
      <c r="E848" s="1581"/>
      <c r="F848" s="1581"/>
      <c r="G848" s="1581"/>
      <c r="H848" s="1581"/>
      <c r="I848" s="1581"/>
      <c r="J848" s="1581"/>
      <c r="K848" s="1581"/>
      <c r="L848" s="1581"/>
      <c r="M848" s="1581"/>
      <c r="N848" s="1581"/>
      <c r="O848" s="1581"/>
      <c r="P848" s="1581"/>
      <c r="Q848" s="1581"/>
      <c r="R848" s="1581"/>
      <c r="S848" s="1581"/>
      <c r="T848" s="1581"/>
      <c r="U848" s="1581"/>
      <c r="V848" s="1581"/>
      <c r="W848" s="1581"/>
      <c r="X848" s="1581"/>
      <c r="Y848" s="1581"/>
      <c r="Z848" s="1581"/>
      <c r="AA848" s="1581"/>
      <c r="AB848" s="1581"/>
      <c r="AC848" s="1581"/>
      <c r="AD848" s="1581"/>
      <c r="AE848" s="1581"/>
      <c r="AF848" s="1581"/>
      <c r="AG848" s="1581"/>
      <c r="AH848" s="1581"/>
      <c r="AI848" s="1581"/>
      <c r="AJ848" s="1581"/>
      <c r="AK848" s="1581"/>
      <c r="AL848" s="1581"/>
      <c r="AM848" s="1581"/>
      <c r="AN848" s="1581"/>
    </row>
    <row r="849" spans="1:41">
      <c r="A849" s="1581"/>
      <c r="B849" s="1581"/>
      <c r="C849" s="1581"/>
      <c r="D849" s="1581"/>
      <c r="E849" s="1581"/>
      <c r="F849" s="1581"/>
      <c r="G849" s="1581"/>
      <c r="H849" s="1581"/>
      <c r="I849" s="1581"/>
      <c r="J849" s="1581"/>
      <c r="K849" s="1581"/>
      <c r="L849" s="1581"/>
      <c r="M849" s="1581"/>
      <c r="N849" s="1581"/>
      <c r="O849" s="1581"/>
      <c r="P849" s="1581"/>
      <c r="Q849" s="1581"/>
      <c r="R849" s="1581"/>
      <c r="S849" s="1581"/>
      <c r="T849" s="1581"/>
      <c r="U849" s="1581"/>
      <c r="V849" s="1581"/>
      <c r="W849" s="1581"/>
      <c r="X849" s="1581"/>
      <c r="Y849" s="1581"/>
      <c r="Z849" s="1581"/>
      <c r="AA849" s="1581"/>
      <c r="AB849" s="1581"/>
      <c r="AC849" s="1581"/>
      <c r="AD849" s="1581"/>
      <c r="AE849" s="1581"/>
      <c r="AF849" s="1581"/>
      <c r="AG849" s="1581"/>
      <c r="AH849" s="1581"/>
      <c r="AI849" s="1581"/>
      <c r="AJ849" s="1581"/>
      <c r="AK849" s="1581"/>
      <c r="AL849" s="1581"/>
      <c r="AM849" s="1581"/>
      <c r="AN849" s="1581"/>
    </row>
    <row r="850" spans="1:41" ht="12.75" customHeight="1">
      <c r="A850" s="828" t="s">
        <v>1933</v>
      </c>
      <c r="B850" s="828" t="s">
        <v>2770</v>
      </c>
    </row>
    <row r="852" spans="1:41" ht="14.25" customHeight="1">
      <c r="W852" s="1170" t="s">
        <v>1995</v>
      </c>
      <c r="X852" s="1171"/>
      <c r="Y852" s="1171"/>
      <c r="Z852" s="1171"/>
      <c r="AA852" s="1171"/>
      <c r="AB852" s="1171"/>
      <c r="AC852" s="1171"/>
      <c r="AD852" s="1171"/>
      <c r="AE852" s="1171"/>
      <c r="AF852" s="1171"/>
      <c r="AG852" s="1171"/>
      <c r="AH852" s="1171"/>
      <c r="AI852" s="1171"/>
      <c r="AJ852" s="1171"/>
      <c r="AK852" s="1171"/>
      <c r="AL852" s="1171"/>
      <c r="AM852" s="1171"/>
      <c r="AN852" s="1172"/>
    </row>
    <row r="853" spans="1:41">
      <c r="A853" s="1582" t="s">
        <v>1996</v>
      </c>
      <c r="B853" s="1583"/>
      <c r="C853" s="1583"/>
      <c r="D853" s="1584"/>
      <c r="E853" s="1567" t="s">
        <v>796</v>
      </c>
      <c r="F853" s="1567"/>
      <c r="G853" s="1567"/>
      <c r="H853" s="1567"/>
      <c r="I853" s="1567"/>
      <c r="J853" s="1567"/>
      <c r="K853" s="1567"/>
      <c r="L853" s="1567"/>
      <c r="M853" s="1567"/>
      <c r="N853" s="1567"/>
      <c r="O853" s="1567"/>
      <c r="P853" s="1567"/>
      <c r="Q853" s="1567"/>
      <c r="R853" s="1567"/>
      <c r="S853" s="1567"/>
      <c r="T853" s="1567"/>
      <c r="U853" s="1567"/>
      <c r="V853" s="1567"/>
      <c r="W853" s="1568" t="s">
        <v>1039</v>
      </c>
      <c r="X853" s="1569"/>
      <c r="Y853" s="1569"/>
      <c r="Z853" s="1569"/>
      <c r="AA853" s="1569"/>
      <c r="AB853" s="1569"/>
      <c r="AC853" s="1569"/>
      <c r="AD853" s="1569"/>
      <c r="AE853" s="1570"/>
      <c r="AF853" s="1571" t="s">
        <v>278</v>
      </c>
      <c r="AG853" s="1572"/>
      <c r="AH853" s="1572"/>
      <c r="AI853" s="1572"/>
      <c r="AJ853" s="1572"/>
      <c r="AK853" s="1572"/>
      <c r="AL853" s="1572"/>
      <c r="AM853" s="1572"/>
      <c r="AN853" s="1573"/>
      <c r="AO853" s="1187" t="s">
        <v>2766</v>
      </c>
    </row>
    <row r="854" spans="1:41">
      <c r="A854" s="1574" t="str">
        <f>unos!A398</f>
        <v>470</v>
      </c>
      <c r="B854" s="1575"/>
      <c r="C854" s="1575"/>
      <c r="D854" s="1576"/>
      <c r="E854" s="1558" t="str">
        <f>unos!B398</f>
        <v>PDV po snovu isporuka drugim obveznicima PDV</v>
      </c>
      <c r="F854" s="1559"/>
      <c r="G854" s="1559"/>
      <c r="H854" s="1559"/>
      <c r="I854" s="1559"/>
      <c r="J854" s="1559"/>
      <c r="K854" s="1559"/>
      <c r="L854" s="1559"/>
      <c r="M854" s="1559"/>
      <c r="N854" s="1559"/>
      <c r="O854" s="1559"/>
      <c r="P854" s="1559"/>
      <c r="Q854" s="1559"/>
      <c r="R854" s="1559"/>
      <c r="S854" s="1559"/>
      <c r="T854" s="1559"/>
      <c r="U854" s="1559"/>
      <c r="V854" s="1559"/>
      <c r="W854" s="1560">
        <f>unos!C398</f>
        <v>0</v>
      </c>
      <c r="X854" s="1561"/>
      <c r="Y854" s="1561"/>
      <c r="Z854" s="1561"/>
      <c r="AA854" s="1561"/>
      <c r="AB854" s="1561"/>
      <c r="AC854" s="1561"/>
      <c r="AD854" s="1561"/>
      <c r="AE854" s="1562"/>
      <c r="AF854" s="1563">
        <f>unos!F398</f>
        <v>0</v>
      </c>
      <c r="AG854" s="1561"/>
      <c r="AH854" s="1561"/>
      <c r="AI854" s="1561"/>
      <c r="AJ854" s="1561"/>
      <c r="AK854" s="1561"/>
      <c r="AL854" s="1561"/>
      <c r="AM854" s="1561"/>
      <c r="AN854" s="1562"/>
      <c r="AO854" s="1186">
        <f>IF(OR(W854=0,AF854=0),0,ROUND(AF854/W854,4))</f>
        <v>0</v>
      </c>
    </row>
    <row r="855" spans="1:41">
      <c r="A855" s="1574" t="str">
        <f>unos!A399</f>
        <v>471</v>
      </c>
      <c r="B855" s="1575"/>
      <c r="C855" s="1575"/>
      <c r="D855" s="1576"/>
      <c r="E855" s="1558" t="str">
        <f>unos!B399</f>
        <v>PDV po primljenim avansima</v>
      </c>
      <c r="F855" s="1559"/>
      <c r="G855" s="1559"/>
      <c r="H855" s="1559"/>
      <c r="I855" s="1559"/>
      <c r="J855" s="1559"/>
      <c r="K855" s="1559"/>
      <c r="L855" s="1559"/>
      <c r="M855" s="1559"/>
      <c r="N855" s="1559"/>
      <c r="O855" s="1559"/>
      <c r="P855" s="1559"/>
      <c r="Q855" s="1559"/>
      <c r="R855" s="1559"/>
      <c r="S855" s="1559"/>
      <c r="T855" s="1559"/>
      <c r="U855" s="1559"/>
      <c r="V855" s="1559"/>
      <c r="W855" s="1560">
        <f>unos!C399</f>
        <v>0</v>
      </c>
      <c r="X855" s="1561"/>
      <c r="Y855" s="1561"/>
      <c r="Z855" s="1561"/>
      <c r="AA855" s="1561"/>
      <c r="AB855" s="1561"/>
      <c r="AC855" s="1561"/>
      <c r="AD855" s="1561"/>
      <c r="AE855" s="1562"/>
      <c r="AF855" s="1563">
        <f>unos!F399</f>
        <v>0</v>
      </c>
      <c r="AG855" s="1561"/>
      <c r="AH855" s="1561"/>
      <c r="AI855" s="1561"/>
      <c r="AJ855" s="1561"/>
      <c r="AK855" s="1561"/>
      <c r="AL855" s="1561"/>
      <c r="AM855" s="1561"/>
      <c r="AN855" s="1562"/>
      <c r="AO855" s="1186">
        <f t="shared" ref="AO855:AO862" si="36">IF(OR(W855=0,AF855=0),0,ROUND(AF855/W855,4))</f>
        <v>0</v>
      </c>
    </row>
    <row r="856" spans="1:41">
      <c r="A856" s="1574" t="str">
        <f>unos!A400</f>
        <v>472</v>
      </c>
      <c r="B856" s="1575"/>
      <c r="C856" s="1575"/>
      <c r="D856" s="1576"/>
      <c r="E856" s="1558" t="str">
        <f>unos!B400</f>
        <v>PDV po osnovu vlasite potrošnje u neposl.svrh</v>
      </c>
      <c r="F856" s="1559"/>
      <c r="G856" s="1559"/>
      <c r="H856" s="1559"/>
      <c r="I856" s="1559"/>
      <c r="J856" s="1559"/>
      <c r="K856" s="1559"/>
      <c r="L856" s="1559"/>
      <c r="M856" s="1559"/>
      <c r="N856" s="1559"/>
      <c r="O856" s="1559"/>
      <c r="P856" s="1559"/>
      <c r="Q856" s="1559"/>
      <c r="R856" s="1559"/>
      <c r="S856" s="1559"/>
      <c r="T856" s="1559"/>
      <c r="U856" s="1559"/>
      <c r="V856" s="1559"/>
      <c r="W856" s="1560">
        <f>unos!C400</f>
        <v>0</v>
      </c>
      <c r="X856" s="1561"/>
      <c r="Y856" s="1561"/>
      <c r="Z856" s="1561"/>
      <c r="AA856" s="1561"/>
      <c r="AB856" s="1561"/>
      <c r="AC856" s="1561"/>
      <c r="AD856" s="1561"/>
      <c r="AE856" s="1562"/>
      <c r="AF856" s="1563">
        <f>unos!F400</f>
        <v>0</v>
      </c>
      <c r="AG856" s="1561"/>
      <c r="AH856" s="1561"/>
      <c r="AI856" s="1561"/>
      <c r="AJ856" s="1561"/>
      <c r="AK856" s="1561"/>
      <c r="AL856" s="1561"/>
      <c r="AM856" s="1561"/>
      <c r="AN856" s="1562"/>
      <c r="AO856" s="1186">
        <f t="shared" si="36"/>
        <v>0</v>
      </c>
    </row>
    <row r="857" spans="1:41">
      <c r="A857" s="1574" t="str">
        <f>unos!A401</f>
        <v>473</v>
      </c>
      <c r="B857" s="1575"/>
      <c r="C857" s="1575"/>
      <c r="D857" s="1576"/>
      <c r="E857" s="1558" t="str">
        <f>unos!B401</f>
        <v>PDV po osnovu isporuka neob.PDV(krajnja potr)</v>
      </c>
      <c r="F857" s="1559"/>
      <c r="G857" s="1559"/>
      <c r="H857" s="1559"/>
      <c r="I857" s="1559"/>
      <c r="J857" s="1559"/>
      <c r="K857" s="1559"/>
      <c r="L857" s="1559"/>
      <c r="M857" s="1559"/>
      <c r="N857" s="1559"/>
      <c r="O857" s="1559"/>
      <c r="P857" s="1559"/>
      <c r="Q857" s="1559"/>
      <c r="R857" s="1559"/>
      <c r="S857" s="1559"/>
      <c r="T857" s="1559"/>
      <c r="U857" s="1559"/>
      <c r="V857" s="1559"/>
      <c r="W857" s="1560">
        <f>unos!C401</f>
        <v>0</v>
      </c>
      <c r="X857" s="1561"/>
      <c r="Y857" s="1561"/>
      <c r="Z857" s="1561"/>
      <c r="AA857" s="1561"/>
      <c r="AB857" s="1561"/>
      <c r="AC857" s="1561"/>
      <c r="AD857" s="1561"/>
      <c r="AE857" s="1562"/>
      <c r="AF857" s="1563">
        <f>unos!F401</f>
        <v>0</v>
      </c>
      <c r="AG857" s="1561"/>
      <c r="AH857" s="1561"/>
      <c r="AI857" s="1561"/>
      <c r="AJ857" s="1561"/>
      <c r="AK857" s="1561"/>
      <c r="AL857" s="1561"/>
      <c r="AM857" s="1561"/>
      <c r="AN857" s="1562"/>
      <c r="AO857" s="1186">
        <f t="shared" si="36"/>
        <v>0</v>
      </c>
    </row>
    <row r="858" spans="1:41">
      <c r="A858" s="1574" t="str">
        <f>unos!A402</f>
        <v>474</v>
      </c>
      <c r="B858" s="1575"/>
      <c r="C858" s="1575"/>
      <c r="D858" s="1576"/>
      <c r="E858" s="1558" t="str">
        <f>unos!B402</f>
        <v>PDV obračunat na usluge stranim licima</v>
      </c>
      <c r="F858" s="1559"/>
      <c r="G858" s="1559"/>
      <c r="H858" s="1559"/>
      <c r="I858" s="1559"/>
      <c r="J858" s="1559"/>
      <c r="K858" s="1559"/>
      <c r="L858" s="1559"/>
      <c r="M858" s="1559"/>
      <c r="N858" s="1559"/>
      <c r="O858" s="1559"/>
      <c r="P858" s="1559"/>
      <c r="Q858" s="1559"/>
      <c r="R858" s="1559"/>
      <c r="S858" s="1559"/>
      <c r="T858" s="1559"/>
      <c r="U858" s="1559"/>
      <c r="V858" s="1559"/>
      <c r="W858" s="1560">
        <f>unos!C402</f>
        <v>0</v>
      </c>
      <c r="X858" s="1561"/>
      <c r="Y858" s="1561"/>
      <c r="Z858" s="1561"/>
      <c r="AA858" s="1561"/>
      <c r="AB858" s="1561"/>
      <c r="AC858" s="1561"/>
      <c r="AD858" s="1561"/>
      <c r="AE858" s="1562"/>
      <c r="AF858" s="1563">
        <f>unos!F402</f>
        <v>0</v>
      </c>
      <c r="AG858" s="1561"/>
      <c r="AH858" s="1561"/>
      <c r="AI858" s="1561"/>
      <c r="AJ858" s="1561"/>
      <c r="AK858" s="1561"/>
      <c r="AL858" s="1561"/>
      <c r="AM858" s="1561"/>
      <c r="AN858" s="1562"/>
      <c r="AO858" s="1186">
        <f t="shared" si="36"/>
        <v>0</v>
      </c>
    </row>
    <row r="859" spans="1:41">
      <c r="A859" s="1574" t="str">
        <f>unos!A403</f>
        <v>475</v>
      </c>
      <c r="B859" s="1575"/>
      <c r="C859" s="1575"/>
      <c r="D859" s="1576"/>
      <c r="E859" s="1558" t="str">
        <f>unos!B403</f>
        <v>Obaveze za uplatu PDV-a po posebnoj šemi</v>
      </c>
      <c r="F859" s="1559"/>
      <c r="G859" s="1559"/>
      <c r="H859" s="1559"/>
      <c r="I859" s="1559"/>
      <c r="J859" s="1559"/>
      <c r="K859" s="1559"/>
      <c r="L859" s="1559"/>
      <c r="M859" s="1559"/>
      <c r="N859" s="1559"/>
      <c r="O859" s="1559"/>
      <c r="P859" s="1559"/>
      <c r="Q859" s="1559"/>
      <c r="R859" s="1559"/>
      <c r="S859" s="1559"/>
      <c r="T859" s="1559"/>
      <c r="U859" s="1559"/>
      <c r="V859" s="1559"/>
      <c r="W859" s="1560">
        <f>unos!C403</f>
        <v>0</v>
      </c>
      <c r="X859" s="1561"/>
      <c r="Y859" s="1561"/>
      <c r="Z859" s="1561"/>
      <c r="AA859" s="1561"/>
      <c r="AB859" s="1561"/>
      <c r="AC859" s="1561"/>
      <c r="AD859" s="1561"/>
      <c r="AE859" s="1562"/>
      <c r="AF859" s="1563">
        <f>unos!F403</f>
        <v>0</v>
      </c>
      <c r="AG859" s="1561"/>
      <c r="AH859" s="1561"/>
      <c r="AI859" s="1561"/>
      <c r="AJ859" s="1561"/>
      <c r="AK859" s="1561"/>
      <c r="AL859" s="1561"/>
      <c r="AM859" s="1561"/>
      <c r="AN859" s="1562"/>
      <c r="AO859" s="1186">
        <f t="shared" si="36"/>
        <v>0</v>
      </c>
    </row>
    <row r="860" spans="1:41">
      <c r="A860" s="1574" t="str">
        <f>unos!A404</f>
        <v>478</v>
      </c>
      <c r="B860" s="1575"/>
      <c r="C860" s="1575"/>
      <c r="D860" s="1576"/>
      <c r="E860" s="1558" t="str">
        <f>unos!B404</f>
        <v>Druge obaveze iz osnova PDV-a</v>
      </c>
      <c r="F860" s="1559"/>
      <c r="G860" s="1559"/>
      <c r="H860" s="1559"/>
      <c r="I860" s="1559"/>
      <c r="J860" s="1559"/>
      <c r="K860" s="1559"/>
      <c r="L860" s="1559"/>
      <c r="M860" s="1559"/>
      <c r="N860" s="1559"/>
      <c r="O860" s="1559"/>
      <c r="P860" s="1559"/>
      <c r="Q860" s="1559"/>
      <c r="R860" s="1559"/>
      <c r="S860" s="1559"/>
      <c r="T860" s="1559"/>
      <c r="U860" s="1559"/>
      <c r="V860" s="1559"/>
      <c r="W860" s="1560">
        <f>unos!C404</f>
        <v>0</v>
      </c>
      <c r="X860" s="1561"/>
      <c r="Y860" s="1561"/>
      <c r="Z860" s="1561"/>
      <c r="AA860" s="1561"/>
      <c r="AB860" s="1561"/>
      <c r="AC860" s="1561"/>
      <c r="AD860" s="1561"/>
      <c r="AE860" s="1562"/>
      <c r="AF860" s="1563">
        <f>unos!F404</f>
        <v>0</v>
      </c>
      <c r="AG860" s="1561"/>
      <c r="AH860" s="1561"/>
      <c r="AI860" s="1561"/>
      <c r="AJ860" s="1561"/>
      <c r="AK860" s="1561"/>
      <c r="AL860" s="1561"/>
      <c r="AM860" s="1561"/>
      <c r="AN860" s="1562"/>
      <c r="AO860" s="1186">
        <f t="shared" si="36"/>
        <v>0</v>
      </c>
    </row>
    <row r="861" spans="1:41">
      <c r="A861" s="1574" t="str">
        <f>unos!A405</f>
        <v>479</v>
      </c>
      <c r="B861" s="1575"/>
      <c r="C861" s="1575"/>
      <c r="D861" s="1576"/>
      <c r="E861" s="1558" t="str">
        <f>unos!B405</f>
        <v>Obaveze za razliku između obav.PDV i ulaz.PDV</v>
      </c>
      <c r="F861" s="1559"/>
      <c r="G861" s="1559"/>
      <c r="H861" s="1559"/>
      <c r="I861" s="1559"/>
      <c r="J861" s="1559"/>
      <c r="K861" s="1559"/>
      <c r="L861" s="1559"/>
      <c r="M861" s="1559"/>
      <c r="N861" s="1559"/>
      <c r="O861" s="1559"/>
      <c r="P861" s="1559"/>
      <c r="Q861" s="1559"/>
      <c r="R861" s="1559"/>
      <c r="S861" s="1559"/>
      <c r="T861" s="1559"/>
      <c r="U861" s="1559"/>
      <c r="V861" s="1559"/>
      <c r="W861" s="1560">
        <f>unos!C405</f>
        <v>0</v>
      </c>
      <c r="X861" s="1561"/>
      <c r="Y861" s="1561"/>
      <c r="Z861" s="1561"/>
      <c r="AA861" s="1561"/>
      <c r="AB861" s="1561"/>
      <c r="AC861" s="1561"/>
      <c r="AD861" s="1561"/>
      <c r="AE861" s="1562"/>
      <c r="AF861" s="1563">
        <f>unos!F405</f>
        <v>0</v>
      </c>
      <c r="AG861" s="1561"/>
      <c r="AH861" s="1561"/>
      <c r="AI861" s="1561"/>
      <c r="AJ861" s="1561"/>
      <c r="AK861" s="1561"/>
      <c r="AL861" s="1561"/>
      <c r="AM861" s="1561"/>
      <c r="AN861" s="1562"/>
      <c r="AO861" s="1186">
        <f t="shared" si="36"/>
        <v>0</v>
      </c>
    </row>
    <row r="862" spans="1:41">
      <c r="A862" s="1577"/>
      <c r="B862" s="1577"/>
      <c r="C862" s="1577"/>
      <c r="D862" s="1577"/>
      <c r="E862" s="1167"/>
      <c r="F862" s="1168"/>
      <c r="G862" s="1168"/>
      <c r="H862" s="1168"/>
      <c r="I862" s="1168"/>
      <c r="J862" s="1168"/>
      <c r="K862" s="1168"/>
      <c r="L862" s="1168"/>
      <c r="M862" s="1168"/>
      <c r="N862" s="1168"/>
      <c r="O862" s="1168"/>
      <c r="P862" s="1168"/>
      <c r="Q862" s="1168"/>
      <c r="R862" s="1168"/>
      <c r="S862" s="1167"/>
      <c r="T862" s="1167"/>
      <c r="U862" s="1167"/>
      <c r="V862" s="1169" t="s">
        <v>1997</v>
      </c>
      <c r="W862" s="1578">
        <f>SUM(W854:W861)</f>
        <v>0</v>
      </c>
      <c r="X862" s="1579"/>
      <c r="Y862" s="1579"/>
      <c r="Z862" s="1579"/>
      <c r="AA862" s="1579"/>
      <c r="AB862" s="1579"/>
      <c r="AC862" s="1579"/>
      <c r="AD862" s="1579"/>
      <c r="AE862" s="1580"/>
      <c r="AF862" s="1578">
        <f>SUM(AF854:AF861)</f>
        <v>0</v>
      </c>
      <c r="AG862" s="1579"/>
      <c r="AH862" s="1579"/>
      <c r="AI862" s="1579"/>
      <c r="AJ862" s="1579"/>
      <c r="AK862" s="1579"/>
      <c r="AL862" s="1579"/>
      <c r="AM862" s="1579"/>
      <c r="AN862" s="1580"/>
      <c r="AO862" s="1185">
        <f t="shared" si="36"/>
        <v>0</v>
      </c>
    </row>
    <row r="864" spans="1:41">
      <c r="A864" s="1581"/>
      <c r="B864" s="1581"/>
      <c r="C864" s="1581"/>
      <c r="D864" s="1581"/>
      <c r="E864" s="1581"/>
      <c r="F864" s="1581"/>
      <c r="G864" s="1581"/>
      <c r="H864" s="1581"/>
      <c r="I864" s="1581"/>
      <c r="J864" s="1581"/>
      <c r="K864" s="1581"/>
      <c r="L864" s="1581"/>
      <c r="M864" s="1581"/>
      <c r="N864" s="1581"/>
      <c r="O864" s="1581"/>
      <c r="P864" s="1581"/>
      <c r="Q864" s="1581"/>
      <c r="R864" s="1581"/>
      <c r="S864" s="1581"/>
      <c r="T864" s="1581"/>
      <c r="U864" s="1581"/>
      <c r="V864" s="1581"/>
      <c r="W864" s="1581"/>
      <c r="X864" s="1581"/>
      <c r="Y864" s="1581"/>
      <c r="Z864" s="1581"/>
      <c r="AA864" s="1581"/>
      <c r="AB864" s="1581"/>
      <c r="AC864" s="1581"/>
      <c r="AD864" s="1581"/>
      <c r="AE864" s="1581"/>
      <c r="AF864" s="1581"/>
      <c r="AG864" s="1581"/>
      <c r="AH864" s="1581"/>
      <c r="AI864" s="1581"/>
      <c r="AJ864" s="1581"/>
      <c r="AK864" s="1581"/>
      <c r="AL864" s="1581"/>
      <c r="AM864" s="1581"/>
      <c r="AN864" s="1581"/>
    </row>
    <row r="865" spans="1:41">
      <c r="A865" s="1581"/>
      <c r="B865" s="1581"/>
      <c r="C865" s="1581"/>
      <c r="D865" s="1581"/>
      <c r="E865" s="1581"/>
      <c r="F865" s="1581"/>
      <c r="G865" s="1581"/>
      <c r="H865" s="1581"/>
      <c r="I865" s="1581"/>
      <c r="J865" s="1581"/>
      <c r="K865" s="1581"/>
      <c r="L865" s="1581"/>
      <c r="M865" s="1581"/>
      <c r="N865" s="1581"/>
      <c r="O865" s="1581"/>
      <c r="P865" s="1581"/>
      <c r="Q865" s="1581"/>
      <c r="R865" s="1581"/>
      <c r="S865" s="1581"/>
      <c r="T865" s="1581"/>
      <c r="U865" s="1581"/>
      <c r="V865" s="1581"/>
      <c r="W865" s="1581"/>
      <c r="X865" s="1581"/>
      <c r="Y865" s="1581"/>
      <c r="Z865" s="1581"/>
      <c r="AA865" s="1581"/>
      <c r="AB865" s="1581"/>
      <c r="AC865" s="1581"/>
      <c r="AD865" s="1581"/>
      <c r="AE865" s="1581"/>
      <c r="AF865" s="1581"/>
      <c r="AG865" s="1581"/>
      <c r="AH865" s="1581"/>
      <c r="AI865" s="1581"/>
      <c r="AJ865" s="1581"/>
      <c r="AK865" s="1581"/>
      <c r="AL865" s="1581"/>
      <c r="AM865" s="1581"/>
      <c r="AN865" s="1581"/>
    </row>
    <row r="866" spans="1:41">
      <c r="A866" s="1581"/>
      <c r="B866" s="1581"/>
      <c r="C866" s="1581"/>
      <c r="D866" s="1581"/>
      <c r="E866" s="1581"/>
      <c r="F866" s="1581"/>
      <c r="G866" s="1581"/>
      <c r="H866" s="1581"/>
      <c r="I866" s="1581"/>
      <c r="J866" s="1581"/>
      <c r="K866" s="1581"/>
      <c r="L866" s="1581"/>
      <c r="M866" s="1581"/>
      <c r="N866" s="1581"/>
      <c r="O866" s="1581"/>
      <c r="P866" s="1581"/>
      <c r="Q866" s="1581"/>
      <c r="R866" s="1581"/>
      <c r="S866" s="1581"/>
      <c r="T866" s="1581"/>
      <c r="U866" s="1581"/>
      <c r="V866" s="1581"/>
      <c r="W866" s="1581"/>
      <c r="X866" s="1581"/>
      <c r="Y866" s="1581"/>
      <c r="Z866" s="1581"/>
      <c r="AA866" s="1581"/>
      <c r="AB866" s="1581"/>
      <c r="AC866" s="1581"/>
      <c r="AD866" s="1581"/>
      <c r="AE866" s="1581"/>
      <c r="AF866" s="1581"/>
      <c r="AG866" s="1581"/>
      <c r="AH866" s="1581"/>
      <c r="AI866" s="1581"/>
      <c r="AJ866" s="1581"/>
      <c r="AK866" s="1581"/>
      <c r="AL866" s="1581"/>
      <c r="AM866" s="1581"/>
      <c r="AN866" s="1581"/>
    </row>
    <row r="867" spans="1:41">
      <c r="A867" s="1581"/>
      <c r="B867" s="1581"/>
      <c r="C867" s="1581"/>
      <c r="D867" s="1581"/>
      <c r="E867" s="1581"/>
      <c r="F867" s="1581"/>
      <c r="G867" s="1581"/>
      <c r="H867" s="1581"/>
      <c r="I867" s="1581"/>
      <c r="J867" s="1581"/>
      <c r="K867" s="1581"/>
      <c r="L867" s="1581"/>
      <c r="M867" s="1581"/>
      <c r="N867" s="1581"/>
      <c r="O867" s="1581"/>
      <c r="P867" s="1581"/>
      <c r="Q867" s="1581"/>
      <c r="R867" s="1581"/>
      <c r="S867" s="1581"/>
      <c r="T867" s="1581"/>
      <c r="U867" s="1581"/>
      <c r="V867" s="1581"/>
      <c r="W867" s="1581"/>
      <c r="X867" s="1581"/>
      <c r="Y867" s="1581"/>
      <c r="Z867" s="1581"/>
      <c r="AA867" s="1581"/>
      <c r="AB867" s="1581"/>
      <c r="AC867" s="1581"/>
      <c r="AD867" s="1581"/>
      <c r="AE867" s="1581"/>
      <c r="AF867" s="1581"/>
      <c r="AG867" s="1581"/>
      <c r="AH867" s="1581"/>
      <c r="AI867" s="1581"/>
      <c r="AJ867" s="1581"/>
      <c r="AK867" s="1581"/>
      <c r="AL867" s="1581"/>
      <c r="AM867" s="1581"/>
      <c r="AN867" s="1581"/>
    </row>
    <row r="868" spans="1:41" ht="12.75" customHeight="1">
      <c r="A868" s="828" t="s">
        <v>1933</v>
      </c>
      <c r="B868" s="828" t="s">
        <v>84</v>
      </c>
    </row>
    <row r="870" spans="1:41" ht="14.25" customHeight="1">
      <c r="W870" s="1170" t="s">
        <v>1995</v>
      </c>
      <c r="X870" s="1171"/>
      <c r="Y870" s="1171"/>
      <c r="Z870" s="1171"/>
      <c r="AA870" s="1171"/>
      <c r="AB870" s="1171"/>
      <c r="AC870" s="1171"/>
      <c r="AD870" s="1171"/>
      <c r="AE870" s="1171"/>
      <c r="AF870" s="1171"/>
      <c r="AG870" s="1171"/>
      <c r="AH870" s="1171"/>
      <c r="AI870" s="1171"/>
      <c r="AJ870" s="1171"/>
      <c r="AK870" s="1171"/>
      <c r="AL870" s="1171"/>
      <c r="AM870" s="1171"/>
      <c r="AN870" s="1172"/>
    </row>
    <row r="871" spans="1:41">
      <c r="A871" s="1582" t="s">
        <v>1996</v>
      </c>
      <c r="B871" s="1583"/>
      <c r="C871" s="1583"/>
      <c r="D871" s="1584"/>
      <c r="E871" s="1567" t="s">
        <v>796</v>
      </c>
      <c r="F871" s="1567"/>
      <c r="G871" s="1567"/>
      <c r="H871" s="1567"/>
      <c r="I871" s="1567"/>
      <c r="J871" s="1567"/>
      <c r="K871" s="1567"/>
      <c r="L871" s="1567"/>
      <c r="M871" s="1567"/>
      <c r="N871" s="1567"/>
      <c r="O871" s="1567"/>
      <c r="P871" s="1567"/>
      <c r="Q871" s="1567"/>
      <c r="R871" s="1567"/>
      <c r="S871" s="1567"/>
      <c r="T871" s="1567"/>
      <c r="U871" s="1567"/>
      <c r="V871" s="1567"/>
      <c r="W871" s="1568" t="s">
        <v>1039</v>
      </c>
      <c r="X871" s="1569"/>
      <c r="Y871" s="1569"/>
      <c r="Z871" s="1569"/>
      <c r="AA871" s="1569"/>
      <c r="AB871" s="1569"/>
      <c r="AC871" s="1569"/>
      <c r="AD871" s="1569"/>
      <c r="AE871" s="1570"/>
      <c r="AF871" s="1571" t="s">
        <v>278</v>
      </c>
      <c r="AG871" s="1572"/>
      <c r="AH871" s="1572"/>
      <c r="AI871" s="1572"/>
      <c r="AJ871" s="1572"/>
      <c r="AK871" s="1572"/>
      <c r="AL871" s="1572"/>
      <c r="AM871" s="1572"/>
      <c r="AN871" s="1573"/>
      <c r="AO871" s="1187" t="s">
        <v>2766</v>
      </c>
    </row>
    <row r="872" spans="1:41">
      <c r="A872" s="1574" t="str">
        <f>unos!A406</f>
        <v>480</v>
      </c>
      <c r="B872" s="1575"/>
      <c r="C872" s="1575"/>
      <c r="D872" s="1576"/>
      <c r="E872" s="1558" t="str">
        <f>unos!B406</f>
        <v>Obaveze za akcize</v>
      </c>
      <c r="F872" s="1559"/>
      <c r="G872" s="1559"/>
      <c r="H872" s="1559"/>
      <c r="I872" s="1559"/>
      <c r="J872" s="1559"/>
      <c r="K872" s="1559"/>
      <c r="L872" s="1559"/>
      <c r="M872" s="1559"/>
      <c r="N872" s="1559"/>
      <c r="O872" s="1559"/>
      <c r="P872" s="1559"/>
      <c r="Q872" s="1559"/>
      <c r="R872" s="1559"/>
      <c r="S872" s="1559"/>
      <c r="T872" s="1559"/>
      <c r="U872" s="1559"/>
      <c r="V872" s="1559"/>
      <c r="W872" s="1560">
        <f>unos!C406</f>
        <v>0</v>
      </c>
      <c r="X872" s="1561"/>
      <c r="Y872" s="1561"/>
      <c r="Z872" s="1561"/>
      <c r="AA872" s="1561"/>
      <c r="AB872" s="1561"/>
      <c r="AC872" s="1561"/>
      <c r="AD872" s="1561"/>
      <c r="AE872" s="1562"/>
      <c r="AF872" s="1563">
        <f>unos!F406</f>
        <v>0</v>
      </c>
      <c r="AG872" s="1561"/>
      <c r="AH872" s="1561"/>
      <c r="AI872" s="1561"/>
      <c r="AJ872" s="1561"/>
      <c r="AK872" s="1561"/>
      <c r="AL872" s="1561"/>
      <c r="AM872" s="1561"/>
      <c r="AN872" s="1562"/>
      <c r="AO872" s="1186">
        <f>IF(OR(W872=0,AF872=0),0,ROUND(AF872/W872,4))</f>
        <v>0</v>
      </c>
    </row>
    <row r="873" spans="1:41">
      <c r="A873" s="1574" t="str">
        <f>unos!A407</f>
        <v>481</v>
      </c>
      <c r="B873" s="1575"/>
      <c r="C873" s="1575"/>
      <c r="D873" s="1576"/>
      <c r="E873" s="1558" t="str">
        <f>unos!B407</f>
        <v>Obaveze za porez na dobit</v>
      </c>
      <c r="F873" s="1559"/>
      <c r="G873" s="1559"/>
      <c r="H873" s="1559"/>
      <c r="I873" s="1559"/>
      <c r="J873" s="1559"/>
      <c r="K873" s="1559"/>
      <c r="L873" s="1559"/>
      <c r="M873" s="1559"/>
      <c r="N873" s="1559"/>
      <c r="O873" s="1559"/>
      <c r="P873" s="1559"/>
      <c r="Q873" s="1559"/>
      <c r="R873" s="1559"/>
      <c r="S873" s="1559"/>
      <c r="T873" s="1559"/>
      <c r="U873" s="1559"/>
      <c r="V873" s="1559"/>
      <c r="W873" s="1560">
        <f>unos!C407</f>
        <v>0</v>
      </c>
      <c r="X873" s="1561"/>
      <c r="Y873" s="1561"/>
      <c r="Z873" s="1561"/>
      <c r="AA873" s="1561"/>
      <c r="AB873" s="1561"/>
      <c r="AC873" s="1561"/>
      <c r="AD873" s="1561"/>
      <c r="AE873" s="1562"/>
      <c r="AF873" s="1563">
        <f>unos!F407</f>
        <v>0</v>
      </c>
      <c r="AG873" s="1561"/>
      <c r="AH873" s="1561"/>
      <c r="AI873" s="1561"/>
      <c r="AJ873" s="1561"/>
      <c r="AK873" s="1561"/>
      <c r="AL873" s="1561"/>
      <c r="AM873" s="1561"/>
      <c r="AN873" s="1562"/>
      <c r="AO873" s="1186">
        <f t="shared" ref="AO873:AO878" si="37">IF(OR(W873=0,AF873=0),0,ROUND(AF873/W873,4))</f>
        <v>0</v>
      </c>
    </row>
    <row r="874" spans="1:41">
      <c r="A874" s="1574" t="str">
        <f>unos!A408</f>
        <v>482</v>
      </c>
      <c r="B874" s="1575"/>
      <c r="C874" s="1575"/>
      <c r="D874" s="1576"/>
      <c r="E874" s="1558" t="str">
        <f>unos!B408</f>
        <v>Obaveze za poreze,carine i dr.dadžb.iz nabavk</v>
      </c>
      <c r="F874" s="1559"/>
      <c r="G874" s="1559"/>
      <c r="H874" s="1559"/>
      <c r="I874" s="1559"/>
      <c r="J874" s="1559"/>
      <c r="K874" s="1559"/>
      <c r="L874" s="1559"/>
      <c r="M874" s="1559"/>
      <c r="N874" s="1559"/>
      <c r="O874" s="1559"/>
      <c r="P874" s="1559"/>
      <c r="Q874" s="1559"/>
      <c r="R874" s="1559"/>
      <c r="S874" s="1559"/>
      <c r="T874" s="1559"/>
      <c r="U874" s="1559"/>
      <c r="V874" s="1559"/>
      <c r="W874" s="1560">
        <f>unos!C408</f>
        <v>0</v>
      </c>
      <c r="X874" s="1561"/>
      <c r="Y874" s="1561"/>
      <c r="Z874" s="1561"/>
      <c r="AA874" s="1561"/>
      <c r="AB874" s="1561"/>
      <c r="AC874" s="1561"/>
      <c r="AD874" s="1561"/>
      <c r="AE874" s="1562"/>
      <c r="AF874" s="1563">
        <f>unos!F408</f>
        <v>0</v>
      </c>
      <c r="AG874" s="1561"/>
      <c r="AH874" s="1561"/>
      <c r="AI874" s="1561"/>
      <c r="AJ874" s="1561"/>
      <c r="AK874" s="1561"/>
      <c r="AL874" s="1561"/>
      <c r="AM874" s="1561"/>
      <c r="AN874" s="1562"/>
      <c r="AO874" s="1186">
        <f t="shared" si="37"/>
        <v>0</v>
      </c>
    </row>
    <row r="875" spans="1:41">
      <c r="A875" s="1574" t="str">
        <f>unos!A409</f>
        <v>483</v>
      </c>
      <c r="B875" s="1575"/>
      <c r="C875" s="1575"/>
      <c r="D875" s="1576"/>
      <c r="E875" s="1558" t="str">
        <f>unos!B409</f>
        <v>Obaveze za ostale dopr.članarine i sl.</v>
      </c>
      <c r="F875" s="1559"/>
      <c r="G875" s="1559"/>
      <c r="H875" s="1559"/>
      <c r="I875" s="1559"/>
      <c r="J875" s="1559"/>
      <c r="K875" s="1559"/>
      <c r="L875" s="1559"/>
      <c r="M875" s="1559"/>
      <c r="N875" s="1559"/>
      <c r="O875" s="1559"/>
      <c r="P875" s="1559"/>
      <c r="Q875" s="1559"/>
      <c r="R875" s="1559"/>
      <c r="S875" s="1559"/>
      <c r="T875" s="1559"/>
      <c r="U875" s="1559"/>
      <c r="V875" s="1559"/>
      <c r="W875" s="1560">
        <f>unos!C409</f>
        <v>0</v>
      </c>
      <c r="X875" s="1561"/>
      <c r="Y875" s="1561"/>
      <c r="Z875" s="1561"/>
      <c r="AA875" s="1561"/>
      <c r="AB875" s="1561"/>
      <c r="AC875" s="1561"/>
      <c r="AD875" s="1561"/>
      <c r="AE875" s="1562"/>
      <c r="AF875" s="1563">
        <f>unos!F409</f>
        <v>0</v>
      </c>
      <c r="AG875" s="1561"/>
      <c r="AH875" s="1561"/>
      <c r="AI875" s="1561"/>
      <c r="AJ875" s="1561"/>
      <c r="AK875" s="1561"/>
      <c r="AL875" s="1561"/>
      <c r="AM875" s="1561"/>
      <c r="AN875" s="1562"/>
      <c r="AO875" s="1186">
        <f t="shared" si="37"/>
        <v>0</v>
      </c>
    </row>
    <row r="876" spans="1:41">
      <c r="A876" s="1574" t="str">
        <f>unos!A410</f>
        <v>484</v>
      </c>
      <c r="B876" s="1575"/>
      <c r="C876" s="1575"/>
      <c r="D876" s="1576"/>
      <c r="E876" s="1558" t="str">
        <f>unos!B410</f>
        <v>Obaveze za PDV koji se plaća pri uvozu</v>
      </c>
      <c r="F876" s="1559"/>
      <c r="G876" s="1559"/>
      <c r="H876" s="1559"/>
      <c r="I876" s="1559"/>
      <c r="J876" s="1559"/>
      <c r="K876" s="1559"/>
      <c r="L876" s="1559"/>
      <c r="M876" s="1559"/>
      <c r="N876" s="1559"/>
      <c r="O876" s="1559"/>
      <c r="P876" s="1559"/>
      <c r="Q876" s="1559"/>
      <c r="R876" s="1559"/>
      <c r="S876" s="1559"/>
      <c r="T876" s="1559"/>
      <c r="U876" s="1559"/>
      <c r="V876" s="1559"/>
      <c r="W876" s="1560">
        <f>unos!C410</f>
        <v>0</v>
      </c>
      <c r="X876" s="1561"/>
      <c r="Y876" s="1561"/>
      <c r="Z876" s="1561"/>
      <c r="AA876" s="1561"/>
      <c r="AB876" s="1561"/>
      <c r="AC876" s="1561"/>
      <c r="AD876" s="1561"/>
      <c r="AE876" s="1562"/>
      <c r="AF876" s="1563">
        <f>unos!F410</f>
        <v>0</v>
      </c>
      <c r="AG876" s="1561"/>
      <c r="AH876" s="1561"/>
      <c r="AI876" s="1561"/>
      <c r="AJ876" s="1561"/>
      <c r="AK876" s="1561"/>
      <c r="AL876" s="1561"/>
      <c r="AM876" s="1561"/>
      <c r="AN876" s="1562"/>
      <c r="AO876" s="1186">
        <f t="shared" si="37"/>
        <v>0</v>
      </c>
    </row>
    <row r="877" spans="1:41">
      <c r="A877" s="1574" t="str">
        <f>unos!A411</f>
        <v>489</v>
      </c>
      <c r="B877" s="1575"/>
      <c r="C877" s="1575"/>
      <c r="D877" s="1576"/>
      <c r="E877" s="1558" t="str">
        <f>unos!B411</f>
        <v>Ostale obaveze za poreze,doprinose i dr.dadž.</v>
      </c>
      <c r="F877" s="1559"/>
      <c r="G877" s="1559"/>
      <c r="H877" s="1559"/>
      <c r="I877" s="1559"/>
      <c r="J877" s="1559"/>
      <c r="K877" s="1559"/>
      <c r="L877" s="1559"/>
      <c r="M877" s="1559"/>
      <c r="N877" s="1559"/>
      <c r="O877" s="1559"/>
      <c r="P877" s="1559"/>
      <c r="Q877" s="1559"/>
      <c r="R877" s="1559"/>
      <c r="S877" s="1559"/>
      <c r="T877" s="1559"/>
      <c r="U877" s="1559"/>
      <c r="V877" s="1559"/>
      <c r="W877" s="1560">
        <f>unos!C411</f>
        <v>0</v>
      </c>
      <c r="X877" s="1561"/>
      <c r="Y877" s="1561"/>
      <c r="Z877" s="1561"/>
      <c r="AA877" s="1561"/>
      <c r="AB877" s="1561"/>
      <c r="AC877" s="1561"/>
      <c r="AD877" s="1561"/>
      <c r="AE877" s="1562"/>
      <c r="AF877" s="1563">
        <f>unos!F411</f>
        <v>0</v>
      </c>
      <c r="AG877" s="1561"/>
      <c r="AH877" s="1561"/>
      <c r="AI877" s="1561"/>
      <c r="AJ877" s="1561"/>
      <c r="AK877" s="1561"/>
      <c r="AL877" s="1561"/>
      <c r="AM877" s="1561"/>
      <c r="AN877" s="1562"/>
      <c r="AO877" s="1186">
        <f t="shared" si="37"/>
        <v>0</v>
      </c>
    </row>
    <row r="878" spans="1:41">
      <c r="A878" s="1577"/>
      <c r="B878" s="1577"/>
      <c r="C878" s="1577"/>
      <c r="D878" s="1577"/>
      <c r="E878" s="1167"/>
      <c r="F878" s="1168"/>
      <c r="G878" s="1168"/>
      <c r="H878" s="1168"/>
      <c r="I878" s="1168"/>
      <c r="J878" s="1168"/>
      <c r="K878" s="1168"/>
      <c r="L878" s="1168"/>
      <c r="M878" s="1168"/>
      <c r="N878" s="1168"/>
      <c r="O878" s="1168"/>
      <c r="P878" s="1168"/>
      <c r="Q878" s="1168"/>
      <c r="R878" s="1168"/>
      <c r="S878" s="1167"/>
      <c r="T878" s="1167"/>
      <c r="U878" s="1167"/>
      <c r="V878" s="1169" t="s">
        <v>1997</v>
      </c>
      <c r="W878" s="1578">
        <f>SUM(W872:W877)</f>
        <v>0</v>
      </c>
      <c r="X878" s="1579"/>
      <c r="Y878" s="1579"/>
      <c r="Z878" s="1579"/>
      <c r="AA878" s="1579"/>
      <c r="AB878" s="1579"/>
      <c r="AC878" s="1579"/>
      <c r="AD878" s="1579"/>
      <c r="AE878" s="1580"/>
      <c r="AF878" s="1578">
        <f>SUM(AF872:AF877)</f>
        <v>0</v>
      </c>
      <c r="AG878" s="1579"/>
      <c r="AH878" s="1579"/>
      <c r="AI878" s="1579"/>
      <c r="AJ878" s="1579"/>
      <c r="AK878" s="1579"/>
      <c r="AL878" s="1579"/>
      <c r="AM878" s="1579"/>
      <c r="AN878" s="1580"/>
      <c r="AO878" s="1185">
        <f t="shared" si="37"/>
        <v>0</v>
      </c>
    </row>
    <row r="880" spans="1:41">
      <c r="A880" s="1581"/>
      <c r="B880" s="1581"/>
      <c r="C880" s="1581"/>
      <c r="D880" s="1581"/>
      <c r="E880" s="1581"/>
      <c r="F880" s="1581"/>
      <c r="G880" s="1581"/>
      <c r="H880" s="1581"/>
      <c r="I880" s="1581"/>
      <c r="J880" s="1581"/>
      <c r="K880" s="1581"/>
      <c r="L880" s="1581"/>
      <c r="M880" s="1581"/>
      <c r="N880" s="1581"/>
      <c r="O880" s="1581"/>
      <c r="P880" s="1581"/>
      <c r="Q880" s="1581"/>
      <c r="R880" s="1581"/>
      <c r="S880" s="1581"/>
      <c r="T880" s="1581"/>
      <c r="U880" s="1581"/>
      <c r="V880" s="1581"/>
      <c r="W880" s="1581"/>
      <c r="X880" s="1581"/>
      <c r="Y880" s="1581"/>
      <c r="Z880" s="1581"/>
      <c r="AA880" s="1581"/>
      <c r="AB880" s="1581"/>
      <c r="AC880" s="1581"/>
      <c r="AD880" s="1581"/>
      <c r="AE880" s="1581"/>
      <c r="AF880" s="1581"/>
      <c r="AG880" s="1581"/>
      <c r="AH880" s="1581"/>
      <c r="AI880" s="1581"/>
      <c r="AJ880" s="1581"/>
      <c r="AK880" s="1581"/>
      <c r="AL880" s="1581"/>
      <c r="AM880" s="1581"/>
      <c r="AN880" s="1581"/>
    </row>
    <row r="881" spans="1:41">
      <c r="A881" s="1581"/>
      <c r="B881" s="1581"/>
      <c r="C881" s="1581"/>
      <c r="D881" s="1581"/>
      <c r="E881" s="1581"/>
      <c r="F881" s="1581"/>
      <c r="G881" s="1581"/>
      <c r="H881" s="1581"/>
      <c r="I881" s="1581"/>
      <c r="J881" s="1581"/>
      <c r="K881" s="1581"/>
      <c r="L881" s="1581"/>
      <c r="M881" s="1581"/>
      <c r="N881" s="1581"/>
      <c r="O881" s="1581"/>
      <c r="P881" s="1581"/>
      <c r="Q881" s="1581"/>
      <c r="R881" s="1581"/>
      <c r="S881" s="1581"/>
      <c r="T881" s="1581"/>
      <c r="U881" s="1581"/>
      <c r="V881" s="1581"/>
      <c r="W881" s="1581"/>
      <c r="X881" s="1581"/>
      <c r="Y881" s="1581"/>
      <c r="Z881" s="1581"/>
      <c r="AA881" s="1581"/>
      <c r="AB881" s="1581"/>
      <c r="AC881" s="1581"/>
      <c r="AD881" s="1581"/>
      <c r="AE881" s="1581"/>
      <c r="AF881" s="1581"/>
      <c r="AG881" s="1581"/>
      <c r="AH881" s="1581"/>
      <c r="AI881" s="1581"/>
      <c r="AJ881" s="1581"/>
      <c r="AK881" s="1581"/>
      <c r="AL881" s="1581"/>
      <c r="AM881" s="1581"/>
      <c r="AN881" s="1581"/>
    </row>
    <row r="882" spans="1:41">
      <c r="A882" s="1581"/>
      <c r="B882" s="1581"/>
      <c r="C882" s="1581"/>
      <c r="D882" s="1581"/>
      <c r="E882" s="1581"/>
      <c r="F882" s="1581"/>
      <c r="G882" s="1581"/>
      <c r="H882" s="1581"/>
      <c r="I882" s="1581"/>
      <c r="J882" s="1581"/>
      <c r="K882" s="1581"/>
      <c r="L882" s="1581"/>
      <c r="M882" s="1581"/>
      <c r="N882" s="1581"/>
      <c r="O882" s="1581"/>
      <c r="P882" s="1581"/>
      <c r="Q882" s="1581"/>
      <c r="R882" s="1581"/>
      <c r="S882" s="1581"/>
      <c r="T882" s="1581"/>
      <c r="U882" s="1581"/>
      <c r="V882" s="1581"/>
      <c r="W882" s="1581"/>
      <c r="X882" s="1581"/>
      <c r="Y882" s="1581"/>
      <c r="Z882" s="1581"/>
      <c r="AA882" s="1581"/>
      <c r="AB882" s="1581"/>
      <c r="AC882" s="1581"/>
      <c r="AD882" s="1581"/>
      <c r="AE882" s="1581"/>
      <c r="AF882" s="1581"/>
      <c r="AG882" s="1581"/>
      <c r="AH882" s="1581"/>
      <c r="AI882" s="1581"/>
      <c r="AJ882" s="1581"/>
      <c r="AK882" s="1581"/>
      <c r="AL882" s="1581"/>
      <c r="AM882" s="1581"/>
      <c r="AN882" s="1581"/>
    </row>
    <row r="883" spans="1:41">
      <c r="A883" s="1581"/>
      <c r="B883" s="1581"/>
      <c r="C883" s="1581"/>
      <c r="D883" s="1581"/>
      <c r="E883" s="1581"/>
      <c r="F883" s="1581"/>
      <c r="G883" s="1581"/>
      <c r="H883" s="1581"/>
      <c r="I883" s="1581"/>
      <c r="J883" s="1581"/>
      <c r="K883" s="1581"/>
      <c r="L883" s="1581"/>
      <c r="M883" s="1581"/>
      <c r="N883" s="1581"/>
      <c r="O883" s="1581"/>
      <c r="P883" s="1581"/>
      <c r="Q883" s="1581"/>
      <c r="R883" s="1581"/>
      <c r="S883" s="1581"/>
      <c r="T883" s="1581"/>
      <c r="U883" s="1581"/>
      <c r="V883" s="1581"/>
      <c r="W883" s="1581"/>
      <c r="X883" s="1581"/>
      <c r="Y883" s="1581"/>
      <c r="Z883" s="1581"/>
      <c r="AA883" s="1581"/>
      <c r="AB883" s="1581"/>
      <c r="AC883" s="1581"/>
      <c r="AD883" s="1581"/>
      <c r="AE883" s="1581"/>
      <c r="AF883" s="1581"/>
      <c r="AG883" s="1581"/>
      <c r="AH883" s="1581"/>
      <c r="AI883" s="1581"/>
      <c r="AJ883" s="1581"/>
      <c r="AK883" s="1581"/>
      <c r="AL883" s="1581"/>
      <c r="AM883" s="1581"/>
      <c r="AN883" s="1581"/>
    </row>
    <row r="884" spans="1:41" ht="12.75" customHeight="1">
      <c r="A884" s="828" t="s">
        <v>1933</v>
      </c>
      <c r="B884" s="828" t="s">
        <v>85</v>
      </c>
    </row>
    <row r="886" spans="1:41" ht="14.25" customHeight="1">
      <c r="W886" s="1170" t="s">
        <v>1995</v>
      </c>
      <c r="X886" s="1171"/>
      <c r="Y886" s="1171"/>
      <c r="Z886" s="1171"/>
      <c r="AA886" s="1171"/>
      <c r="AB886" s="1171"/>
      <c r="AC886" s="1171"/>
      <c r="AD886" s="1171"/>
      <c r="AE886" s="1171"/>
      <c r="AF886" s="1171"/>
      <c r="AG886" s="1171"/>
      <c r="AH886" s="1171"/>
      <c r="AI886" s="1171"/>
      <c r="AJ886" s="1171"/>
      <c r="AK886" s="1171"/>
      <c r="AL886" s="1171"/>
      <c r="AM886" s="1171"/>
      <c r="AN886" s="1172"/>
    </row>
    <row r="887" spans="1:41">
      <c r="A887" s="1582" t="s">
        <v>1996</v>
      </c>
      <c r="B887" s="1583"/>
      <c r="C887" s="1583"/>
      <c r="D887" s="1584"/>
      <c r="E887" s="1567" t="s">
        <v>796</v>
      </c>
      <c r="F887" s="1567"/>
      <c r="G887" s="1567"/>
      <c r="H887" s="1567"/>
      <c r="I887" s="1567"/>
      <c r="J887" s="1567"/>
      <c r="K887" s="1567"/>
      <c r="L887" s="1567"/>
      <c r="M887" s="1567"/>
      <c r="N887" s="1567"/>
      <c r="O887" s="1567"/>
      <c r="P887" s="1567"/>
      <c r="Q887" s="1567"/>
      <c r="R887" s="1567"/>
      <c r="S887" s="1567"/>
      <c r="T887" s="1567"/>
      <c r="U887" s="1567"/>
      <c r="V887" s="1567"/>
      <c r="W887" s="1568" t="s">
        <v>1039</v>
      </c>
      <c r="X887" s="1569"/>
      <c r="Y887" s="1569"/>
      <c r="Z887" s="1569"/>
      <c r="AA887" s="1569"/>
      <c r="AB887" s="1569"/>
      <c r="AC887" s="1569"/>
      <c r="AD887" s="1569"/>
      <c r="AE887" s="1570"/>
      <c r="AF887" s="1571" t="s">
        <v>278</v>
      </c>
      <c r="AG887" s="1572"/>
      <c r="AH887" s="1572"/>
      <c r="AI887" s="1572"/>
      <c r="AJ887" s="1572"/>
      <c r="AK887" s="1572"/>
      <c r="AL887" s="1572"/>
      <c r="AM887" s="1572"/>
      <c r="AN887" s="1573"/>
      <c r="AO887" s="1187" t="s">
        <v>2766</v>
      </c>
    </row>
    <row r="888" spans="1:41">
      <c r="A888" s="1574" t="str">
        <f>unos!A412</f>
        <v>490</v>
      </c>
      <c r="B888" s="1575"/>
      <c r="C888" s="1575"/>
      <c r="D888" s="1576"/>
      <c r="E888" s="1558" t="str">
        <f>unos!B412</f>
        <v>Unaprijed obračunati rashodi perioda</v>
      </c>
      <c r="F888" s="1559"/>
      <c r="G888" s="1559"/>
      <c r="H888" s="1559"/>
      <c r="I888" s="1559"/>
      <c r="J888" s="1559"/>
      <c r="K888" s="1559"/>
      <c r="L888" s="1559"/>
      <c r="M888" s="1559"/>
      <c r="N888" s="1559"/>
      <c r="O888" s="1559"/>
      <c r="P888" s="1559"/>
      <c r="Q888" s="1559"/>
      <c r="R888" s="1559"/>
      <c r="S888" s="1559"/>
      <c r="T888" s="1559"/>
      <c r="U888" s="1559"/>
      <c r="V888" s="1559"/>
      <c r="W888" s="1560">
        <f>unos!C412</f>
        <v>0</v>
      </c>
      <c r="X888" s="1561"/>
      <c r="Y888" s="1561"/>
      <c r="Z888" s="1561"/>
      <c r="AA888" s="1561"/>
      <c r="AB888" s="1561"/>
      <c r="AC888" s="1561"/>
      <c r="AD888" s="1561"/>
      <c r="AE888" s="1562"/>
      <c r="AF888" s="1563">
        <f>unos!F412</f>
        <v>0</v>
      </c>
      <c r="AG888" s="1561"/>
      <c r="AH888" s="1561"/>
      <c r="AI888" s="1561"/>
      <c r="AJ888" s="1561"/>
      <c r="AK888" s="1561"/>
      <c r="AL888" s="1561"/>
      <c r="AM888" s="1561"/>
      <c r="AN888" s="1562"/>
      <c r="AO888" s="1186">
        <f>IF(OR(W888=0,AF888=0),0,ROUND(AF888/W888,4))</f>
        <v>0</v>
      </c>
    </row>
    <row r="889" spans="1:41">
      <c r="A889" s="1574" t="str">
        <f>unos!A413</f>
        <v>491</v>
      </c>
      <c r="B889" s="1575"/>
      <c r="C889" s="1575"/>
      <c r="D889" s="1576"/>
      <c r="E889" s="1558" t="str">
        <f>unos!B413</f>
        <v>Obračunati prihodi narednog perioda</v>
      </c>
      <c r="F889" s="1559"/>
      <c r="G889" s="1559"/>
      <c r="H889" s="1559"/>
      <c r="I889" s="1559"/>
      <c r="J889" s="1559"/>
      <c r="K889" s="1559"/>
      <c r="L889" s="1559"/>
      <c r="M889" s="1559"/>
      <c r="N889" s="1559"/>
      <c r="O889" s="1559"/>
      <c r="P889" s="1559"/>
      <c r="Q889" s="1559"/>
      <c r="R889" s="1559"/>
      <c r="S889" s="1559"/>
      <c r="T889" s="1559"/>
      <c r="U889" s="1559"/>
      <c r="V889" s="1559"/>
      <c r="W889" s="1560">
        <f>unos!C413</f>
        <v>0</v>
      </c>
      <c r="X889" s="1561"/>
      <c r="Y889" s="1561"/>
      <c r="Z889" s="1561"/>
      <c r="AA889" s="1561"/>
      <c r="AB889" s="1561"/>
      <c r="AC889" s="1561"/>
      <c r="AD889" s="1561"/>
      <c r="AE889" s="1562"/>
      <c r="AF889" s="1563">
        <f>unos!F413</f>
        <v>0</v>
      </c>
      <c r="AG889" s="1561"/>
      <c r="AH889" s="1561"/>
      <c r="AI889" s="1561"/>
      <c r="AJ889" s="1561"/>
      <c r="AK889" s="1561"/>
      <c r="AL889" s="1561"/>
      <c r="AM889" s="1561"/>
      <c r="AN889" s="1562"/>
      <c r="AO889" s="1186">
        <f t="shared" ref="AO889:AO895" si="38">IF(OR(W889=0,AF889=0),0,ROUND(AF889/W889,4))</f>
        <v>0</v>
      </c>
    </row>
    <row r="890" spans="1:41">
      <c r="A890" s="1574" t="str">
        <f>unos!A414</f>
        <v>492</v>
      </c>
      <c r="B890" s="1575"/>
      <c r="C890" s="1575"/>
      <c r="D890" s="1576"/>
      <c r="E890" s="1558" t="str">
        <f>unos!B414</f>
        <v>Razgraničeni zavisni troškovi nabave</v>
      </c>
      <c r="F890" s="1559"/>
      <c r="G890" s="1559"/>
      <c r="H890" s="1559"/>
      <c r="I890" s="1559"/>
      <c r="J890" s="1559"/>
      <c r="K890" s="1559"/>
      <c r="L890" s="1559"/>
      <c r="M890" s="1559"/>
      <c r="N890" s="1559"/>
      <c r="O890" s="1559"/>
      <c r="P890" s="1559"/>
      <c r="Q890" s="1559"/>
      <c r="R890" s="1559"/>
      <c r="S890" s="1559"/>
      <c r="T890" s="1559"/>
      <c r="U890" s="1559"/>
      <c r="V890" s="1559"/>
      <c r="W890" s="1560">
        <f>unos!C414</f>
        <v>0</v>
      </c>
      <c r="X890" s="1561"/>
      <c r="Y890" s="1561"/>
      <c r="Z890" s="1561"/>
      <c r="AA890" s="1561"/>
      <c r="AB890" s="1561"/>
      <c r="AC890" s="1561"/>
      <c r="AD890" s="1561"/>
      <c r="AE890" s="1562"/>
      <c r="AF890" s="1563">
        <f>unos!F414</f>
        <v>0</v>
      </c>
      <c r="AG890" s="1561"/>
      <c r="AH890" s="1561"/>
      <c r="AI890" s="1561"/>
      <c r="AJ890" s="1561"/>
      <c r="AK890" s="1561"/>
      <c r="AL890" s="1561"/>
      <c r="AM890" s="1561"/>
      <c r="AN890" s="1562"/>
      <c r="AO890" s="1186">
        <f t="shared" si="38"/>
        <v>0</v>
      </c>
    </row>
    <row r="891" spans="1:41">
      <c r="A891" s="1574" t="str">
        <f>unos!A415</f>
        <v>493</v>
      </c>
      <c r="B891" s="1575"/>
      <c r="C891" s="1575"/>
      <c r="D891" s="1576"/>
      <c r="E891" s="1558" t="str">
        <f>unos!B415</f>
        <v>Odloženi prihodi za primljene donacije i sl.</v>
      </c>
      <c r="F891" s="1559"/>
      <c r="G891" s="1559"/>
      <c r="H891" s="1559"/>
      <c r="I891" s="1559"/>
      <c r="J891" s="1559"/>
      <c r="K891" s="1559"/>
      <c r="L891" s="1559"/>
      <c r="M891" s="1559"/>
      <c r="N891" s="1559"/>
      <c r="O891" s="1559"/>
      <c r="P891" s="1559"/>
      <c r="Q891" s="1559"/>
      <c r="R891" s="1559"/>
      <c r="S891" s="1559"/>
      <c r="T891" s="1559"/>
      <c r="U891" s="1559"/>
      <c r="V891" s="1559"/>
      <c r="W891" s="1560">
        <f>unos!C415</f>
        <v>0</v>
      </c>
      <c r="X891" s="1561"/>
      <c r="Y891" s="1561"/>
      <c r="Z891" s="1561"/>
      <c r="AA891" s="1561"/>
      <c r="AB891" s="1561"/>
      <c r="AC891" s="1561"/>
      <c r="AD891" s="1561"/>
      <c r="AE891" s="1562"/>
      <c r="AF891" s="1563">
        <f>unos!F415</f>
        <v>0</v>
      </c>
      <c r="AG891" s="1561"/>
      <c r="AH891" s="1561"/>
      <c r="AI891" s="1561"/>
      <c r="AJ891" s="1561"/>
      <c r="AK891" s="1561"/>
      <c r="AL891" s="1561"/>
      <c r="AM891" s="1561"/>
      <c r="AN891" s="1562"/>
      <c r="AO891" s="1186">
        <f t="shared" si="38"/>
        <v>0</v>
      </c>
    </row>
    <row r="892" spans="1:41">
      <c r="A892" s="1574" t="str">
        <f>unos!A416</f>
        <v>494</v>
      </c>
      <c r="B892" s="1575"/>
      <c r="C892" s="1575"/>
      <c r="D892" s="1576"/>
      <c r="E892" s="1558" t="str">
        <f>unos!B416</f>
        <v>Razgraničeni prihodi po osnovu plasmana</v>
      </c>
      <c r="F892" s="1559"/>
      <c r="G892" s="1559"/>
      <c r="H892" s="1559"/>
      <c r="I892" s="1559"/>
      <c r="J892" s="1559"/>
      <c r="K892" s="1559"/>
      <c r="L892" s="1559"/>
      <c r="M892" s="1559"/>
      <c r="N892" s="1559"/>
      <c r="O892" s="1559"/>
      <c r="P892" s="1559"/>
      <c r="Q892" s="1559"/>
      <c r="R892" s="1559"/>
      <c r="S892" s="1559"/>
      <c r="T892" s="1559"/>
      <c r="U892" s="1559"/>
      <c r="V892" s="1559"/>
      <c r="W892" s="1560">
        <f>unos!C416</f>
        <v>0</v>
      </c>
      <c r="X892" s="1561"/>
      <c r="Y892" s="1561"/>
      <c r="Z892" s="1561"/>
      <c r="AA892" s="1561"/>
      <c r="AB892" s="1561"/>
      <c r="AC892" s="1561"/>
      <c r="AD892" s="1561"/>
      <c r="AE892" s="1562"/>
      <c r="AF892" s="1563">
        <f>unos!F416</f>
        <v>0</v>
      </c>
      <c r="AG892" s="1561"/>
      <c r="AH892" s="1561"/>
      <c r="AI892" s="1561"/>
      <c r="AJ892" s="1561"/>
      <c r="AK892" s="1561"/>
      <c r="AL892" s="1561"/>
      <c r="AM892" s="1561"/>
      <c r="AN892" s="1562"/>
      <c r="AO892" s="1186">
        <f t="shared" si="38"/>
        <v>0</v>
      </c>
    </row>
    <row r="893" spans="1:41">
      <c r="A893" s="1574" t="str">
        <f>unos!A417</f>
        <v>495</v>
      </c>
      <c r="B893" s="1575"/>
      <c r="C893" s="1575"/>
      <c r="D893" s="1576"/>
      <c r="E893" s="1558" t="str">
        <f>unos!B417</f>
        <v>Odložene porezne obaveze</v>
      </c>
      <c r="F893" s="1559"/>
      <c r="G893" s="1559"/>
      <c r="H893" s="1559"/>
      <c r="I893" s="1559"/>
      <c r="J893" s="1559"/>
      <c r="K893" s="1559"/>
      <c r="L893" s="1559"/>
      <c r="M893" s="1559"/>
      <c r="N893" s="1559"/>
      <c r="O893" s="1559"/>
      <c r="P893" s="1559"/>
      <c r="Q893" s="1559"/>
      <c r="R893" s="1559"/>
      <c r="S893" s="1559"/>
      <c r="T893" s="1559"/>
      <c r="U893" s="1559"/>
      <c r="V893" s="1559"/>
      <c r="W893" s="1560">
        <f>unos!C417</f>
        <v>0</v>
      </c>
      <c r="X893" s="1561"/>
      <c r="Y893" s="1561"/>
      <c r="Z893" s="1561"/>
      <c r="AA893" s="1561"/>
      <c r="AB893" s="1561"/>
      <c r="AC893" s="1561"/>
      <c r="AD893" s="1561"/>
      <c r="AE893" s="1562"/>
      <c r="AF893" s="1563">
        <f>unos!F417</f>
        <v>0</v>
      </c>
      <c r="AG893" s="1561"/>
      <c r="AH893" s="1561"/>
      <c r="AI893" s="1561"/>
      <c r="AJ893" s="1561"/>
      <c r="AK893" s="1561"/>
      <c r="AL893" s="1561"/>
      <c r="AM893" s="1561"/>
      <c r="AN893" s="1562"/>
      <c r="AO893" s="1186">
        <f t="shared" si="38"/>
        <v>0</v>
      </c>
    </row>
    <row r="894" spans="1:41">
      <c r="A894" s="1574" t="str">
        <f>unos!A418</f>
        <v>499</v>
      </c>
      <c r="B894" s="1575"/>
      <c r="C894" s="1575"/>
      <c r="D894" s="1576"/>
      <c r="E894" s="1558" t="str">
        <f>unos!B418</f>
        <v>Ostala pasivna vremenska razgraničenja</v>
      </c>
      <c r="F894" s="1559"/>
      <c r="G894" s="1559"/>
      <c r="H894" s="1559"/>
      <c r="I894" s="1559"/>
      <c r="J894" s="1559"/>
      <c r="K894" s="1559"/>
      <c r="L894" s="1559"/>
      <c r="M894" s="1559"/>
      <c r="N894" s="1559"/>
      <c r="O894" s="1559"/>
      <c r="P894" s="1559"/>
      <c r="Q894" s="1559"/>
      <c r="R894" s="1559"/>
      <c r="S894" s="1559"/>
      <c r="T894" s="1559"/>
      <c r="U894" s="1559"/>
      <c r="V894" s="1559"/>
      <c r="W894" s="1560">
        <f>unos!C418</f>
        <v>0</v>
      </c>
      <c r="X894" s="1561"/>
      <c r="Y894" s="1561"/>
      <c r="Z894" s="1561"/>
      <c r="AA894" s="1561"/>
      <c r="AB894" s="1561"/>
      <c r="AC894" s="1561"/>
      <c r="AD894" s="1561"/>
      <c r="AE894" s="1562"/>
      <c r="AF894" s="1563">
        <f>unos!F418</f>
        <v>0</v>
      </c>
      <c r="AG894" s="1561"/>
      <c r="AH894" s="1561"/>
      <c r="AI894" s="1561"/>
      <c r="AJ894" s="1561"/>
      <c r="AK894" s="1561"/>
      <c r="AL894" s="1561"/>
      <c r="AM894" s="1561"/>
      <c r="AN894" s="1562"/>
      <c r="AO894" s="1186">
        <f t="shared" si="38"/>
        <v>0</v>
      </c>
    </row>
    <row r="895" spans="1:41">
      <c r="A895" s="1577"/>
      <c r="B895" s="1577"/>
      <c r="C895" s="1577"/>
      <c r="D895" s="1577"/>
      <c r="E895" s="1167"/>
      <c r="F895" s="1168"/>
      <c r="G895" s="1168"/>
      <c r="H895" s="1168"/>
      <c r="I895" s="1168"/>
      <c r="J895" s="1168"/>
      <c r="K895" s="1168"/>
      <c r="L895" s="1168"/>
      <c r="M895" s="1168"/>
      <c r="N895" s="1168"/>
      <c r="O895" s="1168"/>
      <c r="P895" s="1168"/>
      <c r="Q895" s="1168"/>
      <c r="R895" s="1168"/>
      <c r="S895" s="1167"/>
      <c r="T895" s="1167"/>
      <c r="U895" s="1167"/>
      <c r="V895" s="1169" t="s">
        <v>1997</v>
      </c>
      <c r="W895" s="1578">
        <f>SUM(W888:W894)</f>
        <v>0</v>
      </c>
      <c r="X895" s="1579"/>
      <c r="Y895" s="1579"/>
      <c r="Z895" s="1579"/>
      <c r="AA895" s="1579"/>
      <c r="AB895" s="1579"/>
      <c r="AC895" s="1579"/>
      <c r="AD895" s="1579"/>
      <c r="AE895" s="1580"/>
      <c r="AF895" s="1578">
        <f>SUM(AF888:AF894)</f>
        <v>0</v>
      </c>
      <c r="AG895" s="1579"/>
      <c r="AH895" s="1579"/>
      <c r="AI895" s="1579"/>
      <c r="AJ895" s="1579"/>
      <c r="AK895" s="1579"/>
      <c r="AL895" s="1579"/>
      <c r="AM895" s="1579"/>
      <c r="AN895" s="1580"/>
      <c r="AO895" s="1185">
        <f t="shared" si="38"/>
        <v>0</v>
      </c>
    </row>
    <row r="897" spans="1:40">
      <c r="A897" s="1581"/>
      <c r="B897" s="1581"/>
      <c r="C897" s="1581"/>
      <c r="D897" s="1581"/>
      <c r="E897" s="1581"/>
      <c r="F897" s="1581"/>
      <c r="G897" s="1581"/>
      <c r="H897" s="1581"/>
      <c r="I897" s="1581"/>
      <c r="J897" s="1581"/>
      <c r="K897" s="1581"/>
      <c r="L897" s="1581"/>
      <c r="M897" s="1581"/>
      <c r="N897" s="1581"/>
      <c r="O897" s="1581"/>
      <c r="P897" s="1581"/>
      <c r="Q897" s="1581"/>
      <c r="R897" s="1581"/>
      <c r="S897" s="1581"/>
      <c r="T897" s="1581"/>
      <c r="U897" s="1581"/>
      <c r="V897" s="1581"/>
      <c r="W897" s="1581"/>
      <c r="X897" s="1581"/>
      <c r="Y897" s="1581"/>
      <c r="Z897" s="1581"/>
      <c r="AA897" s="1581"/>
      <c r="AB897" s="1581"/>
      <c r="AC897" s="1581"/>
      <c r="AD897" s="1581"/>
      <c r="AE897" s="1581"/>
      <c r="AF897" s="1581"/>
      <c r="AG897" s="1581"/>
      <c r="AH897" s="1581"/>
      <c r="AI897" s="1581"/>
      <c r="AJ897" s="1581"/>
      <c r="AK897" s="1581"/>
      <c r="AL897" s="1581"/>
      <c r="AM897" s="1581"/>
      <c r="AN897" s="1581"/>
    </row>
    <row r="898" spans="1:40">
      <c r="A898" s="1581"/>
      <c r="B898" s="1581"/>
      <c r="C898" s="1581"/>
      <c r="D898" s="1581"/>
      <c r="E898" s="1581"/>
      <c r="F898" s="1581"/>
      <c r="G898" s="1581"/>
      <c r="H898" s="1581"/>
      <c r="I898" s="1581"/>
      <c r="J898" s="1581"/>
      <c r="K898" s="1581"/>
      <c r="L898" s="1581"/>
      <c r="M898" s="1581"/>
      <c r="N898" s="1581"/>
      <c r="O898" s="1581"/>
      <c r="P898" s="1581"/>
      <c r="Q898" s="1581"/>
      <c r="R898" s="1581"/>
      <c r="S898" s="1581"/>
      <c r="T898" s="1581"/>
      <c r="U898" s="1581"/>
      <c r="V898" s="1581"/>
      <c r="W898" s="1581"/>
      <c r="X898" s="1581"/>
      <c r="Y898" s="1581"/>
      <c r="Z898" s="1581"/>
      <c r="AA898" s="1581"/>
      <c r="AB898" s="1581"/>
      <c r="AC898" s="1581"/>
      <c r="AD898" s="1581"/>
      <c r="AE898" s="1581"/>
      <c r="AF898" s="1581"/>
      <c r="AG898" s="1581"/>
      <c r="AH898" s="1581"/>
      <c r="AI898" s="1581"/>
      <c r="AJ898" s="1581"/>
      <c r="AK898" s="1581"/>
      <c r="AL898" s="1581"/>
      <c r="AM898" s="1581"/>
      <c r="AN898" s="1581"/>
    </row>
    <row r="899" spans="1:40">
      <c r="A899" s="1581"/>
      <c r="B899" s="1581"/>
      <c r="C899" s="1581"/>
      <c r="D899" s="1581"/>
      <c r="E899" s="1581"/>
      <c r="F899" s="1581"/>
      <c r="G899" s="1581"/>
      <c r="H899" s="1581"/>
      <c r="I899" s="1581"/>
      <c r="J899" s="1581"/>
      <c r="K899" s="1581"/>
      <c r="L899" s="1581"/>
      <c r="M899" s="1581"/>
      <c r="N899" s="1581"/>
      <c r="O899" s="1581"/>
      <c r="P899" s="1581"/>
      <c r="Q899" s="1581"/>
      <c r="R899" s="1581"/>
      <c r="S899" s="1581"/>
      <c r="T899" s="1581"/>
      <c r="U899" s="1581"/>
      <c r="V899" s="1581"/>
      <c r="W899" s="1581"/>
      <c r="X899" s="1581"/>
      <c r="Y899" s="1581"/>
      <c r="Z899" s="1581"/>
      <c r="AA899" s="1581"/>
      <c r="AB899" s="1581"/>
      <c r="AC899" s="1581"/>
      <c r="AD899" s="1581"/>
      <c r="AE899" s="1581"/>
      <c r="AF899" s="1581"/>
      <c r="AG899" s="1581"/>
      <c r="AH899" s="1581"/>
      <c r="AI899" s="1581"/>
      <c r="AJ899" s="1581"/>
      <c r="AK899" s="1581"/>
      <c r="AL899" s="1581"/>
      <c r="AM899" s="1581"/>
      <c r="AN899" s="1581"/>
    </row>
    <row r="900" spans="1:40">
      <c r="A900" s="1581"/>
      <c r="B900" s="1581"/>
      <c r="C900" s="1581"/>
      <c r="D900" s="1581"/>
      <c r="E900" s="1581"/>
      <c r="F900" s="1581"/>
      <c r="G900" s="1581"/>
      <c r="H900" s="1581"/>
      <c r="I900" s="1581"/>
      <c r="J900" s="1581"/>
      <c r="K900" s="1581"/>
      <c r="L900" s="1581"/>
      <c r="M900" s="1581"/>
      <c r="N900" s="1581"/>
      <c r="O900" s="1581"/>
      <c r="P900" s="1581"/>
      <c r="Q900" s="1581"/>
      <c r="R900" s="1581"/>
      <c r="S900" s="1581"/>
      <c r="T900" s="1581"/>
      <c r="U900" s="1581"/>
      <c r="V900" s="1581"/>
      <c r="W900" s="1581"/>
      <c r="X900" s="1581"/>
      <c r="Y900" s="1581"/>
      <c r="Z900" s="1581"/>
      <c r="AA900" s="1581"/>
      <c r="AB900" s="1581"/>
      <c r="AC900" s="1581"/>
      <c r="AD900" s="1581"/>
      <c r="AE900" s="1581"/>
      <c r="AF900" s="1581"/>
      <c r="AG900" s="1581"/>
      <c r="AH900" s="1581"/>
      <c r="AI900" s="1581"/>
      <c r="AJ900" s="1581"/>
      <c r="AK900" s="1581"/>
      <c r="AL900" s="1581"/>
      <c r="AM900" s="1581"/>
      <c r="AN900" s="1581"/>
    </row>
    <row r="902" spans="1:40" ht="12.75" customHeight="1">
      <c r="A902" s="828" t="s">
        <v>1933</v>
      </c>
      <c r="B902" s="828" t="s">
        <v>86</v>
      </c>
    </row>
    <row r="903" spans="1:40" ht="12.75" customHeight="1">
      <c r="B903" s="828" t="s">
        <v>89</v>
      </c>
    </row>
    <row r="905" spans="1:40" ht="14.25" customHeight="1">
      <c r="S905" s="1170" t="s">
        <v>1995</v>
      </c>
      <c r="T905" s="1171"/>
      <c r="U905" s="1171"/>
      <c r="V905" s="1171"/>
      <c r="W905" s="1171"/>
      <c r="X905" s="1171"/>
      <c r="Y905" s="1171"/>
      <c r="Z905" s="1171"/>
      <c r="AA905" s="1171"/>
      <c r="AB905" s="1171"/>
      <c r="AC905" s="1171"/>
      <c r="AD905" s="1171"/>
      <c r="AE905" s="1171"/>
      <c r="AF905" s="1171"/>
      <c r="AG905" s="1171"/>
      <c r="AH905" s="1171"/>
      <c r="AI905" s="1171"/>
      <c r="AJ905" s="1172"/>
    </row>
    <row r="906" spans="1:40">
      <c r="A906" s="1567" t="s">
        <v>796</v>
      </c>
      <c r="B906" s="1567"/>
      <c r="C906" s="1567"/>
      <c r="D906" s="1567"/>
      <c r="E906" s="1567"/>
      <c r="F906" s="1567"/>
      <c r="G906" s="1567"/>
      <c r="H906" s="1567"/>
      <c r="I906" s="1567"/>
      <c r="J906" s="1567"/>
      <c r="K906" s="1567"/>
      <c r="L906" s="1567"/>
      <c r="M906" s="1567"/>
      <c r="N906" s="1567"/>
      <c r="O906" s="1567"/>
      <c r="P906" s="1567"/>
      <c r="Q906" s="1567"/>
      <c r="R906" s="1567"/>
      <c r="S906" s="1568" t="s">
        <v>1039</v>
      </c>
      <c r="T906" s="1569"/>
      <c r="U906" s="1569"/>
      <c r="V906" s="1569"/>
      <c r="W906" s="1569"/>
      <c r="X906" s="1569"/>
      <c r="Y906" s="1569"/>
      <c r="Z906" s="1569"/>
      <c r="AA906" s="1570"/>
      <c r="AB906" s="1571" t="s">
        <v>1040</v>
      </c>
      <c r="AC906" s="1572"/>
      <c r="AD906" s="1572"/>
      <c r="AE906" s="1572"/>
      <c r="AF906" s="1572"/>
      <c r="AG906" s="1572"/>
      <c r="AH906" s="1572"/>
      <c r="AI906" s="1572"/>
      <c r="AJ906" s="1573"/>
    </row>
    <row r="907" spans="1:40">
      <c r="A907" s="1558" t="s">
        <v>87</v>
      </c>
      <c r="B907" s="1559"/>
      <c r="C907" s="1559"/>
      <c r="D907" s="1559"/>
      <c r="E907" s="1559"/>
      <c r="F907" s="1559"/>
      <c r="G907" s="1559"/>
      <c r="H907" s="1559"/>
      <c r="I907" s="1559"/>
      <c r="J907" s="1559"/>
      <c r="K907" s="1559"/>
      <c r="L907" s="1559"/>
      <c r="M907" s="1559"/>
      <c r="N907" s="1559"/>
      <c r="O907" s="1559"/>
      <c r="P907" s="1559"/>
      <c r="Q907" s="1559"/>
      <c r="R907" s="1559"/>
      <c r="S907" s="1560">
        <f>'bilans-stanja'!AU64</f>
        <v>0</v>
      </c>
      <c r="T907" s="1561"/>
      <c r="U907" s="1561"/>
      <c r="V907" s="1561"/>
      <c r="W907" s="1561"/>
      <c r="X907" s="1561"/>
      <c r="Y907" s="1561"/>
      <c r="Z907" s="1561"/>
      <c r="AA907" s="1562"/>
      <c r="AB907" s="1563">
        <f>'bilans-stanja'!AN64</f>
        <v>0</v>
      </c>
      <c r="AC907" s="1561"/>
      <c r="AD907" s="1561"/>
      <c r="AE907" s="1561"/>
      <c r="AF907" s="1561"/>
      <c r="AG907" s="1561"/>
      <c r="AH907" s="1561"/>
      <c r="AI907" s="1561"/>
      <c r="AJ907" s="1562"/>
    </row>
    <row r="908" spans="1:40">
      <c r="A908" s="1558" t="s">
        <v>88</v>
      </c>
      <c r="B908" s="1559"/>
      <c r="C908" s="1559"/>
      <c r="D908" s="1559"/>
      <c r="E908" s="1559"/>
      <c r="F908" s="1559"/>
      <c r="G908" s="1559"/>
      <c r="H908" s="1559"/>
      <c r="I908" s="1559"/>
      <c r="J908" s="1559"/>
      <c r="K908" s="1559"/>
      <c r="L908" s="1559"/>
      <c r="M908" s="1559"/>
      <c r="N908" s="1559"/>
      <c r="O908" s="1559"/>
      <c r="P908" s="1559"/>
      <c r="Q908" s="1559"/>
      <c r="R908" s="1559"/>
      <c r="S908" s="1560">
        <f>'bilans-stanja'!AR148</f>
        <v>0</v>
      </c>
      <c r="T908" s="1561"/>
      <c r="U908" s="1561"/>
      <c r="V908" s="1561"/>
      <c r="W908" s="1561"/>
      <c r="X908" s="1561"/>
      <c r="Y908" s="1561"/>
      <c r="Z908" s="1561"/>
      <c r="AA908" s="1562"/>
      <c r="AB908" s="1563">
        <f>'bilans-stanja'!AH148</f>
        <v>0</v>
      </c>
      <c r="AC908" s="1561"/>
      <c r="AD908" s="1561"/>
      <c r="AE908" s="1561"/>
      <c r="AF908" s="1561"/>
      <c r="AG908" s="1561"/>
      <c r="AH908" s="1561"/>
      <c r="AI908" s="1561"/>
      <c r="AJ908" s="1562"/>
    </row>
    <row r="909" spans="1:40">
      <c r="A909" s="1167"/>
      <c r="B909" s="1168"/>
      <c r="C909" s="1168"/>
      <c r="D909" s="1168"/>
      <c r="E909" s="1168"/>
      <c r="F909" s="1168"/>
      <c r="G909" s="1168"/>
      <c r="H909" s="1168"/>
      <c r="I909" s="1168"/>
      <c r="J909" s="1168"/>
      <c r="K909" s="1168"/>
      <c r="L909" s="1168"/>
      <c r="M909" s="1168"/>
      <c r="N909" s="1168"/>
      <c r="O909" s="1167"/>
      <c r="P909" s="1167"/>
      <c r="Q909" s="1167"/>
      <c r="R909" s="1169" t="s">
        <v>97</v>
      </c>
      <c r="S909" s="1564">
        <f>IF(OR(S907=0,S908=0),0,ROUND(S907/S908,4))</f>
        <v>0</v>
      </c>
      <c r="T909" s="1565"/>
      <c r="U909" s="1565"/>
      <c r="V909" s="1565"/>
      <c r="W909" s="1565"/>
      <c r="X909" s="1565"/>
      <c r="Y909" s="1565"/>
      <c r="Z909" s="1565"/>
      <c r="AA909" s="1566"/>
      <c r="AB909" s="1564">
        <f>IF(OR(AB907=0,AB908=0),0,ROUND(AB907/AB908,4))</f>
        <v>0</v>
      </c>
      <c r="AC909" s="1565"/>
      <c r="AD909" s="1565"/>
      <c r="AE909" s="1565"/>
      <c r="AF909" s="1565"/>
      <c r="AG909" s="1565"/>
      <c r="AH909" s="1565"/>
      <c r="AI909" s="1565"/>
      <c r="AJ909" s="1566"/>
    </row>
    <row r="911" spans="1:40">
      <c r="A911" s="1180"/>
      <c r="B911" s="1180"/>
      <c r="C911" s="1180"/>
      <c r="D911" s="1180"/>
      <c r="E911" s="1180"/>
      <c r="F911" s="1180"/>
      <c r="G911" s="1180"/>
      <c r="H911" s="1180"/>
      <c r="I911" s="1180"/>
      <c r="J911" s="1180"/>
      <c r="K911" s="1180"/>
      <c r="L911" s="1180"/>
      <c r="M911" s="1180"/>
      <c r="N911" s="1180"/>
      <c r="O911" s="1180"/>
      <c r="P911" s="1180"/>
      <c r="Q911" s="1180"/>
      <c r="R911" s="1180"/>
      <c r="S911" s="1180"/>
      <c r="T911" s="1180"/>
      <c r="U911" s="1180"/>
      <c r="V911" s="1180"/>
      <c r="W911" s="1180"/>
      <c r="X911" s="1180"/>
      <c r="Y911" s="1180"/>
      <c r="Z911" s="1180"/>
      <c r="AA911" s="1180"/>
      <c r="AB911" s="1180"/>
      <c r="AC911" s="1180"/>
      <c r="AD911" s="1180"/>
      <c r="AE911" s="1180"/>
      <c r="AF911" s="1180"/>
      <c r="AG911" s="1180"/>
      <c r="AH911" s="1180"/>
      <c r="AI911" s="1180"/>
      <c r="AJ911" s="1180"/>
      <c r="AK911" s="1180"/>
      <c r="AL911" s="1180"/>
      <c r="AM911" s="1180"/>
      <c r="AN911" s="1180"/>
    </row>
    <row r="912" spans="1:40">
      <c r="A912" s="1180"/>
      <c r="B912" s="1180"/>
      <c r="C912" s="1180"/>
      <c r="D912" s="1180"/>
      <c r="E912" s="1180"/>
      <c r="F912" s="1180"/>
      <c r="G912" s="1180"/>
      <c r="H912" s="1180"/>
      <c r="I912" s="1180"/>
      <c r="J912" s="1180"/>
      <c r="K912" s="1180"/>
      <c r="L912" s="1180"/>
      <c r="M912" s="1180"/>
      <c r="N912" s="1180"/>
      <c r="O912" s="1180"/>
      <c r="P912" s="1180"/>
      <c r="Q912" s="1180"/>
      <c r="R912" s="1180"/>
      <c r="S912" s="1180"/>
      <c r="T912" s="1180"/>
      <c r="U912" s="1180"/>
      <c r="V912" s="1180"/>
      <c r="W912" s="1180"/>
      <c r="X912" s="1180"/>
      <c r="Y912" s="1180"/>
      <c r="Z912" s="1180"/>
      <c r="AA912" s="1180"/>
      <c r="AB912" s="1180"/>
      <c r="AC912" s="1180"/>
      <c r="AD912" s="1180"/>
      <c r="AE912" s="1180"/>
      <c r="AF912" s="1180"/>
      <c r="AG912" s="1180"/>
      <c r="AH912" s="1180"/>
      <c r="AI912" s="1180"/>
      <c r="AJ912" s="1180"/>
      <c r="AK912" s="1180"/>
      <c r="AL912" s="1180"/>
      <c r="AM912" s="1180"/>
      <c r="AN912" s="1180"/>
    </row>
    <row r="913" spans="1:36" ht="12.75" customHeight="1"/>
    <row r="914" spans="1:36" ht="12.75" customHeight="1">
      <c r="B914" s="828" t="s">
        <v>90</v>
      </c>
    </row>
    <row r="916" spans="1:36" ht="14.25" customHeight="1">
      <c r="S916" s="1170" t="s">
        <v>1995</v>
      </c>
      <c r="T916" s="1171"/>
      <c r="U916" s="1171"/>
      <c r="V916" s="1171"/>
      <c r="W916" s="1171"/>
      <c r="X916" s="1171"/>
      <c r="Y916" s="1171"/>
      <c r="Z916" s="1171"/>
      <c r="AA916" s="1171"/>
      <c r="AB916" s="1171"/>
      <c r="AC916" s="1171"/>
      <c r="AD916" s="1171"/>
      <c r="AE916" s="1171"/>
      <c r="AF916" s="1171"/>
      <c r="AG916" s="1171"/>
      <c r="AH916" s="1171"/>
      <c r="AI916" s="1171"/>
      <c r="AJ916" s="1172"/>
    </row>
    <row r="917" spans="1:36">
      <c r="A917" s="1567" t="s">
        <v>796</v>
      </c>
      <c r="B917" s="1567"/>
      <c r="C917" s="1567"/>
      <c r="D917" s="1567"/>
      <c r="E917" s="1567"/>
      <c r="F917" s="1567"/>
      <c r="G917" s="1567"/>
      <c r="H917" s="1567"/>
      <c r="I917" s="1567"/>
      <c r="J917" s="1567"/>
      <c r="K917" s="1567"/>
      <c r="L917" s="1567"/>
      <c r="M917" s="1567"/>
      <c r="N917" s="1567"/>
      <c r="O917" s="1567"/>
      <c r="P917" s="1567"/>
      <c r="Q917" s="1567"/>
      <c r="R917" s="1567"/>
      <c r="S917" s="1568" t="s">
        <v>1039</v>
      </c>
      <c r="T917" s="1569"/>
      <c r="U917" s="1569"/>
      <c r="V917" s="1569"/>
      <c r="W917" s="1569"/>
      <c r="X917" s="1569"/>
      <c r="Y917" s="1569"/>
      <c r="Z917" s="1569"/>
      <c r="AA917" s="1570"/>
      <c r="AB917" s="1571" t="s">
        <v>1040</v>
      </c>
      <c r="AC917" s="1572"/>
      <c r="AD917" s="1572"/>
      <c r="AE917" s="1572"/>
      <c r="AF917" s="1572"/>
      <c r="AG917" s="1572"/>
      <c r="AH917" s="1572"/>
      <c r="AI917" s="1572"/>
      <c r="AJ917" s="1573"/>
    </row>
    <row r="918" spans="1:36">
      <c r="A918" s="1558" t="s">
        <v>91</v>
      </c>
      <c r="B918" s="1559"/>
      <c r="C918" s="1559"/>
      <c r="D918" s="1559"/>
      <c r="E918" s="1559"/>
      <c r="F918" s="1559"/>
      <c r="G918" s="1559"/>
      <c r="H918" s="1559"/>
      <c r="I918" s="1559"/>
      <c r="J918" s="1559"/>
      <c r="K918" s="1559"/>
      <c r="L918" s="1559"/>
      <c r="M918" s="1559"/>
      <c r="N918" s="1559"/>
      <c r="O918" s="1559"/>
      <c r="P918" s="1559"/>
      <c r="Q918" s="1559"/>
      <c r="R918" s="1559"/>
      <c r="S918" s="1560">
        <f>'bilans-stanja'!AU73</f>
        <v>0</v>
      </c>
      <c r="T918" s="1561"/>
      <c r="U918" s="1561"/>
      <c r="V918" s="1561"/>
      <c r="W918" s="1561"/>
      <c r="X918" s="1561"/>
      <c r="Y918" s="1561"/>
      <c r="Z918" s="1561"/>
      <c r="AA918" s="1562"/>
      <c r="AB918" s="1563">
        <f>'bilans-stanja'!AN73</f>
        <v>0</v>
      </c>
      <c r="AC918" s="1561"/>
      <c r="AD918" s="1561"/>
      <c r="AE918" s="1561"/>
      <c r="AF918" s="1561"/>
      <c r="AG918" s="1561"/>
      <c r="AH918" s="1561"/>
      <c r="AI918" s="1561"/>
      <c r="AJ918" s="1562"/>
    </row>
    <row r="919" spans="1:36">
      <c r="A919" s="1558" t="s">
        <v>88</v>
      </c>
      <c r="B919" s="1559"/>
      <c r="C919" s="1559"/>
      <c r="D919" s="1559"/>
      <c r="E919" s="1559"/>
      <c r="F919" s="1559"/>
      <c r="G919" s="1559"/>
      <c r="H919" s="1559"/>
      <c r="I919" s="1559"/>
      <c r="J919" s="1559"/>
      <c r="K919" s="1559"/>
      <c r="L919" s="1559"/>
      <c r="M919" s="1559"/>
      <c r="N919" s="1559"/>
      <c r="O919" s="1559"/>
      <c r="P919" s="1559"/>
      <c r="Q919" s="1559"/>
      <c r="R919" s="1559"/>
      <c r="S919" s="1560">
        <f>'bilans-stanja'!AR148</f>
        <v>0</v>
      </c>
      <c r="T919" s="1561"/>
      <c r="U919" s="1561"/>
      <c r="V919" s="1561"/>
      <c r="W919" s="1561"/>
      <c r="X919" s="1561"/>
      <c r="Y919" s="1561"/>
      <c r="Z919" s="1561"/>
      <c r="AA919" s="1562"/>
      <c r="AB919" s="1563">
        <f>'bilans-stanja'!AH148</f>
        <v>0</v>
      </c>
      <c r="AC919" s="1561"/>
      <c r="AD919" s="1561"/>
      <c r="AE919" s="1561"/>
      <c r="AF919" s="1561"/>
      <c r="AG919" s="1561"/>
      <c r="AH919" s="1561"/>
      <c r="AI919" s="1561"/>
      <c r="AJ919" s="1562"/>
    </row>
    <row r="920" spans="1:36">
      <c r="A920" s="1167"/>
      <c r="B920" s="1168"/>
      <c r="C920" s="1168"/>
      <c r="D920" s="1168"/>
      <c r="E920" s="1168"/>
      <c r="F920" s="1168"/>
      <c r="G920" s="1168"/>
      <c r="H920" s="1168"/>
      <c r="I920" s="1168"/>
      <c r="J920" s="1168"/>
      <c r="K920" s="1168"/>
      <c r="L920" s="1168"/>
      <c r="M920" s="1168"/>
      <c r="N920" s="1168"/>
      <c r="O920" s="1167"/>
      <c r="P920" s="1167"/>
      <c r="Q920" s="1167"/>
      <c r="R920" s="1169" t="s">
        <v>97</v>
      </c>
      <c r="S920" s="1564">
        <f>IF(OR(S918=0,S919=0),0,ROUND(S918/S919,4))</f>
        <v>0</v>
      </c>
      <c r="T920" s="1565"/>
      <c r="U920" s="1565"/>
      <c r="V920" s="1565"/>
      <c r="W920" s="1565"/>
      <c r="X920" s="1565"/>
      <c r="Y920" s="1565"/>
      <c r="Z920" s="1565"/>
      <c r="AA920" s="1566"/>
      <c r="AB920" s="1564">
        <f>IF(OR(AB918=0,AB919=0),0,ROUND(AB918/AB919,4))</f>
        <v>0</v>
      </c>
      <c r="AC920" s="1565"/>
      <c r="AD920" s="1565"/>
      <c r="AE920" s="1565"/>
      <c r="AF920" s="1565"/>
      <c r="AG920" s="1565"/>
      <c r="AH920" s="1565"/>
      <c r="AI920" s="1565"/>
      <c r="AJ920" s="1566"/>
    </row>
    <row r="925" spans="1:36" ht="12.75" customHeight="1">
      <c r="B925" s="828" t="s">
        <v>92</v>
      </c>
    </row>
    <row r="927" spans="1:36" ht="14.25" customHeight="1">
      <c r="S927" s="1170" t="s">
        <v>1995</v>
      </c>
      <c r="T927" s="1171"/>
      <c r="U927" s="1171"/>
      <c r="V927" s="1171"/>
      <c r="W927" s="1171"/>
      <c r="X927" s="1171"/>
      <c r="Y927" s="1171"/>
      <c r="Z927" s="1171"/>
      <c r="AA927" s="1171"/>
      <c r="AB927" s="1171"/>
      <c r="AC927" s="1171"/>
      <c r="AD927" s="1171"/>
      <c r="AE927" s="1171"/>
      <c r="AF927" s="1171"/>
      <c r="AG927" s="1171"/>
      <c r="AH927" s="1171"/>
      <c r="AI927" s="1171"/>
      <c r="AJ927" s="1172"/>
    </row>
    <row r="928" spans="1:36">
      <c r="A928" s="1567" t="s">
        <v>796</v>
      </c>
      <c r="B928" s="1567"/>
      <c r="C928" s="1567"/>
      <c r="D928" s="1567"/>
      <c r="E928" s="1567"/>
      <c r="F928" s="1567"/>
      <c r="G928" s="1567"/>
      <c r="H928" s="1567"/>
      <c r="I928" s="1567"/>
      <c r="J928" s="1567"/>
      <c r="K928" s="1567"/>
      <c r="L928" s="1567"/>
      <c r="M928" s="1567"/>
      <c r="N928" s="1567"/>
      <c r="O928" s="1567"/>
      <c r="P928" s="1567"/>
      <c r="Q928" s="1567"/>
      <c r="R928" s="1567"/>
      <c r="S928" s="1568" t="s">
        <v>1039</v>
      </c>
      <c r="T928" s="1569"/>
      <c r="U928" s="1569"/>
      <c r="V928" s="1569"/>
      <c r="W928" s="1569"/>
      <c r="X928" s="1569"/>
      <c r="Y928" s="1569"/>
      <c r="Z928" s="1569"/>
      <c r="AA928" s="1570"/>
      <c r="AB928" s="1571" t="s">
        <v>1040</v>
      </c>
      <c r="AC928" s="1572"/>
      <c r="AD928" s="1572"/>
      <c r="AE928" s="1572"/>
      <c r="AF928" s="1572"/>
      <c r="AG928" s="1572"/>
      <c r="AH928" s="1572"/>
      <c r="AI928" s="1572"/>
      <c r="AJ928" s="1573"/>
    </row>
    <row r="929" spans="1:36">
      <c r="A929" s="1558" t="s">
        <v>93</v>
      </c>
      <c r="B929" s="1559"/>
      <c r="C929" s="1559"/>
      <c r="D929" s="1559"/>
      <c r="E929" s="1559"/>
      <c r="F929" s="1559"/>
      <c r="G929" s="1559"/>
      <c r="H929" s="1559"/>
      <c r="I929" s="1559"/>
      <c r="J929" s="1559"/>
      <c r="K929" s="1559"/>
      <c r="L929" s="1559"/>
      <c r="M929" s="1559"/>
      <c r="N929" s="1559"/>
      <c r="O929" s="1559"/>
      <c r="P929" s="1559"/>
      <c r="Q929" s="1559"/>
      <c r="R929" s="1559"/>
      <c r="S929" s="1560">
        <f>'bilans-stanja'!AU73+'bilans-stanja'!AU76</f>
        <v>0</v>
      </c>
      <c r="T929" s="1561"/>
      <c r="U929" s="1561"/>
      <c r="V929" s="1561"/>
      <c r="W929" s="1561"/>
      <c r="X929" s="1561"/>
      <c r="Y929" s="1561"/>
      <c r="Z929" s="1561"/>
      <c r="AA929" s="1562"/>
      <c r="AB929" s="1563">
        <f>'bilans-stanja'!AN74+'bilans-stanja'!AN76</f>
        <v>0</v>
      </c>
      <c r="AC929" s="1561"/>
      <c r="AD929" s="1561"/>
      <c r="AE929" s="1561"/>
      <c r="AF929" s="1561"/>
      <c r="AG929" s="1561"/>
      <c r="AH929" s="1561"/>
      <c r="AI929" s="1561"/>
      <c r="AJ929" s="1562"/>
    </row>
    <row r="930" spans="1:36">
      <c r="A930" s="1558" t="s">
        <v>88</v>
      </c>
      <c r="B930" s="1559"/>
      <c r="C930" s="1559"/>
      <c r="D930" s="1559"/>
      <c r="E930" s="1559"/>
      <c r="F930" s="1559"/>
      <c r="G930" s="1559"/>
      <c r="H930" s="1559"/>
      <c r="I930" s="1559"/>
      <c r="J930" s="1559"/>
      <c r="K930" s="1559"/>
      <c r="L930" s="1559"/>
      <c r="M930" s="1559"/>
      <c r="N930" s="1559"/>
      <c r="O930" s="1559"/>
      <c r="P930" s="1559"/>
      <c r="Q930" s="1559"/>
      <c r="R930" s="1559"/>
      <c r="S930" s="1560">
        <f>'bilans-stanja'!AR148</f>
        <v>0</v>
      </c>
      <c r="T930" s="1561"/>
      <c r="U930" s="1561"/>
      <c r="V930" s="1561"/>
      <c r="W930" s="1561"/>
      <c r="X930" s="1561"/>
      <c r="Y930" s="1561"/>
      <c r="Z930" s="1561"/>
      <c r="AA930" s="1562"/>
      <c r="AB930" s="1563">
        <f>'bilans-stanja'!AH148</f>
        <v>0</v>
      </c>
      <c r="AC930" s="1561"/>
      <c r="AD930" s="1561"/>
      <c r="AE930" s="1561"/>
      <c r="AF930" s="1561"/>
      <c r="AG930" s="1561"/>
      <c r="AH930" s="1561"/>
      <c r="AI930" s="1561"/>
      <c r="AJ930" s="1562"/>
    </row>
    <row r="931" spans="1:36">
      <c r="A931" s="1167"/>
      <c r="B931" s="1168"/>
      <c r="C931" s="1168"/>
      <c r="D931" s="1168"/>
      <c r="E931" s="1168"/>
      <c r="F931" s="1168"/>
      <c r="G931" s="1168"/>
      <c r="H931" s="1168"/>
      <c r="I931" s="1168"/>
      <c r="J931" s="1168"/>
      <c r="K931" s="1168"/>
      <c r="L931" s="1168"/>
      <c r="M931" s="1168"/>
      <c r="N931" s="1168"/>
      <c r="O931" s="1167"/>
      <c r="P931" s="1167"/>
      <c r="Q931" s="1167"/>
      <c r="R931" s="1169" t="s">
        <v>97</v>
      </c>
      <c r="S931" s="1564">
        <f>IF(OR(S929=0,S930=0),0,ROUND(S929/S930,4))</f>
        <v>0</v>
      </c>
      <c r="T931" s="1565"/>
      <c r="U931" s="1565"/>
      <c r="V931" s="1565"/>
      <c r="W931" s="1565"/>
      <c r="X931" s="1565"/>
      <c r="Y931" s="1565"/>
      <c r="Z931" s="1565"/>
      <c r="AA931" s="1566"/>
      <c r="AB931" s="1564">
        <f>IF(OR(AB929=0,AB930=0),0,ROUND(AB929/AB930,4))</f>
        <v>0</v>
      </c>
      <c r="AC931" s="1565"/>
      <c r="AD931" s="1565"/>
      <c r="AE931" s="1565"/>
      <c r="AF931" s="1565"/>
      <c r="AG931" s="1565"/>
      <c r="AH931" s="1565"/>
      <c r="AI931" s="1565"/>
      <c r="AJ931" s="1566"/>
    </row>
    <row r="937" spans="1:36" ht="12.75" customHeight="1">
      <c r="B937" s="828" t="s">
        <v>94</v>
      </c>
    </row>
    <row r="939" spans="1:36" ht="14.25" customHeight="1">
      <c r="S939" s="1170" t="s">
        <v>1995</v>
      </c>
      <c r="T939" s="1171"/>
      <c r="U939" s="1171"/>
      <c r="V939" s="1171"/>
      <c r="W939" s="1171"/>
      <c r="X939" s="1171"/>
      <c r="Y939" s="1171"/>
      <c r="Z939" s="1171"/>
      <c r="AA939" s="1171"/>
      <c r="AB939" s="1171"/>
      <c r="AC939" s="1171"/>
      <c r="AD939" s="1171"/>
      <c r="AE939" s="1171"/>
      <c r="AF939" s="1171"/>
      <c r="AG939" s="1171"/>
      <c r="AH939" s="1171"/>
      <c r="AI939" s="1171"/>
      <c r="AJ939" s="1172"/>
    </row>
    <row r="940" spans="1:36">
      <c r="A940" s="1567" t="s">
        <v>796</v>
      </c>
      <c r="B940" s="1567"/>
      <c r="C940" s="1567"/>
      <c r="D940" s="1567"/>
      <c r="E940" s="1567"/>
      <c r="F940" s="1567"/>
      <c r="G940" s="1567"/>
      <c r="H940" s="1567"/>
      <c r="I940" s="1567"/>
      <c r="J940" s="1567"/>
      <c r="K940" s="1567"/>
      <c r="L940" s="1567"/>
      <c r="M940" s="1567"/>
      <c r="N940" s="1567"/>
      <c r="O940" s="1567"/>
      <c r="P940" s="1567"/>
      <c r="Q940" s="1567"/>
      <c r="R940" s="1567"/>
      <c r="S940" s="1568" t="s">
        <v>1039</v>
      </c>
      <c r="T940" s="1569"/>
      <c r="U940" s="1569"/>
      <c r="V940" s="1569"/>
      <c r="W940" s="1569"/>
      <c r="X940" s="1569"/>
      <c r="Y940" s="1569"/>
      <c r="Z940" s="1569"/>
      <c r="AA940" s="1570"/>
      <c r="AB940" s="1571" t="s">
        <v>1040</v>
      </c>
      <c r="AC940" s="1572"/>
      <c r="AD940" s="1572"/>
      <c r="AE940" s="1572"/>
      <c r="AF940" s="1572"/>
      <c r="AG940" s="1572"/>
      <c r="AH940" s="1572"/>
      <c r="AI940" s="1572"/>
      <c r="AJ940" s="1573"/>
    </row>
    <row r="941" spans="1:36">
      <c r="A941" s="1558" t="s">
        <v>95</v>
      </c>
      <c r="B941" s="1559"/>
      <c r="C941" s="1559"/>
      <c r="D941" s="1559"/>
      <c r="E941" s="1559"/>
      <c r="F941" s="1559"/>
      <c r="G941" s="1559"/>
      <c r="H941" s="1559"/>
      <c r="I941" s="1559"/>
      <c r="J941" s="1559"/>
      <c r="K941" s="1559"/>
      <c r="L941" s="1559"/>
      <c r="M941" s="1559"/>
      <c r="N941" s="1559"/>
      <c r="O941" s="1559"/>
      <c r="P941" s="1559"/>
      <c r="Q941" s="1559"/>
      <c r="R941" s="1559"/>
      <c r="S941" s="1560">
        <f>'bilans-stanja'!AU26</f>
        <v>0</v>
      </c>
      <c r="T941" s="1561"/>
      <c r="U941" s="1561"/>
      <c r="V941" s="1561"/>
      <c r="W941" s="1561"/>
      <c r="X941" s="1561"/>
      <c r="Y941" s="1561"/>
      <c r="Z941" s="1561"/>
      <c r="AA941" s="1562"/>
      <c r="AB941" s="1563">
        <f>'bilans-stanja'!AN26</f>
        <v>0</v>
      </c>
      <c r="AC941" s="1561"/>
      <c r="AD941" s="1561"/>
      <c r="AE941" s="1561"/>
      <c r="AF941" s="1561"/>
      <c r="AG941" s="1561"/>
      <c r="AH941" s="1561"/>
      <c r="AI941" s="1561"/>
      <c r="AJ941" s="1562"/>
    </row>
    <row r="942" spans="1:36">
      <c r="A942" s="1558" t="s">
        <v>96</v>
      </c>
      <c r="B942" s="1559"/>
      <c r="C942" s="1559"/>
      <c r="D942" s="1559"/>
      <c r="E942" s="1559"/>
      <c r="F942" s="1559"/>
      <c r="G942" s="1559"/>
      <c r="H942" s="1559"/>
      <c r="I942" s="1559"/>
      <c r="J942" s="1559"/>
      <c r="K942" s="1559"/>
      <c r="L942" s="1559"/>
      <c r="M942" s="1559"/>
      <c r="N942" s="1559"/>
      <c r="O942" s="1559"/>
      <c r="P942" s="1559"/>
      <c r="Q942" s="1559"/>
      <c r="R942" s="1559"/>
      <c r="S942" s="1560">
        <f>'bilans-stanja'!AR106+'bilans-stanja'!AR136+'bilans-stanja'!AR139</f>
        <v>0</v>
      </c>
      <c r="T942" s="1561"/>
      <c r="U942" s="1561"/>
      <c r="V942" s="1561"/>
      <c r="W942" s="1561"/>
      <c r="X942" s="1561"/>
      <c r="Y942" s="1561"/>
      <c r="Z942" s="1561"/>
      <c r="AA942" s="1562"/>
      <c r="AB942" s="1563">
        <f>'bilans-stanja'!AH106+'bilans-stanja'!AH136+'bilans-stanja'!AH139</f>
        <v>0</v>
      </c>
      <c r="AC942" s="1561"/>
      <c r="AD942" s="1561"/>
      <c r="AE942" s="1561"/>
      <c r="AF942" s="1561"/>
      <c r="AG942" s="1561"/>
      <c r="AH942" s="1561"/>
      <c r="AI942" s="1561"/>
      <c r="AJ942" s="1562"/>
    </row>
    <row r="943" spans="1:36">
      <c r="A943" s="1167"/>
      <c r="B943" s="1168"/>
      <c r="C943" s="1168"/>
      <c r="D943" s="1168"/>
      <c r="E943" s="1168"/>
      <c r="F943" s="1168"/>
      <c r="G943" s="1168"/>
      <c r="H943" s="1168"/>
      <c r="I943" s="1168"/>
      <c r="J943" s="1168"/>
      <c r="K943" s="1168"/>
      <c r="L943" s="1168"/>
      <c r="M943" s="1168"/>
      <c r="N943" s="1168"/>
      <c r="O943" s="1167"/>
      <c r="P943" s="1167"/>
      <c r="Q943" s="1167"/>
      <c r="R943" s="1169" t="s">
        <v>97</v>
      </c>
      <c r="S943" s="1564">
        <f>IF(OR(S941=0,S942=0),0,ROUND(S941/S942,4))</f>
        <v>0</v>
      </c>
      <c r="T943" s="1565"/>
      <c r="U943" s="1565"/>
      <c r="V943" s="1565"/>
      <c r="W943" s="1565"/>
      <c r="X943" s="1565"/>
      <c r="Y943" s="1565"/>
      <c r="Z943" s="1565"/>
      <c r="AA943" s="1566"/>
      <c r="AB943" s="1564">
        <f>IF(OR(AB941=0,AB942=0),0,ROUND(AB941/AB942,4))</f>
        <v>0</v>
      </c>
      <c r="AC943" s="1565"/>
      <c r="AD943" s="1565"/>
      <c r="AE943" s="1565"/>
      <c r="AF943" s="1565"/>
      <c r="AG943" s="1565"/>
      <c r="AH943" s="1565"/>
      <c r="AI943" s="1565"/>
      <c r="AJ943" s="1566"/>
    </row>
    <row r="948" spans="1:36">
      <c r="B948" s="828" t="s">
        <v>2771</v>
      </c>
    </row>
    <row r="950" spans="1:36" ht="12.75" customHeight="1">
      <c r="B950" s="828" t="s">
        <v>2772</v>
      </c>
    </row>
    <row r="952" spans="1:36" ht="14.25" customHeight="1">
      <c r="S952" s="1170" t="s">
        <v>1995</v>
      </c>
      <c r="T952" s="1171"/>
      <c r="U952" s="1171"/>
      <c r="V952" s="1171"/>
      <c r="W952" s="1171"/>
      <c r="X952" s="1171"/>
      <c r="Y952" s="1171"/>
      <c r="Z952" s="1171"/>
      <c r="AA952" s="1171"/>
      <c r="AB952" s="1171"/>
      <c r="AC952" s="1171"/>
      <c r="AD952" s="1171"/>
      <c r="AE952" s="1171"/>
      <c r="AF952" s="1171"/>
      <c r="AG952" s="1171"/>
      <c r="AH952" s="1171"/>
      <c r="AI952" s="1171"/>
      <c r="AJ952" s="1172"/>
    </row>
    <row r="953" spans="1:36">
      <c r="A953" s="1567" t="s">
        <v>796</v>
      </c>
      <c r="B953" s="1567"/>
      <c r="C953" s="1567"/>
      <c r="D953" s="1567"/>
      <c r="E953" s="1567"/>
      <c r="F953" s="1567"/>
      <c r="G953" s="1567"/>
      <c r="H953" s="1567"/>
      <c r="I953" s="1567"/>
      <c r="J953" s="1567"/>
      <c r="K953" s="1567"/>
      <c r="L953" s="1567"/>
      <c r="M953" s="1567"/>
      <c r="N953" s="1567"/>
      <c r="O953" s="1567"/>
      <c r="P953" s="1567"/>
      <c r="Q953" s="1567"/>
      <c r="R953" s="1567"/>
      <c r="S953" s="1568" t="s">
        <v>1039</v>
      </c>
      <c r="T953" s="1569"/>
      <c r="U953" s="1569"/>
      <c r="V953" s="1569"/>
      <c r="W953" s="1569"/>
      <c r="X953" s="1569"/>
      <c r="Y953" s="1569"/>
      <c r="Z953" s="1569"/>
      <c r="AA953" s="1570"/>
      <c r="AB953" s="1571" t="s">
        <v>1040</v>
      </c>
      <c r="AC953" s="1572"/>
      <c r="AD953" s="1572"/>
      <c r="AE953" s="1572"/>
      <c r="AF953" s="1572"/>
      <c r="AG953" s="1572"/>
      <c r="AH953" s="1572"/>
      <c r="AI953" s="1572"/>
      <c r="AJ953" s="1573"/>
    </row>
    <row r="954" spans="1:36">
      <c r="A954" s="1558" t="s">
        <v>2773</v>
      </c>
      <c r="B954" s="1559"/>
      <c r="C954" s="1559"/>
      <c r="D954" s="1559"/>
      <c r="E954" s="1559"/>
      <c r="F954" s="1559"/>
      <c r="G954" s="1559"/>
      <c r="H954" s="1559"/>
      <c r="I954" s="1559"/>
      <c r="J954" s="1559"/>
      <c r="K954" s="1559"/>
      <c r="L954" s="1559"/>
      <c r="M954" s="1559"/>
      <c r="N954" s="1559"/>
      <c r="O954" s="1559"/>
      <c r="P954" s="1559"/>
      <c r="Q954" s="1559"/>
      <c r="R954" s="1559"/>
      <c r="S954" s="1560">
        <f>'bilans-stanja'!AR177-'bilans-stanja'!AR106</f>
        <v>0</v>
      </c>
      <c r="T954" s="1561"/>
      <c r="U954" s="1561"/>
      <c r="V954" s="1561"/>
      <c r="W954" s="1561"/>
      <c r="X954" s="1561"/>
      <c r="Y954" s="1561"/>
      <c r="Z954" s="1561"/>
      <c r="AA954" s="1562"/>
      <c r="AB954" s="1563">
        <f>'bilans-stanja'!AH177-'bilans-stanja'!AH106</f>
        <v>0</v>
      </c>
      <c r="AC954" s="1561"/>
      <c r="AD954" s="1561"/>
      <c r="AE954" s="1561"/>
      <c r="AF954" s="1561"/>
      <c r="AG954" s="1561"/>
      <c r="AH954" s="1561"/>
      <c r="AI954" s="1561"/>
      <c r="AJ954" s="1562"/>
    </row>
    <row r="955" spans="1:36">
      <c r="A955" s="1558" t="s">
        <v>2774</v>
      </c>
      <c r="B955" s="1559"/>
      <c r="C955" s="1559"/>
      <c r="D955" s="1559"/>
      <c r="E955" s="1559"/>
      <c r="F955" s="1559"/>
      <c r="G955" s="1559"/>
      <c r="H955" s="1559"/>
      <c r="I955" s="1559"/>
      <c r="J955" s="1559"/>
      <c r="K955" s="1559"/>
      <c r="L955" s="1559"/>
      <c r="M955" s="1559"/>
      <c r="N955" s="1559"/>
      <c r="O955" s="1559"/>
      <c r="P955" s="1559"/>
      <c r="Q955" s="1559"/>
      <c r="R955" s="1559"/>
      <c r="S955" s="1560">
        <f>'bilans-stanja'!AU98</f>
        <v>0</v>
      </c>
      <c r="T955" s="1561"/>
      <c r="U955" s="1561"/>
      <c r="V955" s="1561"/>
      <c r="W955" s="1561"/>
      <c r="X955" s="1561"/>
      <c r="Y955" s="1561"/>
      <c r="Z955" s="1561"/>
      <c r="AA955" s="1562"/>
      <c r="AB955" s="1563">
        <f>'bilans-stanja'!AN98</f>
        <v>0</v>
      </c>
      <c r="AC955" s="1561"/>
      <c r="AD955" s="1561"/>
      <c r="AE955" s="1561"/>
      <c r="AF955" s="1561"/>
      <c r="AG955" s="1561"/>
      <c r="AH955" s="1561"/>
      <c r="AI955" s="1561"/>
      <c r="AJ955" s="1562"/>
    </row>
    <row r="956" spans="1:36">
      <c r="A956" s="1167"/>
      <c r="B956" s="1168"/>
      <c r="C956" s="1168"/>
      <c r="D956" s="1168"/>
      <c r="E956" s="1168"/>
      <c r="F956" s="1168"/>
      <c r="G956" s="1168"/>
      <c r="H956" s="1168"/>
      <c r="I956" s="1168"/>
      <c r="J956" s="1168"/>
      <c r="K956" s="1168"/>
      <c r="L956" s="1168"/>
      <c r="M956" s="1168"/>
      <c r="N956" s="1168"/>
      <c r="O956" s="1167"/>
      <c r="P956" s="1167"/>
      <c r="Q956" s="1167"/>
      <c r="R956" s="1169" t="s">
        <v>97</v>
      </c>
      <c r="S956" s="1564">
        <f>IF(OR(S954=0,S955=0),0,ROUND(S954/S955,4))</f>
        <v>0</v>
      </c>
      <c r="T956" s="1565"/>
      <c r="U956" s="1565"/>
      <c r="V956" s="1565"/>
      <c r="W956" s="1565"/>
      <c r="X956" s="1565"/>
      <c r="Y956" s="1565"/>
      <c r="Z956" s="1565"/>
      <c r="AA956" s="1566"/>
      <c r="AB956" s="1564">
        <f>IF(OR(AB954=0,AB955=0),0,ROUND(AB954/AB955,4))</f>
        <v>0</v>
      </c>
      <c r="AC956" s="1565"/>
      <c r="AD956" s="1565"/>
      <c r="AE956" s="1565"/>
      <c r="AF956" s="1565"/>
      <c r="AG956" s="1565"/>
      <c r="AH956" s="1565"/>
      <c r="AI956" s="1565"/>
      <c r="AJ956" s="1566"/>
    </row>
    <row r="961" spans="1:36" ht="12.75" customHeight="1">
      <c r="B961" s="828" t="s">
        <v>2775</v>
      </c>
    </row>
    <row r="963" spans="1:36" ht="14.25" customHeight="1">
      <c r="S963" s="1170" t="s">
        <v>1995</v>
      </c>
      <c r="T963" s="1171"/>
      <c r="U963" s="1171"/>
      <c r="V963" s="1171"/>
      <c r="W963" s="1171"/>
      <c r="X963" s="1171"/>
      <c r="Y963" s="1171"/>
      <c r="Z963" s="1171"/>
      <c r="AA963" s="1171"/>
      <c r="AB963" s="1171"/>
      <c r="AC963" s="1171"/>
      <c r="AD963" s="1171"/>
      <c r="AE963" s="1171"/>
      <c r="AF963" s="1171"/>
      <c r="AG963" s="1171"/>
      <c r="AH963" s="1171"/>
      <c r="AI963" s="1171"/>
      <c r="AJ963" s="1172"/>
    </row>
    <row r="964" spans="1:36">
      <c r="A964" s="1567" t="s">
        <v>796</v>
      </c>
      <c r="B964" s="1567"/>
      <c r="C964" s="1567"/>
      <c r="D964" s="1567"/>
      <c r="E964" s="1567"/>
      <c r="F964" s="1567"/>
      <c r="G964" s="1567"/>
      <c r="H964" s="1567"/>
      <c r="I964" s="1567"/>
      <c r="J964" s="1567"/>
      <c r="K964" s="1567"/>
      <c r="L964" s="1567"/>
      <c r="M964" s="1567"/>
      <c r="N964" s="1567"/>
      <c r="O964" s="1567"/>
      <c r="P964" s="1567"/>
      <c r="Q964" s="1567"/>
      <c r="R964" s="1567"/>
      <c r="S964" s="1568" t="s">
        <v>1039</v>
      </c>
      <c r="T964" s="1569"/>
      <c r="U964" s="1569"/>
      <c r="V964" s="1569"/>
      <c r="W964" s="1569"/>
      <c r="X964" s="1569"/>
      <c r="Y964" s="1569"/>
      <c r="Z964" s="1569"/>
      <c r="AA964" s="1570"/>
      <c r="AB964" s="1571" t="s">
        <v>1040</v>
      </c>
      <c r="AC964" s="1572"/>
      <c r="AD964" s="1572"/>
      <c r="AE964" s="1572"/>
      <c r="AF964" s="1572"/>
      <c r="AG964" s="1572"/>
      <c r="AH964" s="1572"/>
      <c r="AI964" s="1572"/>
      <c r="AJ964" s="1573"/>
    </row>
    <row r="965" spans="1:36">
      <c r="A965" s="1558" t="s">
        <v>2776</v>
      </c>
      <c r="B965" s="1559"/>
      <c r="C965" s="1559"/>
      <c r="D965" s="1559"/>
      <c r="E965" s="1559"/>
      <c r="F965" s="1559"/>
      <c r="G965" s="1559"/>
      <c r="H965" s="1559"/>
      <c r="I965" s="1559"/>
      <c r="J965" s="1559"/>
      <c r="K965" s="1559"/>
      <c r="L965" s="1559"/>
      <c r="M965" s="1559"/>
      <c r="N965" s="1559"/>
      <c r="O965" s="1559"/>
      <c r="P965" s="1559"/>
      <c r="Q965" s="1559"/>
      <c r="R965" s="1559"/>
      <c r="S965" s="1560">
        <f>'bilans-stanja'!AR106</f>
        <v>0</v>
      </c>
      <c r="T965" s="1561"/>
      <c r="U965" s="1561"/>
      <c r="V965" s="1561"/>
      <c r="W965" s="1561"/>
      <c r="X965" s="1561"/>
      <c r="Y965" s="1561"/>
      <c r="Z965" s="1561"/>
      <c r="AA965" s="1562"/>
      <c r="AB965" s="1563">
        <f>'bilans-stanja'!AH106</f>
        <v>0</v>
      </c>
      <c r="AC965" s="1561"/>
      <c r="AD965" s="1561"/>
      <c r="AE965" s="1561"/>
      <c r="AF965" s="1561"/>
      <c r="AG965" s="1561"/>
      <c r="AH965" s="1561"/>
      <c r="AI965" s="1561"/>
      <c r="AJ965" s="1562"/>
    </row>
    <row r="966" spans="1:36">
      <c r="A966" s="1558" t="s">
        <v>2774</v>
      </c>
      <c r="B966" s="1559"/>
      <c r="C966" s="1559"/>
      <c r="D966" s="1559"/>
      <c r="E966" s="1559"/>
      <c r="F966" s="1559"/>
      <c r="G966" s="1559"/>
      <c r="H966" s="1559"/>
      <c r="I966" s="1559"/>
      <c r="J966" s="1559"/>
      <c r="K966" s="1559"/>
      <c r="L966" s="1559"/>
      <c r="M966" s="1559"/>
      <c r="N966" s="1559"/>
      <c r="O966" s="1559"/>
      <c r="P966" s="1559"/>
      <c r="Q966" s="1559"/>
      <c r="R966" s="1559"/>
      <c r="S966" s="1560">
        <f>'bilans-stanja'!AU98</f>
        <v>0</v>
      </c>
      <c r="T966" s="1561"/>
      <c r="U966" s="1561"/>
      <c r="V966" s="1561"/>
      <c r="W966" s="1561"/>
      <c r="X966" s="1561"/>
      <c r="Y966" s="1561"/>
      <c r="Z966" s="1561"/>
      <c r="AA966" s="1562"/>
      <c r="AB966" s="1563">
        <f>'bilans-stanja'!AN98</f>
        <v>0</v>
      </c>
      <c r="AC966" s="1561"/>
      <c r="AD966" s="1561"/>
      <c r="AE966" s="1561"/>
      <c r="AF966" s="1561"/>
      <c r="AG966" s="1561"/>
      <c r="AH966" s="1561"/>
      <c r="AI966" s="1561"/>
      <c r="AJ966" s="1562"/>
    </row>
    <row r="967" spans="1:36">
      <c r="A967" s="1167"/>
      <c r="B967" s="1168"/>
      <c r="C967" s="1168"/>
      <c r="D967" s="1168"/>
      <c r="E967" s="1168"/>
      <c r="F967" s="1168"/>
      <c r="G967" s="1168"/>
      <c r="H967" s="1168"/>
      <c r="I967" s="1168"/>
      <c r="J967" s="1168"/>
      <c r="K967" s="1168"/>
      <c r="L967" s="1168"/>
      <c r="M967" s="1168"/>
      <c r="N967" s="1168"/>
      <c r="O967" s="1167"/>
      <c r="P967" s="1167"/>
      <c r="Q967" s="1167"/>
      <c r="R967" s="1169" t="s">
        <v>97</v>
      </c>
      <c r="S967" s="1564">
        <f>IF(OR(S965=0,S966=0),0,ROUND(S965/S966,4))</f>
        <v>0</v>
      </c>
      <c r="T967" s="1565"/>
      <c r="U967" s="1565"/>
      <c r="V967" s="1565"/>
      <c r="W967" s="1565"/>
      <c r="X967" s="1565"/>
      <c r="Y967" s="1565"/>
      <c r="Z967" s="1565"/>
      <c r="AA967" s="1566"/>
      <c r="AB967" s="1564">
        <f>IF(OR(AB965=0,AB966=0),0,ROUND(AB965/AB966,4))</f>
        <v>0</v>
      </c>
      <c r="AC967" s="1565"/>
      <c r="AD967" s="1565"/>
      <c r="AE967" s="1565"/>
      <c r="AF967" s="1565"/>
      <c r="AG967" s="1565"/>
      <c r="AH967" s="1565"/>
      <c r="AI967" s="1565"/>
      <c r="AJ967" s="1566"/>
    </row>
    <row r="972" spans="1:36" ht="12.75" customHeight="1">
      <c r="B972" s="828" t="s">
        <v>2777</v>
      </c>
    </row>
    <row r="974" spans="1:36" ht="14.25" customHeight="1">
      <c r="S974" s="1170" t="s">
        <v>1995</v>
      </c>
      <c r="T974" s="1171"/>
      <c r="U974" s="1171"/>
      <c r="V974" s="1171"/>
      <c r="W974" s="1171"/>
      <c r="X974" s="1171"/>
      <c r="Y974" s="1171"/>
      <c r="Z974" s="1171"/>
      <c r="AA974" s="1171"/>
      <c r="AB974" s="1171"/>
      <c r="AC974" s="1171"/>
      <c r="AD974" s="1171"/>
      <c r="AE974" s="1171"/>
      <c r="AF974" s="1171"/>
      <c r="AG974" s="1171"/>
      <c r="AH974" s="1171"/>
      <c r="AI974" s="1171"/>
      <c r="AJ974" s="1172"/>
    </row>
    <row r="975" spans="1:36">
      <c r="A975" s="1567" t="s">
        <v>796</v>
      </c>
      <c r="B975" s="1567"/>
      <c r="C975" s="1567"/>
      <c r="D975" s="1567"/>
      <c r="E975" s="1567"/>
      <c r="F975" s="1567"/>
      <c r="G975" s="1567"/>
      <c r="H975" s="1567"/>
      <c r="I975" s="1567"/>
      <c r="J975" s="1567"/>
      <c r="K975" s="1567"/>
      <c r="L975" s="1567"/>
      <c r="M975" s="1567"/>
      <c r="N975" s="1567"/>
      <c r="O975" s="1567"/>
      <c r="P975" s="1567"/>
      <c r="Q975" s="1567"/>
      <c r="R975" s="1567"/>
      <c r="S975" s="1568" t="s">
        <v>1039</v>
      </c>
      <c r="T975" s="1569"/>
      <c r="U975" s="1569"/>
      <c r="V975" s="1569"/>
      <c r="W975" s="1569"/>
      <c r="X975" s="1569"/>
      <c r="Y975" s="1569"/>
      <c r="Z975" s="1569"/>
      <c r="AA975" s="1570"/>
      <c r="AB975" s="1571" t="s">
        <v>1040</v>
      </c>
      <c r="AC975" s="1572"/>
      <c r="AD975" s="1572"/>
      <c r="AE975" s="1572"/>
      <c r="AF975" s="1572"/>
      <c r="AG975" s="1572"/>
      <c r="AH975" s="1572"/>
      <c r="AI975" s="1572"/>
      <c r="AJ975" s="1573"/>
    </row>
    <row r="976" spans="1:36">
      <c r="A976" s="1558" t="s">
        <v>2773</v>
      </c>
      <c r="B976" s="1559"/>
      <c r="C976" s="1559"/>
      <c r="D976" s="1559"/>
      <c r="E976" s="1559"/>
      <c r="F976" s="1559"/>
      <c r="G976" s="1559"/>
      <c r="H976" s="1559"/>
      <c r="I976" s="1559"/>
      <c r="J976" s="1559"/>
      <c r="K976" s="1559"/>
      <c r="L976" s="1559"/>
      <c r="M976" s="1559"/>
      <c r="N976" s="1559"/>
      <c r="O976" s="1559"/>
      <c r="P976" s="1559"/>
      <c r="Q976" s="1559"/>
      <c r="R976" s="1559"/>
      <c r="S976" s="1560">
        <f>'bilans-stanja'!AR177-'bilans-stanja'!AR106</f>
        <v>0</v>
      </c>
      <c r="T976" s="1561"/>
      <c r="U976" s="1561"/>
      <c r="V976" s="1561"/>
      <c r="W976" s="1561"/>
      <c r="X976" s="1561"/>
      <c r="Y976" s="1561"/>
      <c r="Z976" s="1561"/>
      <c r="AA976" s="1562"/>
      <c r="AB976" s="1563">
        <f>'bilans-stanja'!AH177-'bilans-stanja'!AH106</f>
        <v>0</v>
      </c>
      <c r="AC976" s="1561"/>
      <c r="AD976" s="1561"/>
      <c r="AE976" s="1561"/>
      <c r="AF976" s="1561"/>
      <c r="AG976" s="1561"/>
      <c r="AH976" s="1561"/>
      <c r="AI976" s="1561"/>
      <c r="AJ976" s="1562"/>
    </row>
    <row r="977" spans="1:36">
      <c r="A977" s="1558" t="s">
        <v>2776</v>
      </c>
      <c r="B977" s="1559"/>
      <c r="C977" s="1559"/>
      <c r="D977" s="1559"/>
      <c r="E977" s="1559"/>
      <c r="F977" s="1559"/>
      <c r="G977" s="1559"/>
      <c r="H977" s="1559"/>
      <c r="I977" s="1559"/>
      <c r="J977" s="1559"/>
      <c r="K977" s="1559"/>
      <c r="L977" s="1559"/>
      <c r="M977" s="1559"/>
      <c r="N977" s="1559"/>
      <c r="O977" s="1559"/>
      <c r="P977" s="1559"/>
      <c r="Q977" s="1559"/>
      <c r="R977" s="1559"/>
      <c r="S977" s="1560">
        <f>'bilans-stanja'!AR106</f>
        <v>0</v>
      </c>
      <c r="T977" s="1561"/>
      <c r="U977" s="1561"/>
      <c r="V977" s="1561"/>
      <c r="W977" s="1561"/>
      <c r="X977" s="1561"/>
      <c r="Y977" s="1561"/>
      <c r="Z977" s="1561"/>
      <c r="AA977" s="1562"/>
      <c r="AB977" s="1563">
        <f>'bilans-stanja'!AH106</f>
        <v>0</v>
      </c>
      <c r="AC977" s="1561"/>
      <c r="AD977" s="1561"/>
      <c r="AE977" s="1561"/>
      <c r="AF977" s="1561"/>
      <c r="AG977" s="1561"/>
      <c r="AH977" s="1561"/>
      <c r="AI977" s="1561"/>
      <c r="AJ977" s="1562"/>
    </row>
    <row r="978" spans="1:36">
      <c r="A978" s="1167"/>
      <c r="B978" s="1168"/>
      <c r="C978" s="1168"/>
      <c r="D978" s="1168"/>
      <c r="E978" s="1168"/>
      <c r="F978" s="1168"/>
      <c r="G978" s="1168"/>
      <c r="H978" s="1168"/>
      <c r="I978" s="1168"/>
      <c r="J978" s="1168"/>
      <c r="K978" s="1168"/>
      <c r="L978" s="1168"/>
      <c r="M978" s="1168"/>
      <c r="N978" s="1168"/>
      <c r="O978" s="1167"/>
      <c r="P978" s="1167"/>
      <c r="Q978" s="1167"/>
      <c r="R978" s="1169" t="s">
        <v>97</v>
      </c>
      <c r="S978" s="1564">
        <f>IF(OR(S976=0,S977=0),0,ROUND(S976/S977,4))</f>
        <v>0</v>
      </c>
      <c r="T978" s="1565"/>
      <c r="U978" s="1565"/>
      <c r="V978" s="1565"/>
      <c r="W978" s="1565"/>
      <c r="X978" s="1565"/>
      <c r="Y978" s="1565"/>
      <c r="Z978" s="1565"/>
      <c r="AA978" s="1566"/>
      <c r="AB978" s="1564">
        <f>IF(OR(AB976=0,AB977=0),0,ROUND(AB976/AB977,4))</f>
        <v>0</v>
      </c>
      <c r="AC978" s="1565"/>
      <c r="AD978" s="1565"/>
      <c r="AE978" s="1565"/>
      <c r="AF978" s="1565"/>
      <c r="AG978" s="1565"/>
      <c r="AH978" s="1565"/>
      <c r="AI978" s="1565"/>
      <c r="AJ978" s="1566"/>
    </row>
    <row r="983" spans="1:36" ht="12.75" customHeight="1">
      <c r="B983" s="828" t="s">
        <v>2778</v>
      </c>
    </row>
    <row r="985" spans="1:36" ht="14.25" customHeight="1">
      <c r="S985" s="1170" t="s">
        <v>1995</v>
      </c>
      <c r="T985" s="1171"/>
      <c r="U985" s="1171"/>
      <c r="V985" s="1171"/>
      <c r="W985" s="1171"/>
      <c r="X985" s="1171"/>
      <c r="Y985" s="1171"/>
      <c r="Z985" s="1171"/>
      <c r="AA985" s="1171"/>
      <c r="AB985" s="1171"/>
      <c r="AC985" s="1171"/>
      <c r="AD985" s="1171"/>
      <c r="AE985" s="1171"/>
      <c r="AF985" s="1171"/>
      <c r="AG985" s="1171"/>
      <c r="AH985" s="1171"/>
      <c r="AI985" s="1171"/>
      <c r="AJ985" s="1172"/>
    </row>
    <row r="986" spans="1:36">
      <c r="A986" s="1567" t="s">
        <v>796</v>
      </c>
      <c r="B986" s="1567"/>
      <c r="C986" s="1567"/>
      <c r="D986" s="1567"/>
      <c r="E986" s="1567"/>
      <c r="F986" s="1567"/>
      <c r="G986" s="1567"/>
      <c r="H986" s="1567"/>
      <c r="I986" s="1567"/>
      <c r="J986" s="1567"/>
      <c r="K986" s="1567"/>
      <c r="L986" s="1567"/>
      <c r="M986" s="1567"/>
      <c r="N986" s="1567"/>
      <c r="O986" s="1567"/>
      <c r="P986" s="1567"/>
      <c r="Q986" s="1567"/>
      <c r="R986" s="1567"/>
      <c r="S986" s="1568" t="s">
        <v>1039</v>
      </c>
      <c r="T986" s="1569"/>
      <c r="U986" s="1569"/>
      <c r="V986" s="1569"/>
      <c r="W986" s="1569"/>
      <c r="X986" s="1569"/>
      <c r="Y986" s="1569"/>
      <c r="Z986" s="1569"/>
      <c r="AA986" s="1570"/>
      <c r="AB986" s="1571" t="s">
        <v>1040</v>
      </c>
      <c r="AC986" s="1572"/>
      <c r="AD986" s="1572"/>
      <c r="AE986" s="1572"/>
      <c r="AF986" s="1572"/>
      <c r="AG986" s="1572"/>
      <c r="AH986" s="1572"/>
      <c r="AI986" s="1572"/>
      <c r="AJ986" s="1573"/>
    </row>
    <row r="987" spans="1:36">
      <c r="A987" s="1558" t="s">
        <v>2776</v>
      </c>
      <c r="B987" s="1559"/>
      <c r="C987" s="1559"/>
      <c r="D987" s="1559"/>
      <c r="E987" s="1559"/>
      <c r="F987" s="1559"/>
      <c r="G987" s="1559"/>
      <c r="H987" s="1559"/>
      <c r="I987" s="1559"/>
      <c r="J987" s="1559"/>
      <c r="K987" s="1559"/>
      <c r="L987" s="1559"/>
      <c r="M987" s="1559"/>
      <c r="N987" s="1559"/>
      <c r="O987" s="1559"/>
      <c r="P987" s="1559"/>
      <c r="Q987" s="1559"/>
      <c r="R987" s="1559"/>
      <c r="S987" s="1560">
        <f>'bilans-stanja'!AR106</f>
        <v>0</v>
      </c>
      <c r="T987" s="1561"/>
      <c r="U987" s="1561"/>
      <c r="V987" s="1561"/>
      <c r="W987" s="1561"/>
      <c r="X987" s="1561"/>
      <c r="Y987" s="1561"/>
      <c r="Z987" s="1561"/>
      <c r="AA987" s="1562"/>
      <c r="AB987" s="1563">
        <f>'bilans-stanja'!AH106</f>
        <v>0</v>
      </c>
      <c r="AC987" s="1561"/>
      <c r="AD987" s="1561"/>
      <c r="AE987" s="1561"/>
      <c r="AF987" s="1561"/>
      <c r="AG987" s="1561"/>
      <c r="AH987" s="1561"/>
      <c r="AI987" s="1561"/>
      <c r="AJ987" s="1562"/>
    </row>
    <row r="988" spans="1:36">
      <c r="A988" s="1558" t="s">
        <v>95</v>
      </c>
      <c r="B988" s="1559"/>
      <c r="C988" s="1559"/>
      <c r="D988" s="1559"/>
      <c r="E988" s="1559"/>
      <c r="F988" s="1559"/>
      <c r="G988" s="1559"/>
      <c r="H988" s="1559"/>
      <c r="I988" s="1559"/>
      <c r="J988" s="1559"/>
      <c r="K988" s="1559"/>
      <c r="L988" s="1559"/>
      <c r="M988" s="1559"/>
      <c r="N988" s="1559"/>
      <c r="O988" s="1559"/>
      <c r="P988" s="1559"/>
      <c r="Q988" s="1559"/>
      <c r="R988" s="1559"/>
      <c r="S988" s="1560">
        <f>'bilans-stanja'!AU26</f>
        <v>0</v>
      </c>
      <c r="T988" s="1561"/>
      <c r="U988" s="1561"/>
      <c r="V988" s="1561"/>
      <c r="W988" s="1561"/>
      <c r="X988" s="1561"/>
      <c r="Y988" s="1561"/>
      <c r="Z988" s="1561"/>
      <c r="AA988" s="1562"/>
      <c r="AB988" s="1563">
        <f>'bilans-stanja'!AN26</f>
        <v>0</v>
      </c>
      <c r="AC988" s="1561"/>
      <c r="AD988" s="1561"/>
      <c r="AE988" s="1561"/>
      <c r="AF988" s="1561"/>
      <c r="AG988" s="1561"/>
      <c r="AH988" s="1561"/>
      <c r="AI988" s="1561"/>
      <c r="AJ988" s="1562"/>
    </row>
    <row r="989" spans="1:36">
      <c r="A989" s="1167"/>
      <c r="B989" s="1168"/>
      <c r="C989" s="1168"/>
      <c r="D989" s="1168"/>
      <c r="E989" s="1168"/>
      <c r="F989" s="1168"/>
      <c r="G989" s="1168"/>
      <c r="H989" s="1168"/>
      <c r="I989" s="1168"/>
      <c r="J989" s="1168"/>
      <c r="K989" s="1168"/>
      <c r="L989" s="1168"/>
      <c r="M989" s="1168"/>
      <c r="N989" s="1168"/>
      <c r="O989" s="1167"/>
      <c r="P989" s="1167"/>
      <c r="Q989" s="1167"/>
      <c r="R989" s="1169" t="s">
        <v>97</v>
      </c>
      <c r="S989" s="1564">
        <f>IF(OR(S987=0,S988=0),0,ROUND(S987/S988,4))</f>
        <v>0</v>
      </c>
      <c r="T989" s="1565"/>
      <c r="U989" s="1565"/>
      <c r="V989" s="1565"/>
      <c r="W989" s="1565"/>
      <c r="X989" s="1565"/>
      <c r="Y989" s="1565"/>
      <c r="Z989" s="1565"/>
      <c r="AA989" s="1566"/>
      <c r="AB989" s="1564">
        <f>IF(OR(AB987=0,AB988=0),0,ROUND(AB987/AB988,4))</f>
        <v>0</v>
      </c>
      <c r="AC989" s="1565"/>
      <c r="AD989" s="1565"/>
      <c r="AE989" s="1565"/>
      <c r="AF989" s="1565"/>
      <c r="AG989" s="1565"/>
      <c r="AH989" s="1565"/>
      <c r="AI989" s="1565"/>
      <c r="AJ989" s="1566"/>
    </row>
    <row r="993" spans="1:36" ht="12.75" customHeight="1">
      <c r="B993" s="828" t="s">
        <v>2779</v>
      </c>
    </row>
    <row r="995" spans="1:36" ht="14.25" customHeight="1">
      <c r="S995" s="1170" t="s">
        <v>1995</v>
      </c>
      <c r="T995" s="1171"/>
      <c r="U995" s="1171"/>
      <c r="V995" s="1171"/>
      <c r="W995" s="1171"/>
      <c r="X995" s="1171"/>
      <c r="Y995" s="1171"/>
      <c r="Z995" s="1171"/>
      <c r="AA995" s="1171"/>
      <c r="AB995" s="1171"/>
      <c r="AC995" s="1171"/>
      <c r="AD995" s="1171"/>
      <c r="AE995" s="1171"/>
      <c r="AF995" s="1171"/>
      <c r="AG995" s="1171"/>
      <c r="AH995" s="1171"/>
      <c r="AI995" s="1171"/>
      <c r="AJ995" s="1172"/>
    </row>
    <row r="996" spans="1:36">
      <c r="A996" s="1567" t="s">
        <v>796</v>
      </c>
      <c r="B996" s="1567"/>
      <c r="C996" s="1567"/>
      <c r="D996" s="1567"/>
      <c r="E996" s="1567"/>
      <c r="F996" s="1567"/>
      <c r="G996" s="1567"/>
      <c r="H996" s="1567"/>
      <c r="I996" s="1567"/>
      <c r="J996" s="1567"/>
      <c r="K996" s="1567"/>
      <c r="L996" s="1567"/>
      <c r="M996" s="1567"/>
      <c r="N996" s="1567"/>
      <c r="O996" s="1567"/>
      <c r="P996" s="1567"/>
      <c r="Q996" s="1567"/>
      <c r="R996" s="1567"/>
      <c r="S996" s="1568" t="s">
        <v>1039</v>
      </c>
      <c r="T996" s="1569"/>
      <c r="U996" s="1569"/>
      <c r="V996" s="1569"/>
      <c r="W996" s="1569"/>
      <c r="X996" s="1569"/>
      <c r="Y996" s="1569"/>
      <c r="Z996" s="1569"/>
      <c r="AA996" s="1570"/>
      <c r="AB996" s="1571" t="s">
        <v>1040</v>
      </c>
      <c r="AC996" s="1572"/>
      <c r="AD996" s="1572"/>
      <c r="AE996" s="1572"/>
      <c r="AF996" s="1572"/>
      <c r="AG996" s="1572"/>
      <c r="AH996" s="1572"/>
      <c r="AI996" s="1572"/>
      <c r="AJ996" s="1573"/>
    </row>
    <row r="997" spans="1:36">
      <c r="A997" s="1558" t="s">
        <v>2780</v>
      </c>
      <c r="B997" s="1559"/>
      <c r="C997" s="1559"/>
      <c r="D997" s="1559"/>
      <c r="E997" s="1559"/>
      <c r="F997" s="1559"/>
      <c r="G997" s="1559"/>
      <c r="H997" s="1559"/>
      <c r="I997" s="1559"/>
      <c r="J997" s="1559"/>
      <c r="K997" s="1559"/>
      <c r="L997" s="1559"/>
      <c r="M997" s="1559"/>
      <c r="N997" s="1559"/>
      <c r="O997" s="1559"/>
      <c r="P997" s="1559"/>
      <c r="Q997" s="1559"/>
      <c r="R997" s="1559"/>
      <c r="S997" s="1560">
        <f>'bilans-stanja'!AR106+'bilans-stanja'!AR136</f>
        <v>0</v>
      </c>
      <c r="T997" s="1561"/>
      <c r="U997" s="1561"/>
      <c r="V997" s="1561"/>
      <c r="W997" s="1561"/>
      <c r="X997" s="1561"/>
      <c r="Y997" s="1561"/>
      <c r="Z997" s="1561"/>
      <c r="AA997" s="1562"/>
      <c r="AB997" s="1563">
        <f>'bilans-stanja'!AH106+'bilans-stanja'!AH139</f>
        <v>0</v>
      </c>
      <c r="AC997" s="1561"/>
      <c r="AD997" s="1561"/>
      <c r="AE997" s="1561"/>
      <c r="AF997" s="1561"/>
      <c r="AG997" s="1561"/>
      <c r="AH997" s="1561"/>
      <c r="AI997" s="1561"/>
      <c r="AJ997" s="1562"/>
    </row>
    <row r="998" spans="1:36">
      <c r="A998" s="1558" t="s">
        <v>95</v>
      </c>
      <c r="B998" s="1559"/>
      <c r="C998" s="1559"/>
      <c r="D998" s="1559"/>
      <c r="E998" s="1559"/>
      <c r="F998" s="1559"/>
      <c r="G998" s="1559"/>
      <c r="H998" s="1559"/>
      <c r="I998" s="1559"/>
      <c r="J998" s="1559"/>
      <c r="K998" s="1559"/>
      <c r="L998" s="1559"/>
      <c r="M998" s="1559"/>
      <c r="N998" s="1559"/>
      <c r="O998" s="1559"/>
      <c r="P998" s="1559"/>
      <c r="Q998" s="1559"/>
      <c r="R998" s="1559"/>
      <c r="S998" s="1560">
        <f>'bilans-stanja'!AU36</f>
        <v>0</v>
      </c>
      <c r="T998" s="1561"/>
      <c r="U998" s="1561"/>
      <c r="V998" s="1561"/>
      <c r="W998" s="1561"/>
      <c r="X998" s="1561"/>
      <c r="Y998" s="1561"/>
      <c r="Z998" s="1561"/>
      <c r="AA998" s="1562"/>
      <c r="AB998" s="1563">
        <f>'bilans-stanja'!AN36</f>
        <v>0</v>
      </c>
      <c r="AC998" s="1561"/>
      <c r="AD998" s="1561"/>
      <c r="AE998" s="1561"/>
      <c r="AF998" s="1561"/>
      <c r="AG998" s="1561"/>
      <c r="AH998" s="1561"/>
      <c r="AI998" s="1561"/>
      <c r="AJ998" s="1562"/>
    </row>
    <row r="999" spans="1:36">
      <c r="A999" s="1167"/>
      <c r="B999" s="1168"/>
      <c r="C999" s="1168"/>
      <c r="D999" s="1168"/>
      <c r="E999" s="1168"/>
      <c r="F999" s="1168"/>
      <c r="G999" s="1168"/>
      <c r="H999" s="1168"/>
      <c r="I999" s="1168"/>
      <c r="J999" s="1168"/>
      <c r="K999" s="1168"/>
      <c r="L999" s="1168"/>
      <c r="M999" s="1168"/>
      <c r="N999" s="1168"/>
      <c r="O999" s="1167"/>
      <c r="P999" s="1167"/>
      <c r="Q999" s="1167"/>
      <c r="R999" s="1169" t="s">
        <v>97</v>
      </c>
      <c r="S999" s="1564">
        <f>IF(OR(S997=0,S998=0),0,ROUND(S997/S998,4))</f>
        <v>0</v>
      </c>
      <c r="T999" s="1565"/>
      <c r="U999" s="1565"/>
      <c r="V999" s="1565"/>
      <c r="W999" s="1565"/>
      <c r="X999" s="1565"/>
      <c r="Y999" s="1565"/>
      <c r="Z999" s="1565"/>
      <c r="AA999" s="1566"/>
      <c r="AB999" s="1564">
        <f>IF(OR(AB997=0,AB998=0),0,ROUND(AB997/AB998,4))</f>
        <v>0</v>
      </c>
      <c r="AC999" s="1565"/>
      <c r="AD999" s="1565"/>
      <c r="AE999" s="1565"/>
      <c r="AF999" s="1565"/>
      <c r="AG999" s="1565"/>
      <c r="AH999" s="1565"/>
      <c r="AI999" s="1565"/>
      <c r="AJ999" s="1566"/>
    </row>
    <row r="1003" spans="1:36">
      <c r="B1003" s="828" t="s">
        <v>2781</v>
      </c>
    </row>
    <row r="1006" spans="1:36" ht="12.75" customHeight="1">
      <c r="B1006" s="828" t="s">
        <v>2787</v>
      </c>
    </row>
    <row r="1008" spans="1:36" ht="14.25" customHeight="1">
      <c r="S1008" s="1170" t="s">
        <v>1995</v>
      </c>
      <c r="T1008" s="1171"/>
      <c r="U1008" s="1171"/>
      <c r="V1008" s="1171"/>
      <c r="W1008" s="1171"/>
      <c r="X1008" s="1171"/>
      <c r="Y1008" s="1171"/>
      <c r="Z1008" s="1171"/>
      <c r="AA1008" s="1171"/>
      <c r="AB1008" s="1171"/>
      <c r="AC1008" s="1171"/>
      <c r="AD1008" s="1171"/>
      <c r="AE1008" s="1171"/>
      <c r="AF1008" s="1171"/>
      <c r="AG1008" s="1171"/>
      <c r="AH1008" s="1171"/>
      <c r="AI1008" s="1171"/>
      <c r="AJ1008" s="1172"/>
    </row>
    <row r="1009" spans="1:36">
      <c r="A1009" s="1567" t="s">
        <v>796</v>
      </c>
      <c r="B1009" s="1567"/>
      <c r="C1009" s="1567"/>
      <c r="D1009" s="1567"/>
      <c r="E1009" s="1567"/>
      <c r="F1009" s="1567"/>
      <c r="G1009" s="1567"/>
      <c r="H1009" s="1567"/>
      <c r="I1009" s="1567"/>
      <c r="J1009" s="1567"/>
      <c r="K1009" s="1567"/>
      <c r="L1009" s="1567"/>
      <c r="M1009" s="1567"/>
      <c r="N1009" s="1567"/>
      <c r="O1009" s="1567"/>
      <c r="P1009" s="1567"/>
      <c r="Q1009" s="1567"/>
      <c r="R1009" s="1567"/>
      <c r="S1009" s="1568" t="s">
        <v>1039</v>
      </c>
      <c r="T1009" s="1569"/>
      <c r="U1009" s="1569"/>
      <c r="V1009" s="1569"/>
      <c r="W1009" s="1569"/>
      <c r="X1009" s="1569"/>
      <c r="Y1009" s="1569"/>
      <c r="Z1009" s="1569"/>
      <c r="AA1009" s="1570"/>
      <c r="AB1009" s="1571" t="s">
        <v>1040</v>
      </c>
      <c r="AC1009" s="1572"/>
      <c r="AD1009" s="1572"/>
      <c r="AE1009" s="1572"/>
      <c r="AF1009" s="1572"/>
      <c r="AG1009" s="1572"/>
      <c r="AH1009" s="1572"/>
      <c r="AI1009" s="1572"/>
      <c r="AJ1009" s="1573"/>
    </row>
    <row r="1010" spans="1:36">
      <c r="A1010" s="1558" t="s">
        <v>2782</v>
      </c>
      <c r="B1010" s="1559"/>
      <c r="C1010" s="1559"/>
      <c r="D1010" s="1559"/>
      <c r="E1010" s="1559"/>
      <c r="F1010" s="1559"/>
      <c r="G1010" s="1559"/>
      <c r="H1010" s="1559"/>
      <c r="I1010" s="1559"/>
      <c r="J1010" s="1559"/>
      <c r="K1010" s="1559"/>
      <c r="L1010" s="1559"/>
      <c r="M1010" s="1559"/>
      <c r="N1010" s="1559"/>
      <c r="O1010" s="1559"/>
      <c r="P1010" s="1559"/>
      <c r="Q1010" s="1559"/>
      <c r="R1010" s="1559"/>
      <c r="S1010" s="1560">
        <f>unos!F54</f>
        <v>0</v>
      </c>
      <c r="T1010" s="1561"/>
      <c r="U1010" s="1561"/>
      <c r="V1010" s="1561"/>
      <c r="W1010" s="1561"/>
      <c r="X1010" s="1561"/>
      <c r="Y1010" s="1561"/>
      <c r="Z1010" s="1561"/>
      <c r="AA1010" s="1562"/>
      <c r="AB1010" s="1563">
        <f>unos!G54</f>
        <v>0</v>
      </c>
      <c r="AC1010" s="1561"/>
      <c r="AD1010" s="1561"/>
      <c r="AE1010" s="1561"/>
      <c r="AF1010" s="1561"/>
      <c r="AG1010" s="1561"/>
      <c r="AH1010" s="1561"/>
      <c r="AI1010" s="1561"/>
      <c r="AJ1010" s="1562"/>
    </row>
    <row r="1011" spans="1:36">
      <c r="A1011" s="1558" t="s">
        <v>2783</v>
      </c>
      <c r="B1011" s="1559"/>
      <c r="C1011" s="1559"/>
      <c r="D1011" s="1559"/>
      <c r="E1011" s="1559"/>
      <c r="F1011" s="1559"/>
      <c r="G1011" s="1559"/>
      <c r="H1011" s="1559"/>
      <c r="I1011" s="1559"/>
      <c r="J1011" s="1559"/>
      <c r="K1011" s="1559"/>
      <c r="L1011" s="1559"/>
      <c r="M1011" s="1559"/>
      <c r="N1011" s="1559"/>
      <c r="O1011" s="1559"/>
      <c r="P1011" s="1559"/>
      <c r="Q1011" s="1559"/>
      <c r="R1011" s="1559"/>
      <c r="S1011" s="1560">
        <f>unos!F126</f>
        <v>0</v>
      </c>
      <c r="T1011" s="1561"/>
      <c r="U1011" s="1561"/>
      <c r="V1011" s="1561"/>
      <c r="W1011" s="1561"/>
      <c r="X1011" s="1561"/>
      <c r="Y1011" s="1561"/>
      <c r="Z1011" s="1561"/>
      <c r="AA1011" s="1562"/>
      <c r="AB1011" s="1563">
        <f>unos!G126</f>
        <v>0</v>
      </c>
      <c r="AC1011" s="1561"/>
      <c r="AD1011" s="1561"/>
      <c r="AE1011" s="1561"/>
      <c r="AF1011" s="1561"/>
      <c r="AG1011" s="1561"/>
      <c r="AH1011" s="1561"/>
      <c r="AI1011" s="1561"/>
      <c r="AJ1011" s="1562"/>
    </row>
    <row r="1012" spans="1:36">
      <c r="A1012" s="1167"/>
      <c r="B1012" s="1168"/>
      <c r="C1012" s="1168"/>
      <c r="D1012" s="1168"/>
      <c r="E1012" s="1168"/>
      <c r="F1012" s="1168"/>
      <c r="G1012" s="1168"/>
      <c r="H1012" s="1168"/>
      <c r="I1012" s="1168"/>
      <c r="J1012" s="1168"/>
      <c r="K1012" s="1168"/>
      <c r="L1012" s="1168"/>
      <c r="M1012" s="1168"/>
      <c r="N1012" s="1168"/>
      <c r="O1012" s="1167"/>
      <c r="P1012" s="1167"/>
      <c r="Q1012" s="1167"/>
      <c r="R1012" s="1169" t="s">
        <v>97</v>
      </c>
      <c r="S1012" s="1564">
        <f>IF(OR(S1010=0,S1011=0),0,ROUND(S1010/S1011,4))</f>
        <v>0</v>
      </c>
      <c r="T1012" s="1565"/>
      <c r="U1012" s="1565"/>
      <c r="V1012" s="1565"/>
      <c r="W1012" s="1565"/>
      <c r="X1012" s="1565"/>
      <c r="Y1012" s="1565"/>
      <c r="Z1012" s="1565"/>
      <c r="AA1012" s="1566"/>
      <c r="AB1012" s="1564">
        <f>IF(OR(AB1010=0,AB1011=0),0,ROUND(AB1010/AB1011,4))</f>
        <v>0</v>
      </c>
      <c r="AC1012" s="1565"/>
      <c r="AD1012" s="1565"/>
      <c r="AE1012" s="1565"/>
      <c r="AF1012" s="1565"/>
      <c r="AG1012" s="1565"/>
      <c r="AH1012" s="1565"/>
      <c r="AI1012" s="1565"/>
      <c r="AJ1012" s="1566"/>
    </row>
    <row r="1016" spans="1:36" ht="12.75" customHeight="1">
      <c r="B1016" s="828" t="s">
        <v>2786</v>
      </c>
    </row>
    <row r="1018" spans="1:36" ht="14.25" customHeight="1">
      <c r="S1018" s="1170" t="s">
        <v>1995</v>
      </c>
      <c r="T1018" s="1171"/>
      <c r="U1018" s="1171"/>
      <c r="V1018" s="1171"/>
      <c r="W1018" s="1171"/>
      <c r="X1018" s="1171"/>
      <c r="Y1018" s="1171"/>
      <c r="Z1018" s="1171"/>
      <c r="AA1018" s="1171"/>
      <c r="AB1018" s="1171"/>
      <c r="AC1018" s="1171"/>
      <c r="AD1018" s="1171"/>
      <c r="AE1018" s="1171"/>
      <c r="AF1018" s="1171"/>
      <c r="AG1018" s="1171"/>
      <c r="AH1018" s="1171"/>
      <c r="AI1018" s="1171"/>
      <c r="AJ1018" s="1172"/>
    </row>
    <row r="1019" spans="1:36">
      <c r="A1019" s="1567" t="s">
        <v>796</v>
      </c>
      <c r="B1019" s="1567"/>
      <c r="C1019" s="1567"/>
      <c r="D1019" s="1567"/>
      <c r="E1019" s="1567"/>
      <c r="F1019" s="1567"/>
      <c r="G1019" s="1567"/>
      <c r="H1019" s="1567"/>
      <c r="I1019" s="1567"/>
      <c r="J1019" s="1567"/>
      <c r="K1019" s="1567"/>
      <c r="L1019" s="1567"/>
      <c r="M1019" s="1567"/>
      <c r="N1019" s="1567"/>
      <c r="O1019" s="1567"/>
      <c r="P1019" s="1567"/>
      <c r="Q1019" s="1567"/>
      <c r="R1019" s="1567"/>
      <c r="S1019" s="1568" t="s">
        <v>1039</v>
      </c>
      <c r="T1019" s="1569"/>
      <c r="U1019" s="1569"/>
      <c r="V1019" s="1569"/>
      <c r="W1019" s="1569"/>
      <c r="X1019" s="1569"/>
      <c r="Y1019" s="1569"/>
      <c r="Z1019" s="1569"/>
      <c r="AA1019" s="1570"/>
      <c r="AB1019" s="1571" t="s">
        <v>1040</v>
      </c>
      <c r="AC1019" s="1572"/>
      <c r="AD1019" s="1572"/>
      <c r="AE1019" s="1572"/>
      <c r="AF1019" s="1572"/>
      <c r="AG1019" s="1572"/>
      <c r="AH1019" s="1572"/>
      <c r="AI1019" s="1572"/>
      <c r="AJ1019" s="1573"/>
    </row>
    <row r="1020" spans="1:36">
      <c r="A1020" s="1558" t="s">
        <v>1991</v>
      </c>
      <c r="B1020" s="1559"/>
      <c r="C1020" s="1559"/>
      <c r="D1020" s="1559"/>
      <c r="E1020" s="1559"/>
      <c r="F1020" s="1559"/>
      <c r="G1020" s="1559"/>
      <c r="H1020" s="1559"/>
      <c r="I1020" s="1559"/>
      <c r="J1020" s="1559"/>
      <c r="K1020" s="1559"/>
      <c r="L1020" s="1559"/>
      <c r="M1020" s="1559"/>
      <c r="N1020" s="1559"/>
      <c r="O1020" s="1559"/>
      <c r="P1020" s="1559"/>
      <c r="Q1020" s="1559"/>
      <c r="R1020" s="1559"/>
      <c r="S1020" s="1560">
        <f>'bilans-uspjeha'!AR28</f>
        <v>0</v>
      </c>
      <c r="T1020" s="1561"/>
      <c r="U1020" s="1561"/>
      <c r="V1020" s="1561"/>
      <c r="W1020" s="1561"/>
      <c r="X1020" s="1561"/>
      <c r="Y1020" s="1561"/>
      <c r="Z1020" s="1561"/>
      <c r="AA1020" s="1562"/>
      <c r="AB1020" s="1563">
        <f>'bilans-uspjeha'!AH28</f>
        <v>0</v>
      </c>
      <c r="AC1020" s="1561"/>
      <c r="AD1020" s="1561"/>
      <c r="AE1020" s="1561"/>
      <c r="AF1020" s="1561"/>
      <c r="AG1020" s="1561"/>
      <c r="AH1020" s="1561"/>
      <c r="AI1020" s="1561"/>
      <c r="AJ1020" s="1562"/>
    </row>
    <row r="1021" spans="1:36">
      <c r="A1021" s="1558" t="s">
        <v>1998</v>
      </c>
      <c r="B1021" s="1559"/>
      <c r="C1021" s="1559"/>
      <c r="D1021" s="1559"/>
      <c r="E1021" s="1559"/>
      <c r="F1021" s="1559"/>
      <c r="G1021" s="1559"/>
      <c r="H1021" s="1559"/>
      <c r="I1021" s="1559"/>
      <c r="J1021" s="1559"/>
      <c r="K1021" s="1559"/>
      <c r="L1021" s="1559"/>
      <c r="M1021" s="1559"/>
      <c r="N1021" s="1559"/>
      <c r="O1021" s="1559"/>
      <c r="P1021" s="1559"/>
      <c r="Q1021" s="1559"/>
      <c r="R1021" s="1559"/>
      <c r="S1021" s="1560">
        <f>'bilans-uspjeha'!AR42</f>
        <v>0</v>
      </c>
      <c r="T1021" s="1561"/>
      <c r="U1021" s="1561"/>
      <c r="V1021" s="1561"/>
      <c r="W1021" s="1561"/>
      <c r="X1021" s="1561"/>
      <c r="Y1021" s="1561"/>
      <c r="Z1021" s="1561"/>
      <c r="AA1021" s="1562"/>
      <c r="AB1021" s="1563">
        <f>'bilans-uspjeha'!AH42</f>
        <v>0</v>
      </c>
      <c r="AC1021" s="1561"/>
      <c r="AD1021" s="1561"/>
      <c r="AE1021" s="1561"/>
      <c r="AF1021" s="1561"/>
      <c r="AG1021" s="1561"/>
      <c r="AH1021" s="1561"/>
      <c r="AI1021" s="1561"/>
      <c r="AJ1021" s="1562"/>
    </row>
    <row r="1022" spans="1:36">
      <c r="A1022" s="1167"/>
      <c r="B1022" s="1168"/>
      <c r="C1022" s="1168"/>
      <c r="D1022" s="1168"/>
      <c r="E1022" s="1168"/>
      <c r="F1022" s="1168"/>
      <c r="G1022" s="1168"/>
      <c r="H1022" s="1168"/>
      <c r="I1022" s="1168"/>
      <c r="J1022" s="1168"/>
      <c r="K1022" s="1168"/>
      <c r="L1022" s="1168"/>
      <c r="M1022" s="1168"/>
      <c r="N1022" s="1168"/>
      <c r="O1022" s="1167"/>
      <c r="P1022" s="1167"/>
      <c r="Q1022" s="1167"/>
      <c r="R1022" s="1169" t="s">
        <v>97</v>
      </c>
      <c r="S1022" s="1564">
        <f>IF(OR(S1020=0,S1021=0),0,ROUND(S1020/S1021,4))</f>
        <v>0</v>
      </c>
      <c r="T1022" s="1565"/>
      <c r="U1022" s="1565"/>
      <c r="V1022" s="1565"/>
      <c r="W1022" s="1565"/>
      <c r="X1022" s="1565"/>
      <c r="Y1022" s="1565"/>
      <c r="Z1022" s="1565"/>
      <c r="AA1022" s="1566"/>
      <c r="AB1022" s="1564">
        <f>IF(OR(AB1020=0,AB1021=0),0,ROUND(AB1020/AB1021,4))</f>
        <v>0</v>
      </c>
      <c r="AC1022" s="1565"/>
      <c r="AD1022" s="1565"/>
      <c r="AE1022" s="1565"/>
      <c r="AF1022" s="1565"/>
      <c r="AG1022" s="1565"/>
      <c r="AH1022" s="1565"/>
      <c r="AI1022" s="1565"/>
      <c r="AJ1022" s="1566"/>
    </row>
    <row r="1026" spans="1:36" ht="12.75" customHeight="1">
      <c r="B1026" s="828" t="s">
        <v>2784</v>
      </c>
    </row>
    <row r="1028" spans="1:36" ht="14.25" customHeight="1">
      <c r="S1028" s="1170" t="s">
        <v>1995</v>
      </c>
      <c r="T1028" s="1171"/>
      <c r="U1028" s="1171"/>
      <c r="V1028" s="1171"/>
      <c r="W1028" s="1171"/>
      <c r="X1028" s="1171"/>
      <c r="Y1028" s="1171"/>
      <c r="Z1028" s="1171"/>
      <c r="AA1028" s="1171"/>
      <c r="AB1028" s="1171"/>
      <c r="AC1028" s="1171"/>
      <c r="AD1028" s="1171"/>
      <c r="AE1028" s="1171"/>
      <c r="AF1028" s="1171"/>
      <c r="AG1028" s="1171"/>
      <c r="AH1028" s="1171"/>
      <c r="AI1028" s="1171"/>
      <c r="AJ1028" s="1172"/>
    </row>
    <row r="1029" spans="1:36">
      <c r="A1029" s="1567" t="s">
        <v>796</v>
      </c>
      <c r="B1029" s="1567"/>
      <c r="C1029" s="1567"/>
      <c r="D1029" s="1567"/>
      <c r="E1029" s="1567"/>
      <c r="F1029" s="1567"/>
      <c r="G1029" s="1567"/>
      <c r="H1029" s="1567"/>
      <c r="I1029" s="1567"/>
      <c r="J1029" s="1567"/>
      <c r="K1029" s="1567"/>
      <c r="L1029" s="1567"/>
      <c r="M1029" s="1567"/>
      <c r="N1029" s="1567"/>
      <c r="O1029" s="1567"/>
      <c r="P1029" s="1567"/>
      <c r="Q1029" s="1567"/>
      <c r="R1029" s="1567"/>
      <c r="S1029" s="1568" t="s">
        <v>1039</v>
      </c>
      <c r="T1029" s="1569"/>
      <c r="U1029" s="1569"/>
      <c r="V1029" s="1569"/>
      <c r="W1029" s="1569"/>
      <c r="X1029" s="1569"/>
      <c r="Y1029" s="1569"/>
      <c r="Z1029" s="1569"/>
      <c r="AA1029" s="1570"/>
      <c r="AB1029" s="1571" t="s">
        <v>1040</v>
      </c>
      <c r="AC1029" s="1572"/>
      <c r="AD1029" s="1572"/>
      <c r="AE1029" s="1572"/>
      <c r="AF1029" s="1572"/>
      <c r="AG1029" s="1572"/>
      <c r="AH1029" s="1572"/>
      <c r="AI1029" s="1572"/>
      <c r="AJ1029" s="1573"/>
    </row>
    <row r="1030" spans="1:36">
      <c r="A1030" s="1558" t="s">
        <v>2785</v>
      </c>
      <c r="B1030" s="1559"/>
      <c r="C1030" s="1559"/>
      <c r="D1030" s="1559"/>
      <c r="E1030" s="1559"/>
      <c r="F1030" s="1559"/>
      <c r="G1030" s="1559"/>
      <c r="H1030" s="1559"/>
      <c r="I1030" s="1559"/>
      <c r="J1030" s="1559"/>
      <c r="K1030" s="1559"/>
      <c r="L1030" s="1559"/>
      <c r="M1030" s="1559"/>
      <c r="N1030" s="1559"/>
      <c r="O1030" s="1559"/>
      <c r="P1030" s="1559"/>
      <c r="Q1030" s="1559"/>
      <c r="R1030" s="1559"/>
      <c r="S1030" s="1560">
        <f>'bilans-uspjeha'!AR58</f>
        <v>0</v>
      </c>
      <c r="T1030" s="1561"/>
      <c r="U1030" s="1561"/>
      <c r="V1030" s="1561"/>
      <c r="W1030" s="1561"/>
      <c r="X1030" s="1561"/>
      <c r="Y1030" s="1561"/>
      <c r="Z1030" s="1561"/>
      <c r="AA1030" s="1562"/>
      <c r="AB1030" s="1563">
        <f>'bilans-uspjeha'!AH58</f>
        <v>0</v>
      </c>
      <c r="AC1030" s="1561"/>
      <c r="AD1030" s="1561"/>
      <c r="AE1030" s="1561"/>
      <c r="AF1030" s="1561"/>
      <c r="AG1030" s="1561"/>
      <c r="AH1030" s="1561"/>
      <c r="AI1030" s="1561"/>
      <c r="AJ1030" s="1562"/>
    </row>
    <row r="1031" spans="1:36">
      <c r="A1031" s="1558" t="s">
        <v>1938</v>
      </c>
      <c r="B1031" s="1559"/>
      <c r="C1031" s="1559"/>
      <c r="D1031" s="1559"/>
      <c r="E1031" s="1559"/>
      <c r="F1031" s="1559"/>
      <c r="G1031" s="1559"/>
      <c r="H1031" s="1559"/>
      <c r="I1031" s="1559"/>
      <c r="J1031" s="1559"/>
      <c r="K1031" s="1559"/>
      <c r="L1031" s="1559"/>
      <c r="M1031" s="1559"/>
      <c r="N1031" s="1559"/>
      <c r="O1031" s="1559"/>
      <c r="P1031" s="1559"/>
      <c r="Q1031" s="1559"/>
      <c r="R1031" s="1559"/>
      <c r="S1031" s="1560">
        <f>'bilans-uspjeha'!AR65</f>
        <v>0</v>
      </c>
      <c r="T1031" s="1561"/>
      <c r="U1031" s="1561"/>
      <c r="V1031" s="1561"/>
      <c r="W1031" s="1561"/>
      <c r="X1031" s="1561"/>
      <c r="Y1031" s="1561"/>
      <c r="Z1031" s="1561"/>
      <c r="AA1031" s="1562"/>
      <c r="AB1031" s="1563">
        <f>'bilans-uspjeha'!AH65</f>
        <v>0</v>
      </c>
      <c r="AC1031" s="1561"/>
      <c r="AD1031" s="1561"/>
      <c r="AE1031" s="1561"/>
      <c r="AF1031" s="1561"/>
      <c r="AG1031" s="1561"/>
      <c r="AH1031" s="1561"/>
      <c r="AI1031" s="1561"/>
      <c r="AJ1031" s="1562"/>
    </row>
    <row r="1032" spans="1:36">
      <c r="A1032" s="1167"/>
      <c r="B1032" s="1168"/>
      <c r="C1032" s="1168"/>
      <c r="D1032" s="1168"/>
      <c r="E1032" s="1168"/>
      <c r="F1032" s="1168"/>
      <c r="G1032" s="1168"/>
      <c r="H1032" s="1168"/>
      <c r="I1032" s="1168"/>
      <c r="J1032" s="1168"/>
      <c r="K1032" s="1168"/>
      <c r="L1032" s="1168"/>
      <c r="M1032" s="1168"/>
      <c r="N1032" s="1168"/>
      <c r="O1032" s="1167"/>
      <c r="P1032" s="1167"/>
      <c r="Q1032" s="1167"/>
      <c r="R1032" s="1169" t="s">
        <v>97</v>
      </c>
      <c r="S1032" s="1564">
        <f>IF(OR(S1030=0,S1031=0),0,ROUND(S1030/S1031,4))</f>
        <v>0</v>
      </c>
      <c r="T1032" s="1565"/>
      <c r="U1032" s="1565"/>
      <c r="V1032" s="1565"/>
      <c r="W1032" s="1565"/>
      <c r="X1032" s="1565"/>
      <c r="Y1032" s="1565"/>
      <c r="Z1032" s="1565"/>
      <c r="AA1032" s="1566"/>
      <c r="AB1032" s="1564">
        <f>IF(OR(AB1030=0,AB1031=0),0,ROUND(AB1030/AB1031,4))</f>
        <v>0</v>
      </c>
      <c r="AC1032" s="1565"/>
      <c r="AD1032" s="1565"/>
      <c r="AE1032" s="1565"/>
      <c r="AF1032" s="1565"/>
      <c r="AG1032" s="1565"/>
      <c r="AH1032" s="1565"/>
      <c r="AI1032" s="1565"/>
      <c r="AJ1032" s="1566"/>
    </row>
    <row r="1035" spans="1:36">
      <c r="B1035" s="828" t="s">
        <v>2788</v>
      </c>
    </row>
    <row r="1038" spans="1:36" ht="12.75" customHeight="1">
      <c r="B1038" s="828" t="s">
        <v>2790</v>
      </c>
    </row>
    <row r="1040" spans="1:36" ht="14.25" customHeight="1">
      <c r="S1040" s="1170" t="s">
        <v>1995</v>
      </c>
      <c r="T1040" s="1171"/>
      <c r="U1040" s="1171"/>
      <c r="V1040" s="1171"/>
      <c r="W1040" s="1171"/>
      <c r="X1040" s="1171"/>
      <c r="Y1040" s="1171"/>
      <c r="Z1040" s="1171"/>
      <c r="AA1040" s="1171"/>
      <c r="AB1040" s="1171"/>
      <c r="AC1040" s="1171"/>
      <c r="AD1040" s="1171"/>
      <c r="AE1040" s="1171"/>
      <c r="AF1040" s="1171"/>
      <c r="AG1040" s="1171"/>
      <c r="AH1040" s="1171"/>
      <c r="AI1040" s="1171"/>
      <c r="AJ1040" s="1172"/>
    </row>
    <row r="1041" spans="1:36">
      <c r="A1041" s="1567" t="s">
        <v>796</v>
      </c>
      <c r="B1041" s="1567"/>
      <c r="C1041" s="1567"/>
      <c r="D1041" s="1567"/>
      <c r="E1041" s="1567"/>
      <c r="F1041" s="1567"/>
      <c r="G1041" s="1567"/>
      <c r="H1041" s="1567"/>
      <c r="I1041" s="1567"/>
      <c r="J1041" s="1567"/>
      <c r="K1041" s="1567"/>
      <c r="L1041" s="1567"/>
      <c r="M1041" s="1567"/>
      <c r="N1041" s="1567"/>
      <c r="O1041" s="1567"/>
      <c r="P1041" s="1567"/>
      <c r="Q1041" s="1567"/>
      <c r="R1041" s="1567"/>
      <c r="S1041" s="1568" t="s">
        <v>1039</v>
      </c>
      <c r="T1041" s="1569"/>
      <c r="U1041" s="1569"/>
      <c r="V1041" s="1569"/>
      <c r="W1041" s="1569"/>
      <c r="X1041" s="1569"/>
      <c r="Y1041" s="1569"/>
      <c r="Z1041" s="1569"/>
      <c r="AA1041" s="1570"/>
      <c r="AB1041" s="1571" t="s">
        <v>1040</v>
      </c>
      <c r="AC1041" s="1572"/>
      <c r="AD1041" s="1572"/>
      <c r="AE1041" s="1572"/>
      <c r="AF1041" s="1572"/>
      <c r="AG1041" s="1572"/>
      <c r="AH1041" s="1572"/>
      <c r="AI1041" s="1572"/>
      <c r="AJ1041" s="1573"/>
    </row>
    <row r="1042" spans="1:36">
      <c r="A1042" s="1558" t="s">
        <v>2789</v>
      </c>
      <c r="B1042" s="1559"/>
      <c r="C1042" s="1559"/>
      <c r="D1042" s="1559"/>
      <c r="E1042" s="1559"/>
      <c r="F1042" s="1559"/>
      <c r="G1042" s="1559"/>
      <c r="H1042" s="1559"/>
      <c r="I1042" s="1559"/>
      <c r="J1042" s="1559"/>
      <c r="K1042" s="1559"/>
      <c r="L1042" s="1559"/>
      <c r="M1042" s="1559"/>
      <c r="N1042" s="1559"/>
      <c r="O1042" s="1559"/>
      <c r="P1042" s="1559"/>
      <c r="Q1042" s="1559"/>
      <c r="R1042" s="1559"/>
      <c r="S1042" s="1560">
        <f>unos!F54</f>
        <v>0</v>
      </c>
      <c r="T1042" s="1561"/>
      <c r="U1042" s="1561"/>
      <c r="V1042" s="1561"/>
      <c r="W1042" s="1561"/>
      <c r="X1042" s="1561"/>
      <c r="Y1042" s="1561"/>
      <c r="Z1042" s="1561"/>
      <c r="AA1042" s="1562"/>
      <c r="AB1042" s="1563">
        <f>unos!G54</f>
        <v>0</v>
      </c>
      <c r="AC1042" s="1561"/>
      <c r="AD1042" s="1561"/>
      <c r="AE1042" s="1561"/>
      <c r="AF1042" s="1561"/>
      <c r="AG1042" s="1561"/>
      <c r="AH1042" s="1561"/>
      <c r="AI1042" s="1561"/>
      <c r="AJ1042" s="1562"/>
    </row>
    <row r="1043" spans="1:36">
      <c r="A1043" s="1558" t="s">
        <v>2774</v>
      </c>
      <c r="B1043" s="1559"/>
      <c r="C1043" s="1559"/>
      <c r="D1043" s="1559"/>
      <c r="E1043" s="1559"/>
      <c r="F1043" s="1559"/>
      <c r="G1043" s="1559"/>
      <c r="H1043" s="1559"/>
      <c r="I1043" s="1559"/>
      <c r="J1043" s="1559"/>
      <c r="K1043" s="1559"/>
      <c r="L1043" s="1559"/>
      <c r="M1043" s="1559"/>
      <c r="N1043" s="1559"/>
      <c r="O1043" s="1559"/>
      <c r="P1043" s="1559"/>
      <c r="Q1043" s="1559"/>
      <c r="R1043" s="1559"/>
      <c r="S1043" s="1560">
        <f>'bilans-stanja'!AU98</f>
        <v>0</v>
      </c>
      <c r="T1043" s="1561"/>
      <c r="U1043" s="1561"/>
      <c r="V1043" s="1561"/>
      <c r="W1043" s="1561"/>
      <c r="X1043" s="1561"/>
      <c r="Y1043" s="1561"/>
      <c r="Z1043" s="1561"/>
      <c r="AA1043" s="1562"/>
      <c r="AB1043" s="1563">
        <f>'bilans-stanja'!AN98</f>
        <v>0</v>
      </c>
      <c r="AC1043" s="1561"/>
      <c r="AD1043" s="1561"/>
      <c r="AE1043" s="1561"/>
      <c r="AF1043" s="1561"/>
      <c r="AG1043" s="1561"/>
      <c r="AH1043" s="1561"/>
      <c r="AI1043" s="1561"/>
      <c r="AJ1043" s="1562"/>
    </row>
    <row r="1044" spans="1:36">
      <c r="A1044" s="1167"/>
      <c r="B1044" s="1168"/>
      <c r="C1044" s="1168"/>
      <c r="D1044" s="1168"/>
      <c r="E1044" s="1168"/>
      <c r="F1044" s="1168"/>
      <c r="G1044" s="1168"/>
      <c r="H1044" s="1168"/>
      <c r="I1044" s="1168"/>
      <c r="J1044" s="1168"/>
      <c r="K1044" s="1168"/>
      <c r="L1044" s="1168"/>
      <c r="M1044" s="1168"/>
      <c r="N1044" s="1168"/>
      <c r="O1044" s="1167"/>
      <c r="P1044" s="1167"/>
      <c r="Q1044" s="1167"/>
      <c r="R1044" s="1169" t="s">
        <v>97</v>
      </c>
      <c r="S1044" s="1564">
        <f>IF(OR(S1042=0,S1043=0),0,ROUND(S1042/S1043,4))</f>
        <v>0</v>
      </c>
      <c r="T1044" s="1565"/>
      <c r="U1044" s="1565"/>
      <c r="V1044" s="1565"/>
      <c r="W1044" s="1565"/>
      <c r="X1044" s="1565"/>
      <c r="Y1044" s="1565"/>
      <c r="Z1044" s="1565"/>
      <c r="AA1044" s="1566"/>
      <c r="AB1044" s="1564">
        <f>IF(OR(AB1042=0,AB1043=0),0,ROUND(AB1042/AB1043,4))</f>
        <v>0</v>
      </c>
      <c r="AC1044" s="1565"/>
      <c r="AD1044" s="1565"/>
      <c r="AE1044" s="1565"/>
      <c r="AF1044" s="1565"/>
      <c r="AG1044" s="1565"/>
      <c r="AH1044" s="1565"/>
      <c r="AI1044" s="1565"/>
      <c r="AJ1044" s="1566"/>
    </row>
    <row r="1047" spans="1:36" ht="12.75" customHeight="1">
      <c r="B1047" s="828" t="s">
        <v>2791</v>
      </c>
    </row>
    <row r="1049" spans="1:36" ht="14.25" customHeight="1">
      <c r="S1049" s="1170" t="s">
        <v>1995</v>
      </c>
      <c r="T1049" s="1171"/>
      <c r="U1049" s="1171"/>
      <c r="V1049" s="1171"/>
      <c r="W1049" s="1171"/>
      <c r="X1049" s="1171"/>
      <c r="Y1049" s="1171"/>
      <c r="Z1049" s="1171"/>
      <c r="AA1049" s="1171"/>
      <c r="AB1049" s="1171"/>
      <c r="AC1049" s="1171"/>
      <c r="AD1049" s="1171"/>
      <c r="AE1049" s="1171"/>
      <c r="AF1049" s="1171"/>
      <c r="AG1049" s="1171"/>
      <c r="AH1049" s="1171"/>
      <c r="AI1049" s="1171"/>
      <c r="AJ1049" s="1172"/>
    </row>
    <row r="1050" spans="1:36">
      <c r="A1050" s="1567" t="s">
        <v>796</v>
      </c>
      <c r="B1050" s="1567"/>
      <c r="C1050" s="1567"/>
      <c r="D1050" s="1567"/>
      <c r="E1050" s="1567"/>
      <c r="F1050" s="1567"/>
      <c r="G1050" s="1567"/>
      <c r="H1050" s="1567"/>
      <c r="I1050" s="1567"/>
      <c r="J1050" s="1567"/>
      <c r="K1050" s="1567"/>
      <c r="L1050" s="1567"/>
      <c r="M1050" s="1567"/>
      <c r="N1050" s="1567"/>
      <c r="O1050" s="1567"/>
      <c r="P1050" s="1567"/>
      <c r="Q1050" s="1567"/>
      <c r="R1050" s="1567"/>
      <c r="S1050" s="1568" t="s">
        <v>1039</v>
      </c>
      <c r="T1050" s="1569"/>
      <c r="U1050" s="1569"/>
      <c r="V1050" s="1569"/>
      <c r="W1050" s="1569"/>
      <c r="X1050" s="1569"/>
      <c r="Y1050" s="1569"/>
      <c r="Z1050" s="1569"/>
      <c r="AA1050" s="1570"/>
      <c r="AB1050" s="1571" t="s">
        <v>1040</v>
      </c>
      <c r="AC1050" s="1572"/>
      <c r="AD1050" s="1572"/>
      <c r="AE1050" s="1572"/>
      <c r="AF1050" s="1572"/>
      <c r="AG1050" s="1572"/>
      <c r="AH1050" s="1572"/>
      <c r="AI1050" s="1572"/>
      <c r="AJ1050" s="1573"/>
    </row>
    <row r="1051" spans="1:36">
      <c r="A1051" s="1558" t="s">
        <v>2789</v>
      </c>
      <c r="B1051" s="1559"/>
      <c r="C1051" s="1559"/>
      <c r="D1051" s="1559"/>
      <c r="E1051" s="1559"/>
      <c r="F1051" s="1559"/>
      <c r="G1051" s="1559"/>
      <c r="H1051" s="1559"/>
      <c r="I1051" s="1559"/>
      <c r="J1051" s="1559"/>
      <c r="K1051" s="1559"/>
      <c r="L1051" s="1559"/>
      <c r="M1051" s="1559"/>
      <c r="N1051" s="1559"/>
      <c r="O1051" s="1559"/>
      <c r="P1051" s="1559"/>
      <c r="Q1051" s="1559"/>
      <c r="R1051" s="1559"/>
      <c r="S1051" s="1560">
        <f>unos!F54</f>
        <v>0</v>
      </c>
      <c r="T1051" s="1561"/>
      <c r="U1051" s="1561"/>
      <c r="V1051" s="1561"/>
      <c r="W1051" s="1561"/>
      <c r="X1051" s="1561"/>
      <c r="Y1051" s="1561"/>
      <c r="Z1051" s="1561"/>
      <c r="AA1051" s="1562"/>
      <c r="AB1051" s="1563">
        <f>unos!G54</f>
        <v>0</v>
      </c>
      <c r="AC1051" s="1561"/>
      <c r="AD1051" s="1561"/>
      <c r="AE1051" s="1561"/>
      <c r="AF1051" s="1561"/>
      <c r="AG1051" s="1561"/>
      <c r="AH1051" s="1561"/>
      <c r="AI1051" s="1561"/>
      <c r="AJ1051" s="1562"/>
    </row>
    <row r="1052" spans="1:36">
      <c r="A1052" s="1558" t="s">
        <v>87</v>
      </c>
      <c r="B1052" s="1559"/>
      <c r="C1052" s="1559"/>
      <c r="D1052" s="1559"/>
      <c r="E1052" s="1559"/>
      <c r="F1052" s="1559"/>
      <c r="G1052" s="1559"/>
      <c r="H1052" s="1559"/>
      <c r="I1052" s="1559"/>
      <c r="J1052" s="1559"/>
      <c r="K1052" s="1559"/>
      <c r="L1052" s="1559"/>
      <c r="M1052" s="1559"/>
      <c r="N1052" s="1559"/>
      <c r="O1052" s="1559"/>
      <c r="P1052" s="1559"/>
      <c r="Q1052" s="1559"/>
      <c r="R1052" s="1559"/>
      <c r="S1052" s="1560">
        <f>'bilans-stanja'!AU64</f>
        <v>0</v>
      </c>
      <c r="T1052" s="1561"/>
      <c r="U1052" s="1561"/>
      <c r="V1052" s="1561"/>
      <c r="W1052" s="1561"/>
      <c r="X1052" s="1561"/>
      <c r="Y1052" s="1561"/>
      <c r="Z1052" s="1561"/>
      <c r="AA1052" s="1562"/>
      <c r="AB1052" s="1563">
        <f>'bilans-stanja'!AN64</f>
        <v>0</v>
      </c>
      <c r="AC1052" s="1561"/>
      <c r="AD1052" s="1561"/>
      <c r="AE1052" s="1561"/>
      <c r="AF1052" s="1561"/>
      <c r="AG1052" s="1561"/>
      <c r="AH1052" s="1561"/>
      <c r="AI1052" s="1561"/>
      <c r="AJ1052" s="1562"/>
    </row>
    <row r="1053" spans="1:36">
      <c r="A1053" s="1167"/>
      <c r="B1053" s="1168"/>
      <c r="C1053" s="1168"/>
      <c r="D1053" s="1168"/>
      <c r="E1053" s="1168"/>
      <c r="F1053" s="1168"/>
      <c r="G1053" s="1168"/>
      <c r="H1053" s="1168"/>
      <c r="I1053" s="1168"/>
      <c r="J1053" s="1168"/>
      <c r="K1053" s="1168"/>
      <c r="L1053" s="1168"/>
      <c r="M1053" s="1168"/>
      <c r="N1053" s="1168"/>
      <c r="O1053" s="1167"/>
      <c r="P1053" s="1167"/>
      <c r="Q1053" s="1167"/>
      <c r="R1053" s="1169" t="s">
        <v>97</v>
      </c>
      <c r="S1053" s="1564">
        <f>IF(OR(S1051=0,S1052=0),0,ROUND(S1051/S1052,4))</f>
        <v>0</v>
      </c>
      <c r="T1053" s="1565"/>
      <c r="U1053" s="1565"/>
      <c r="V1053" s="1565"/>
      <c r="W1053" s="1565"/>
      <c r="X1053" s="1565"/>
      <c r="Y1053" s="1565"/>
      <c r="Z1053" s="1565"/>
      <c r="AA1053" s="1566"/>
      <c r="AB1053" s="1564">
        <f>IF(OR(AB1051=0,AB1052=0),0,ROUND(AB1051/AB1052,4))</f>
        <v>0</v>
      </c>
      <c r="AC1053" s="1565"/>
      <c r="AD1053" s="1565"/>
      <c r="AE1053" s="1565"/>
      <c r="AF1053" s="1565"/>
      <c r="AG1053" s="1565"/>
      <c r="AH1053" s="1565"/>
      <c r="AI1053" s="1565"/>
      <c r="AJ1053" s="1566"/>
    </row>
    <row r="1058" spans="1:39" ht="12.75" customHeight="1">
      <c r="B1058" s="828" t="s">
        <v>2793</v>
      </c>
    </row>
    <row r="1060" spans="1:39" ht="14.25" customHeight="1">
      <c r="S1060" s="1170" t="s">
        <v>1995</v>
      </c>
      <c r="T1060" s="1171"/>
      <c r="U1060" s="1171"/>
      <c r="V1060" s="1171"/>
      <c r="W1060" s="1171"/>
      <c r="X1060" s="1171"/>
      <c r="Y1060" s="1171"/>
      <c r="Z1060" s="1171"/>
      <c r="AA1060" s="1171"/>
      <c r="AB1060" s="1171"/>
      <c r="AC1060" s="1171"/>
      <c r="AD1060" s="1171"/>
      <c r="AE1060" s="1171"/>
      <c r="AF1060" s="1171"/>
      <c r="AG1060" s="1171"/>
      <c r="AH1060" s="1171"/>
      <c r="AI1060" s="1171"/>
      <c r="AJ1060" s="1172"/>
    </row>
    <row r="1061" spans="1:39">
      <c r="A1061" s="1567" t="s">
        <v>796</v>
      </c>
      <c r="B1061" s="1567"/>
      <c r="C1061" s="1567"/>
      <c r="D1061" s="1567"/>
      <c r="E1061" s="1567"/>
      <c r="F1061" s="1567"/>
      <c r="G1061" s="1567"/>
      <c r="H1061" s="1567"/>
      <c r="I1061" s="1567"/>
      <c r="J1061" s="1567"/>
      <c r="K1061" s="1567"/>
      <c r="L1061" s="1567"/>
      <c r="M1061" s="1567"/>
      <c r="N1061" s="1567"/>
      <c r="O1061" s="1567"/>
      <c r="P1061" s="1567"/>
      <c r="Q1061" s="1567"/>
      <c r="R1061" s="1567"/>
      <c r="S1061" s="1568" t="s">
        <v>1039</v>
      </c>
      <c r="T1061" s="1569"/>
      <c r="U1061" s="1569"/>
      <c r="V1061" s="1569"/>
      <c r="W1061" s="1569"/>
      <c r="X1061" s="1569"/>
      <c r="Y1061" s="1569"/>
      <c r="Z1061" s="1569"/>
      <c r="AA1061" s="1570"/>
      <c r="AB1061" s="1571" t="s">
        <v>1040</v>
      </c>
      <c r="AC1061" s="1572"/>
      <c r="AD1061" s="1572"/>
      <c r="AE1061" s="1572"/>
      <c r="AF1061" s="1572"/>
      <c r="AG1061" s="1572"/>
      <c r="AH1061" s="1572"/>
      <c r="AI1061" s="1572"/>
      <c r="AJ1061" s="1573"/>
    </row>
    <row r="1062" spans="1:39">
      <c r="A1062" s="1558" t="s">
        <v>1129</v>
      </c>
      <c r="B1062" s="1559"/>
      <c r="C1062" s="1559"/>
      <c r="D1062" s="1559"/>
      <c r="E1062" s="1559"/>
      <c r="F1062" s="1559"/>
      <c r="G1062" s="1559"/>
      <c r="H1062" s="1559"/>
      <c r="I1062" s="1559"/>
      <c r="J1062" s="1559"/>
      <c r="K1062" s="1559"/>
      <c r="L1062" s="1559"/>
      <c r="M1062" s="1559"/>
      <c r="N1062" s="1559"/>
      <c r="O1062" s="1559"/>
      <c r="P1062" s="1559"/>
      <c r="Q1062" s="1559"/>
      <c r="R1062" s="1559"/>
      <c r="S1062" s="1560">
        <f>'bilans-uspjeha'!AR29</f>
        <v>0</v>
      </c>
      <c r="T1062" s="1561"/>
      <c r="U1062" s="1561"/>
      <c r="V1062" s="1561"/>
      <c r="W1062" s="1561"/>
      <c r="X1062" s="1561"/>
      <c r="Y1062" s="1561"/>
      <c r="Z1062" s="1561"/>
      <c r="AA1062" s="1562"/>
      <c r="AB1062" s="1563">
        <f>'bilans-uspjeha'!AH29</f>
        <v>0</v>
      </c>
      <c r="AC1062" s="1561"/>
      <c r="AD1062" s="1561"/>
      <c r="AE1062" s="1561"/>
      <c r="AF1062" s="1561"/>
      <c r="AG1062" s="1561"/>
      <c r="AH1062" s="1561"/>
      <c r="AI1062" s="1561"/>
      <c r="AJ1062" s="1562"/>
    </row>
    <row r="1063" spans="1:39">
      <c r="A1063" s="1558" t="s">
        <v>2792</v>
      </c>
      <c r="B1063" s="1559"/>
      <c r="C1063" s="1559"/>
      <c r="D1063" s="1559"/>
      <c r="E1063" s="1559"/>
      <c r="F1063" s="1559"/>
      <c r="G1063" s="1559"/>
      <c r="H1063" s="1559"/>
      <c r="I1063" s="1559"/>
      <c r="J1063" s="1559"/>
      <c r="K1063" s="1559"/>
      <c r="L1063" s="1559"/>
      <c r="M1063" s="1559"/>
      <c r="N1063" s="1559"/>
      <c r="O1063" s="1559"/>
      <c r="P1063" s="1559"/>
      <c r="Q1063" s="1559"/>
      <c r="R1063" s="1559"/>
      <c r="S1063" s="1560">
        <f>'bilans-stanja'!AU76</f>
        <v>0</v>
      </c>
      <c r="T1063" s="1561"/>
      <c r="U1063" s="1561"/>
      <c r="V1063" s="1561"/>
      <c r="W1063" s="1561"/>
      <c r="X1063" s="1561"/>
      <c r="Y1063" s="1561"/>
      <c r="Z1063" s="1561"/>
      <c r="AA1063" s="1562"/>
      <c r="AB1063" s="1563">
        <f>'bilans-stanja'!AN76</f>
        <v>0</v>
      </c>
      <c r="AC1063" s="1561"/>
      <c r="AD1063" s="1561"/>
      <c r="AE1063" s="1561"/>
      <c r="AF1063" s="1561"/>
      <c r="AG1063" s="1561"/>
      <c r="AH1063" s="1561"/>
      <c r="AI1063" s="1561"/>
      <c r="AJ1063" s="1562"/>
    </row>
    <row r="1064" spans="1:39">
      <c r="A1064" s="1167"/>
      <c r="B1064" s="1168"/>
      <c r="C1064" s="1168"/>
      <c r="D1064" s="1168"/>
      <c r="E1064" s="1168"/>
      <c r="F1064" s="1168"/>
      <c r="G1064" s="1168"/>
      <c r="H1064" s="1168"/>
      <c r="I1064" s="1168"/>
      <c r="J1064" s="1168"/>
      <c r="K1064" s="1168"/>
      <c r="L1064" s="1168"/>
      <c r="M1064" s="1168"/>
      <c r="N1064" s="1168"/>
      <c r="O1064" s="1167"/>
      <c r="P1064" s="1167"/>
      <c r="Q1064" s="1167"/>
      <c r="R1064" s="1169" t="s">
        <v>97</v>
      </c>
      <c r="S1064" s="1564">
        <f>IF(OR(S1062=0,S1063=0),0,ROUND(S1062/S1063,4))</f>
        <v>0</v>
      </c>
      <c r="T1064" s="1565"/>
      <c r="U1064" s="1565"/>
      <c r="V1064" s="1565"/>
      <c r="W1064" s="1565"/>
      <c r="X1064" s="1565"/>
      <c r="Y1064" s="1565"/>
      <c r="Z1064" s="1565"/>
      <c r="AA1064" s="1566"/>
      <c r="AB1064" s="1564">
        <f>IF(OR(AB1062=0,AB1063=0),0,ROUND(AB1062/AB1063,4))</f>
        <v>0</v>
      </c>
      <c r="AC1064" s="1565"/>
      <c r="AD1064" s="1565"/>
      <c r="AE1064" s="1565"/>
      <c r="AF1064" s="1565"/>
      <c r="AG1064" s="1565"/>
      <c r="AH1064" s="1565"/>
      <c r="AI1064" s="1565"/>
      <c r="AJ1064" s="1566"/>
    </row>
    <row r="1067" spans="1:39">
      <c r="O1067" s="828" t="s">
        <v>2628</v>
      </c>
    </row>
    <row r="1068" spans="1:39">
      <c r="O1068" s="1188"/>
      <c r="P1068" s="1188"/>
      <c r="Q1068" s="1188"/>
      <c r="R1068" s="1188"/>
      <c r="S1068" s="1188"/>
      <c r="T1068" s="1188"/>
      <c r="U1068" s="1188"/>
      <c r="V1068" s="1188"/>
      <c r="AB1068" s="828" t="s">
        <v>686</v>
      </c>
      <c r="AI1068" s="1174" t="s">
        <v>225</v>
      </c>
    </row>
    <row r="1069" spans="1:39">
      <c r="E1069" s="828" t="s">
        <v>2437</v>
      </c>
      <c r="F1069" s="1188">
        <f>FirmaSjediste</f>
        <v>0</v>
      </c>
      <c r="G1069" s="1188"/>
      <c r="H1069" s="1188"/>
      <c r="I1069" s="1188"/>
      <c r="J1069" s="1188"/>
      <c r="K1069" s="1188"/>
      <c r="R1069" s="828">
        <f>RacunovodjaIme</f>
        <v>0</v>
      </c>
      <c r="AF1069" s="1188"/>
      <c r="AG1069" s="1188"/>
      <c r="AH1069" s="1188"/>
      <c r="AI1069" s="1188"/>
      <c r="AJ1069" s="1188"/>
      <c r="AK1069" s="1188"/>
      <c r="AL1069" s="1188"/>
      <c r="AM1069" s="1188"/>
    </row>
    <row r="1070" spans="1:39">
      <c r="AI1070" s="828">
        <f>FirmaDirekor</f>
        <v>0</v>
      </c>
    </row>
    <row r="1071" spans="1:39">
      <c r="E1071" s="1166" t="s">
        <v>2224</v>
      </c>
      <c r="F1071" s="1188" t="str">
        <f>ObracunPredaja</f>
        <v>28.2.2012.</v>
      </c>
      <c r="G1071" s="1188"/>
      <c r="H1071" s="1188"/>
      <c r="I1071" s="1188"/>
      <c r="J1071" s="1188"/>
      <c r="K1071" s="1188"/>
      <c r="R1071" s="1166" t="s">
        <v>2794</v>
      </c>
      <c r="S1071" s="1188">
        <f>RacunovodjaLicenca</f>
        <v>0</v>
      </c>
      <c r="T1071" s="1188"/>
      <c r="U1071" s="1188"/>
      <c r="V1071" s="1188"/>
    </row>
  </sheetData>
  <mergeCells count="2273">
    <mergeCell ref="AF235:AN235"/>
    <mergeCell ref="A236:D236"/>
    <mergeCell ref="A237:D237"/>
    <mergeCell ref="E236:V236"/>
    <mergeCell ref="E237:V237"/>
    <mergeCell ref="W236:AE236"/>
    <mergeCell ref="W237:AE237"/>
    <mergeCell ref="AF236:AN236"/>
    <mergeCell ref="AF237:AN237"/>
    <mergeCell ref="A200:D200"/>
    <mergeCell ref="E200:V200"/>
    <mergeCell ref="W200:AE200"/>
    <mergeCell ref="AF200:AN200"/>
    <mergeCell ref="A201:D201"/>
    <mergeCell ref="E201:V201"/>
    <mergeCell ref="W201:AE201"/>
    <mergeCell ref="AF201:AN201"/>
    <mergeCell ref="A202:D202"/>
    <mergeCell ref="W202:AE202"/>
    <mergeCell ref="AF202:AN202"/>
    <mergeCell ref="A227:D227"/>
    <mergeCell ref="E227:V227"/>
    <mergeCell ref="W227:AE227"/>
    <mergeCell ref="AF227:AN227"/>
    <mergeCell ref="E216:V216"/>
    <mergeCell ref="W216:AE216"/>
    <mergeCell ref="W210:AE210"/>
    <mergeCell ref="AF217:AN217"/>
    <mergeCell ref="W215:AE215"/>
    <mergeCell ref="A210:D210"/>
    <mergeCell ref="A211:D211"/>
    <mergeCell ref="A212:D212"/>
    <mergeCell ref="E209:V209"/>
    <mergeCell ref="W209:AE209"/>
    <mergeCell ref="AF209:AN209"/>
    <mergeCell ref="A213:D213"/>
    <mergeCell ref="A214:D214"/>
    <mergeCell ref="E214:V214"/>
    <mergeCell ref="W214:AE214"/>
    <mergeCell ref="AF214:AN214"/>
    <mergeCell ref="A215:D215"/>
    <mergeCell ref="A195:D195"/>
    <mergeCell ref="E195:V195"/>
    <mergeCell ref="W195:AE195"/>
    <mergeCell ref="AF195:AN195"/>
    <mergeCell ref="A196:D196"/>
    <mergeCell ref="E196:V196"/>
    <mergeCell ref="W196:AE196"/>
    <mergeCell ref="AF196:AN196"/>
    <mergeCell ref="A197:D197"/>
    <mergeCell ref="E197:V197"/>
    <mergeCell ref="W197:AE197"/>
    <mergeCell ref="AF197:AN197"/>
    <mergeCell ref="A198:D198"/>
    <mergeCell ref="E198:V198"/>
    <mergeCell ref="W198:AE198"/>
    <mergeCell ref="AF198:AN198"/>
    <mergeCell ref="A199:D199"/>
    <mergeCell ref="E199:V199"/>
    <mergeCell ref="W199:AE199"/>
    <mergeCell ref="AF199:AN199"/>
    <mergeCell ref="A191:D191"/>
    <mergeCell ref="E191:V191"/>
    <mergeCell ref="W191:AE191"/>
    <mergeCell ref="AF191:AN191"/>
    <mergeCell ref="A167:D167"/>
    <mergeCell ref="W167:AE167"/>
    <mergeCell ref="AF167:AN167"/>
    <mergeCell ref="A181:D181"/>
    <mergeCell ref="A192:D192"/>
    <mergeCell ref="E192:V192"/>
    <mergeCell ref="W192:AE192"/>
    <mergeCell ref="AF192:AN192"/>
    <mergeCell ref="A193:D193"/>
    <mergeCell ref="E193:V193"/>
    <mergeCell ref="W193:AE193"/>
    <mergeCell ref="AF193:AN193"/>
    <mergeCell ref="A194:D194"/>
    <mergeCell ref="E194:V194"/>
    <mergeCell ref="W194:AE194"/>
    <mergeCell ref="AF194:AN194"/>
    <mergeCell ref="A180:D180"/>
    <mergeCell ref="E180:V180"/>
    <mergeCell ref="W180:AE180"/>
    <mergeCell ref="AF180:AN180"/>
    <mergeCell ref="E181:V181"/>
    <mergeCell ref="W181:AE181"/>
    <mergeCell ref="AF181:AN181"/>
    <mergeCell ref="A182:D182"/>
    <mergeCell ref="E182:V182"/>
    <mergeCell ref="W182:AE182"/>
    <mergeCell ref="AF182:AN182"/>
    <mergeCell ref="A343:AN346"/>
    <mergeCell ref="T340:Z340"/>
    <mergeCell ref="T341:Z341"/>
    <mergeCell ref="M336:S336"/>
    <mergeCell ref="T336:Z336"/>
    <mergeCell ref="AA336:AG336"/>
    <mergeCell ref="A161:D161"/>
    <mergeCell ref="E161:V161"/>
    <mergeCell ref="W161:AE161"/>
    <mergeCell ref="AF161:AN161"/>
    <mergeCell ref="M337:S337"/>
    <mergeCell ref="T337:Z337"/>
    <mergeCell ref="AA337:AG337"/>
    <mergeCell ref="T322:Z322"/>
    <mergeCell ref="AA322:AG322"/>
    <mergeCell ref="AA324:AG324"/>
    <mergeCell ref="E163:V163"/>
    <mergeCell ref="W163:AE163"/>
    <mergeCell ref="AF163:AN163"/>
    <mergeCell ref="AF164:AN164"/>
    <mergeCell ref="A166:D166"/>
    <mergeCell ref="E166:V166"/>
    <mergeCell ref="W166:AE166"/>
    <mergeCell ref="AF166:AN166"/>
    <mergeCell ref="A162:D162"/>
    <mergeCell ref="E162:V162"/>
    <mergeCell ref="W162:AE162"/>
    <mergeCell ref="AF162:AN162"/>
    <mergeCell ref="A163:D163"/>
    <mergeCell ref="A164:D164"/>
    <mergeCell ref="A165:D165"/>
    <mergeCell ref="E164:V164"/>
    <mergeCell ref="C335:L335"/>
    <mergeCell ref="M335:S335"/>
    <mergeCell ref="A334:B334"/>
    <mergeCell ref="C334:L334"/>
    <mergeCell ref="A335:B335"/>
    <mergeCell ref="T334:Z334"/>
    <mergeCell ref="AH336:AN336"/>
    <mergeCell ref="A336:B336"/>
    <mergeCell ref="C336:L336"/>
    <mergeCell ref="AH337:AN337"/>
    <mergeCell ref="AH335:AN335"/>
    <mergeCell ref="M293:AN293"/>
    <mergeCell ref="M314:AN314"/>
    <mergeCell ref="M327:AN327"/>
    <mergeCell ref="A308:AN311"/>
    <mergeCell ref="A322:B322"/>
    <mergeCell ref="T335:Z335"/>
    <mergeCell ref="AA335:AG335"/>
    <mergeCell ref="M334:S334"/>
    <mergeCell ref="M328:S328"/>
    <mergeCell ref="AH330:AN330"/>
    <mergeCell ref="A331:B331"/>
    <mergeCell ref="C331:L331"/>
    <mergeCell ref="M331:S331"/>
    <mergeCell ref="T331:Z331"/>
    <mergeCell ref="AA331:AG331"/>
    <mergeCell ref="AH331:AN331"/>
    <mergeCell ref="A330:B330"/>
    <mergeCell ref="C332:L332"/>
    <mergeCell ref="C330:L330"/>
    <mergeCell ref="M330:S330"/>
    <mergeCell ref="M332:S332"/>
    <mergeCell ref="T332:Z332"/>
    <mergeCell ref="AA330:AG330"/>
    <mergeCell ref="T330:Z330"/>
    <mergeCell ref="AA332:AG332"/>
    <mergeCell ref="AA334:AG334"/>
    <mergeCell ref="AH334:AN334"/>
    <mergeCell ref="AH332:AN332"/>
    <mergeCell ref="A333:B333"/>
    <mergeCell ref="C333:L333"/>
    <mergeCell ref="M333:S333"/>
    <mergeCell ref="T333:Z333"/>
    <mergeCell ref="AA333:AG333"/>
    <mergeCell ref="AH333:AN333"/>
    <mergeCell ref="A332:B332"/>
    <mergeCell ref="M321:S321"/>
    <mergeCell ref="T321:Z321"/>
    <mergeCell ref="A323:B323"/>
    <mergeCell ref="T328:Z328"/>
    <mergeCell ref="M324:S324"/>
    <mergeCell ref="T324:Z324"/>
    <mergeCell ref="AA328:AG328"/>
    <mergeCell ref="AH328:AN328"/>
    <mergeCell ref="AH324:AN324"/>
    <mergeCell ref="A329:B329"/>
    <mergeCell ref="C329:L329"/>
    <mergeCell ref="M329:S329"/>
    <mergeCell ref="T329:Z329"/>
    <mergeCell ref="AA329:AG329"/>
    <mergeCell ref="AH329:AN329"/>
    <mergeCell ref="A328:B328"/>
    <mergeCell ref="C328:L328"/>
    <mergeCell ref="T320:Z320"/>
    <mergeCell ref="M319:S319"/>
    <mergeCell ref="T319:Z319"/>
    <mergeCell ref="AA317:AG317"/>
    <mergeCell ref="AH317:AN317"/>
    <mergeCell ref="AA318:AG318"/>
    <mergeCell ref="AH318:AN318"/>
    <mergeCell ref="AA320:AG320"/>
    <mergeCell ref="AH320:AN320"/>
    <mergeCell ref="C323:L323"/>
    <mergeCell ref="M323:S323"/>
    <mergeCell ref="T323:Z323"/>
    <mergeCell ref="C322:L322"/>
    <mergeCell ref="M322:S322"/>
    <mergeCell ref="A319:B319"/>
    <mergeCell ref="C319:L319"/>
    <mergeCell ref="A320:B320"/>
    <mergeCell ref="C320:L320"/>
    <mergeCell ref="M320:S320"/>
    <mergeCell ref="AA321:AG321"/>
    <mergeCell ref="AH321:AN321"/>
    <mergeCell ref="AA323:AG323"/>
    <mergeCell ref="AH323:AN323"/>
    <mergeCell ref="AH322:AN322"/>
    <mergeCell ref="A321:B321"/>
    <mergeCell ref="C321:L321"/>
    <mergeCell ref="AA316:AG316"/>
    <mergeCell ref="AH316:AN316"/>
    <mergeCell ref="AA315:AG315"/>
    <mergeCell ref="AH315:AN315"/>
    <mergeCell ref="A316:B316"/>
    <mergeCell ref="C316:L316"/>
    <mergeCell ref="M316:S316"/>
    <mergeCell ref="T316:Z316"/>
    <mergeCell ref="M315:S315"/>
    <mergeCell ref="T315:Z315"/>
    <mergeCell ref="A317:B317"/>
    <mergeCell ref="C317:L317"/>
    <mergeCell ref="M317:S317"/>
    <mergeCell ref="T317:Z317"/>
    <mergeCell ref="T305:Z305"/>
    <mergeCell ref="T306:Z306"/>
    <mergeCell ref="AA319:AG319"/>
    <mergeCell ref="AH319:AN319"/>
    <mergeCell ref="A318:B318"/>
    <mergeCell ref="C318:L318"/>
    <mergeCell ref="M318:S318"/>
    <mergeCell ref="T318:Z318"/>
    <mergeCell ref="A300:B300"/>
    <mergeCell ref="C300:L300"/>
    <mergeCell ref="T299:Z299"/>
    <mergeCell ref="A297:B297"/>
    <mergeCell ref="C297:L297"/>
    <mergeCell ref="M297:S297"/>
    <mergeCell ref="T297:Z297"/>
    <mergeCell ref="A298:B298"/>
    <mergeCell ref="C298:L298"/>
    <mergeCell ref="A299:B299"/>
    <mergeCell ref="C299:L299"/>
    <mergeCell ref="A301:B301"/>
    <mergeCell ref="C301:L301"/>
    <mergeCell ref="M301:S301"/>
    <mergeCell ref="T301:Z301"/>
    <mergeCell ref="T300:Z300"/>
    <mergeCell ref="A315:B315"/>
    <mergeCell ref="C315:L315"/>
    <mergeCell ref="AA302:AG302"/>
    <mergeCell ref="AH302:AN302"/>
    <mergeCell ref="AA297:AG297"/>
    <mergeCell ref="AH297:AN297"/>
    <mergeCell ref="AA298:AG298"/>
    <mergeCell ref="AH298:AN298"/>
    <mergeCell ref="AA299:AG299"/>
    <mergeCell ref="AA296:AG296"/>
    <mergeCell ref="AH296:AN296"/>
    <mergeCell ref="M291:S291"/>
    <mergeCell ref="T291:Z291"/>
    <mergeCell ref="M294:S294"/>
    <mergeCell ref="T294:Z294"/>
    <mergeCell ref="M296:S296"/>
    <mergeCell ref="AA294:AG294"/>
    <mergeCell ref="AH294:AN294"/>
    <mergeCell ref="AA295:AG295"/>
    <mergeCell ref="AH295:AN295"/>
    <mergeCell ref="M295:S295"/>
    <mergeCell ref="T295:Z295"/>
    <mergeCell ref="T296:Z296"/>
    <mergeCell ref="T298:Z298"/>
    <mergeCell ref="M302:S302"/>
    <mergeCell ref="T302:Z302"/>
    <mergeCell ref="M298:S298"/>
    <mergeCell ref="M300:S300"/>
    <mergeCell ref="M299:S299"/>
    <mergeCell ref="AA300:AG300"/>
    <mergeCell ref="AH300:AN300"/>
    <mergeCell ref="AA301:AG301"/>
    <mergeCell ref="AH301:AN301"/>
    <mergeCell ref="A288:B288"/>
    <mergeCell ref="C288:L288"/>
    <mergeCell ref="M288:S288"/>
    <mergeCell ref="T288:Z288"/>
    <mergeCell ref="T289:Z289"/>
    <mergeCell ref="AA287:AG287"/>
    <mergeCell ref="AH287:AN287"/>
    <mergeCell ref="AA288:AG288"/>
    <mergeCell ref="AH288:AN288"/>
    <mergeCell ref="AA289:AG289"/>
    <mergeCell ref="AH289:AN289"/>
    <mergeCell ref="AH299:AN299"/>
    <mergeCell ref="AA290:AG290"/>
    <mergeCell ref="AH290:AN290"/>
    <mergeCell ref="A289:B289"/>
    <mergeCell ref="C289:L289"/>
    <mergeCell ref="A290:B290"/>
    <mergeCell ref="C290:L290"/>
    <mergeCell ref="M290:S290"/>
    <mergeCell ref="T290:Z290"/>
    <mergeCell ref="M289:S289"/>
    <mergeCell ref="AA291:AG291"/>
    <mergeCell ref="AH291:AN291"/>
    <mergeCell ref="A294:B294"/>
    <mergeCell ref="C294:L294"/>
    <mergeCell ref="A296:B296"/>
    <mergeCell ref="C296:L296"/>
    <mergeCell ref="A295:B295"/>
    <mergeCell ref="C295:L295"/>
    <mergeCell ref="M285:S285"/>
    <mergeCell ref="T285:Z285"/>
    <mergeCell ref="M283:S283"/>
    <mergeCell ref="T283:Z283"/>
    <mergeCell ref="AA285:AG285"/>
    <mergeCell ref="AH285:AN285"/>
    <mergeCell ref="A286:B286"/>
    <mergeCell ref="C286:L286"/>
    <mergeCell ref="M286:S286"/>
    <mergeCell ref="T286:Z286"/>
    <mergeCell ref="AA286:AG286"/>
    <mergeCell ref="AH286:AN286"/>
    <mergeCell ref="A285:B285"/>
    <mergeCell ref="C285:L285"/>
    <mergeCell ref="A287:B287"/>
    <mergeCell ref="C287:L287"/>
    <mergeCell ref="M287:S287"/>
    <mergeCell ref="T287:Z287"/>
    <mergeCell ref="E270:V270"/>
    <mergeCell ref="W270:AE270"/>
    <mergeCell ref="AF270:AN270"/>
    <mergeCell ref="E271:V271"/>
    <mergeCell ref="W271:AE271"/>
    <mergeCell ref="AF271:AN271"/>
    <mergeCell ref="AH284:AN284"/>
    <mergeCell ref="AA284:AG284"/>
    <mergeCell ref="T284:Z284"/>
    <mergeCell ref="M284:S284"/>
    <mergeCell ref="AA283:AG283"/>
    <mergeCell ref="AH283:AN283"/>
    <mergeCell ref="A272:D272"/>
    <mergeCell ref="W272:AE272"/>
    <mergeCell ref="AF272:AN272"/>
    <mergeCell ref="A274:AN277"/>
    <mergeCell ref="M282:AN282"/>
    <mergeCell ref="A255:D255"/>
    <mergeCell ref="E255:V255"/>
    <mergeCell ref="W255:AE255"/>
    <mergeCell ref="AF255:AN255"/>
    <mergeCell ref="E250:V250"/>
    <mergeCell ref="W250:AE250"/>
    <mergeCell ref="A256:D256"/>
    <mergeCell ref="E256:V256"/>
    <mergeCell ref="W256:AE256"/>
    <mergeCell ref="AF256:AN256"/>
    <mergeCell ref="A284:B284"/>
    <mergeCell ref="C284:L284"/>
    <mergeCell ref="A283:B283"/>
    <mergeCell ref="C283:L283"/>
    <mergeCell ref="A257:D257"/>
    <mergeCell ref="W257:AE257"/>
    <mergeCell ref="A268:D268"/>
    <mergeCell ref="E268:V268"/>
    <mergeCell ref="W268:AE268"/>
    <mergeCell ref="A271:D271"/>
    <mergeCell ref="AF257:AN257"/>
    <mergeCell ref="A259:AN262"/>
    <mergeCell ref="A267:D267"/>
    <mergeCell ref="E267:V267"/>
    <mergeCell ref="W267:AE267"/>
    <mergeCell ref="AF267:AN267"/>
    <mergeCell ref="AF268:AN268"/>
    <mergeCell ref="A269:D269"/>
    <mergeCell ref="E269:V269"/>
    <mergeCell ref="W269:AE269"/>
    <mergeCell ref="AF269:AN269"/>
    <mergeCell ref="A270:D270"/>
    <mergeCell ref="W218:AE218"/>
    <mergeCell ref="AF218:AN218"/>
    <mergeCell ref="A249:D249"/>
    <mergeCell ref="E249:V249"/>
    <mergeCell ref="W249:AE249"/>
    <mergeCell ref="A252:D252"/>
    <mergeCell ref="E252:V252"/>
    <mergeCell ref="W252:AE252"/>
    <mergeCell ref="AF252:AN252"/>
    <mergeCell ref="A250:D250"/>
    <mergeCell ref="A253:D253"/>
    <mergeCell ref="E253:V253"/>
    <mergeCell ref="W253:AE253"/>
    <mergeCell ref="AF253:AN253"/>
    <mergeCell ref="A254:D254"/>
    <mergeCell ref="E254:V254"/>
    <mergeCell ref="W254:AE254"/>
    <mergeCell ref="AF254:AN254"/>
    <mergeCell ref="AF232:AN232"/>
    <mergeCell ref="A233:D233"/>
    <mergeCell ref="E233:V233"/>
    <mergeCell ref="W233:AE233"/>
    <mergeCell ref="AF233:AN233"/>
    <mergeCell ref="A234:D234"/>
    <mergeCell ref="E234:V234"/>
    <mergeCell ref="W234:AE234"/>
    <mergeCell ref="AF234:AN234"/>
    <mergeCell ref="W238:AE238"/>
    <mergeCell ref="AF238:AN238"/>
    <mergeCell ref="A235:D235"/>
    <mergeCell ref="E235:V235"/>
    <mergeCell ref="W235:AE235"/>
    <mergeCell ref="W217:AE217"/>
    <mergeCell ref="AF210:AN210"/>
    <mergeCell ref="AF211:AN211"/>
    <mergeCell ref="AF212:AN212"/>
    <mergeCell ref="AF213:AN213"/>
    <mergeCell ref="A228:D228"/>
    <mergeCell ref="E228:V228"/>
    <mergeCell ref="W228:AE228"/>
    <mergeCell ref="A231:D231"/>
    <mergeCell ref="A216:D216"/>
    <mergeCell ref="AF250:AN250"/>
    <mergeCell ref="A251:D251"/>
    <mergeCell ref="E251:V251"/>
    <mergeCell ref="W251:AE251"/>
    <mergeCell ref="AF251:AN251"/>
    <mergeCell ref="AF228:AN228"/>
    <mergeCell ref="A229:D229"/>
    <mergeCell ref="E229:V229"/>
    <mergeCell ref="W229:AE229"/>
    <mergeCell ref="AF229:AN229"/>
    <mergeCell ref="A230:D230"/>
    <mergeCell ref="E230:V230"/>
    <mergeCell ref="W230:AE230"/>
    <mergeCell ref="AF230:AN230"/>
    <mergeCell ref="E231:V231"/>
    <mergeCell ref="W231:AE231"/>
    <mergeCell ref="AF231:AN231"/>
    <mergeCell ref="A232:D232"/>
    <mergeCell ref="E232:V232"/>
    <mergeCell ref="W232:AE232"/>
    <mergeCell ref="A218:D218"/>
    <mergeCell ref="E218:V218"/>
    <mergeCell ref="AF249:AN249"/>
    <mergeCell ref="A248:D248"/>
    <mergeCell ref="E248:V248"/>
    <mergeCell ref="W248:AE248"/>
    <mergeCell ref="AF248:AN248"/>
    <mergeCell ref="A247:D247"/>
    <mergeCell ref="E247:V247"/>
    <mergeCell ref="W247:AE247"/>
    <mergeCell ref="AF247:AN247"/>
    <mergeCell ref="A183:D183"/>
    <mergeCell ref="W183:AE183"/>
    <mergeCell ref="AF183:AN183"/>
    <mergeCell ref="A208:D208"/>
    <mergeCell ref="E208:V208"/>
    <mergeCell ref="AF215:AN215"/>
    <mergeCell ref="W208:AE208"/>
    <mergeCell ref="AF208:AN208"/>
    <mergeCell ref="A209:D209"/>
    <mergeCell ref="E215:V215"/>
    <mergeCell ref="A219:D219"/>
    <mergeCell ref="W219:AE219"/>
    <mergeCell ref="AF219:AN219"/>
    <mergeCell ref="A217:D217"/>
    <mergeCell ref="E210:V210"/>
    <mergeCell ref="E211:V211"/>
    <mergeCell ref="E212:V212"/>
    <mergeCell ref="E213:V213"/>
    <mergeCell ref="E217:V217"/>
    <mergeCell ref="AF216:AN216"/>
    <mergeCell ref="W211:AE211"/>
    <mergeCell ref="W212:AE212"/>
    <mergeCell ref="W213:AE213"/>
    <mergeCell ref="A150:D150"/>
    <mergeCell ref="W150:AE150"/>
    <mergeCell ref="AF150:AN150"/>
    <mergeCell ref="A152:AN155"/>
    <mergeCell ref="A177:D177"/>
    <mergeCell ref="E177:V177"/>
    <mergeCell ref="W177:AE177"/>
    <mergeCell ref="AF177:AN177"/>
    <mergeCell ref="A178:D178"/>
    <mergeCell ref="E178:V178"/>
    <mergeCell ref="W178:AE178"/>
    <mergeCell ref="AF178:AN178"/>
    <mergeCell ref="A160:D160"/>
    <mergeCell ref="A179:D179"/>
    <mergeCell ref="E179:V179"/>
    <mergeCell ref="W179:AE179"/>
    <mergeCell ref="AF179:AN179"/>
    <mergeCell ref="E160:V160"/>
    <mergeCell ref="W160:AE160"/>
    <mergeCell ref="AF160:AN160"/>
    <mergeCell ref="E165:V165"/>
    <mergeCell ref="W164:AE164"/>
    <mergeCell ref="W165:AE165"/>
    <mergeCell ref="AF165:AN165"/>
    <mergeCell ref="A169:AN172"/>
    <mergeCell ref="A145:D145"/>
    <mergeCell ref="E145:V145"/>
    <mergeCell ref="W145:AE145"/>
    <mergeCell ref="AF145:AN145"/>
    <mergeCell ref="A146:D146"/>
    <mergeCell ref="E146:V146"/>
    <mergeCell ref="W146:AE146"/>
    <mergeCell ref="AF146:AN146"/>
    <mergeCell ref="A147:D147"/>
    <mergeCell ref="E147:V147"/>
    <mergeCell ref="W147:AE147"/>
    <mergeCell ref="AF147:AN147"/>
    <mergeCell ref="A148:D148"/>
    <mergeCell ref="E148:V148"/>
    <mergeCell ref="W148:AE148"/>
    <mergeCell ref="AF148:AN148"/>
    <mergeCell ref="A149:D149"/>
    <mergeCell ref="E149:V149"/>
    <mergeCell ref="W149:AE149"/>
    <mergeCell ref="AF149:AN149"/>
    <mergeCell ref="A131:D131"/>
    <mergeCell ref="W131:AE131"/>
    <mergeCell ref="AF131:AN131"/>
    <mergeCell ref="A133:AN136"/>
    <mergeCell ref="A141:D141"/>
    <mergeCell ref="E141:V141"/>
    <mergeCell ref="W141:AE141"/>
    <mergeCell ref="AF141:AN141"/>
    <mergeCell ref="A142:D142"/>
    <mergeCell ref="E142:V142"/>
    <mergeCell ref="W142:AE142"/>
    <mergeCell ref="AF142:AN142"/>
    <mergeCell ref="A143:D143"/>
    <mergeCell ref="E143:V143"/>
    <mergeCell ref="W143:AE143"/>
    <mergeCell ref="AF143:AN143"/>
    <mergeCell ref="A144:D144"/>
    <mergeCell ref="E144:V144"/>
    <mergeCell ref="W144:AE144"/>
    <mergeCell ref="AF144:AN144"/>
    <mergeCell ref="A126:D126"/>
    <mergeCell ref="E126:V126"/>
    <mergeCell ref="W126:AE126"/>
    <mergeCell ref="AF126:AN126"/>
    <mergeCell ref="A127:D127"/>
    <mergeCell ref="E127:V127"/>
    <mergeCell ref="W127:AE127"/>
    <mergeCell ref="AF127:AN127"/>
    <mergeCell ref="A128:D128"/>
    <mergeCell ref="E128:V128"/>
    <mergeCell ref="W128:AE128"/>
    <mergeCell ref="AF128:AN128"/>
    <mergeCell ref="A129:D129"/>
    <mergeCell ref="E129:V129"/>
    <mergeCell ref="W129:AE129"/>
    <mergeCell ref="AF129:AN129"/>
    <mergeCell ref="A130:D130"/>
    <mergeCell ref="E130:V130"/>
    <mergeCell ref="W130:AE130"/>
    <mergeCell ref="AF130:AN130"/>
    <mergeCell ref="A113:D113"/>
    <mergeCell ref="W113:AE113"/>
    <mergeCell ref="AF113:AN113"/>
    <mergeCell ref="A115:AN118"/>
    <mergeCell ref="W122:AN122"/>
    <mergeCell ref="A123:D123"/>
    <mergeCell ref="E123:V123"/>
    <mergeCell ref="W123:AE123"/>
    <mergeCell ref="AF123:AN123"/>
    <mergeCell ref="A124:D124"/>
    <mergeCell ref="E124:V124"/>
    <mergeCell ref="W124:AE124"/>
    <mergeCell ref="AF124:AN124"/>
    <mergeCell ref="A125:D125"/>
    <mergeCell ref="E125:V125"/>
    <mergeCell ref="W125:AE125"/>
    <mergeCell ref="AF125:AN125"/>
    <mergeCell ref="A101:AN104"/>
    <mergeCell ref="W108:AN108"/>
    <mergeCell ref="A109:D109"/>
    <mergeCell ref="E109:V109"/>
    <mergeCell ref="W109:AE109"/>
    <mergeCell ref="AF109:AN109"/>
    <mergeCell ref="A110:D110"/>
    <mergeCell ref="E110:V110"/>
    <mergeCell ref="W110:AE110"/>
    <mergeCell ref="AF110:AN110"/>
    <mergeCell ref="A111:D111"/>
    <mergeCell ref="E111:V111"/>
    <mergeCell ref="W111:AE111"/>
    <mergeCell ref="AF111:AN111"/>
    <mergeCell ref="A112:D112"/>
    <mergeCell ref="E112:V112"/>
    <mergeCell ref="W112:AE112"/>
    <mergeCell ref="AF112:AN112"/>
    <mergeCell ref="A95:D95"/>
    <mergeCell ref="E95:V95"/>
    <mergeCell ref="W95:AE95"/>
    <mergeCell ref="AF95:AN95"/>
    <mergeCell ref="A96:D96"/>
    <mergeCell ref="E96:V96"/>
    <mergeCell ref="W96:AE96"/>
    <mergeCell ref="AF96:AN96"/>
    <mergeCell ref="A97:D97"/>
    <mergeCell ref="E97:V97"/>
    <mergeCell ref="W97:AE97"/>
    <mergeCell ref="AF97:AN97"/>
    <mergeCell ref="A98:D98"/>
    <mergeCell ref="E98:V98"/>
    <mergeCell ref="W98:AE98"/>
    <mergeCell ref="AF98:AN98"/>
    <mergeCell ref="A99:D99"/>
    <mergeCell ref="W99:AE99"/>
    <mergeCell ref="AF99:AN99"/>
    <mergeCell ref="A90:D90"/>
    <mergeCell ref="E90:V90"/>
    <mergeCell ref="W90:AE90"/>
    <mergeCell ref="AF90:AN90"/>
    <mergeCell ref="A91:D91"/>
    <mergeCell ref="E91:V91"/>
    <mergeCell ref="W91:AE91"/>
    <mergeCell ref="AF91:AN91"/>
    <mergeCell ref="A92:D92"/>
    <mergeCell ref="E92:V92"/>
    <mergeCell ref="W92:AE92"/>
    <mergeCell ref="AF92:AN92"/>
    <mergeCell ref="A93:D93"/>
    <mergeCell ref="E93:V93"/>
    <mergeCell ref="W93:AE93"/>
    <mergeCell ref="AF93:AN93"/>
    <mergeCell ref="A94:D94"/>
    <mergeCell ref="E94:V94"/>
    <mergeCell ref="W94:AE94"/>
    <mergeCell ref="AF94:AN94"/>
    <mergeCell ref="A77:D77"/>
    <mergeCell ref="E77:V77"/>
    <mergeCell ref="W77:AE77"/>
    <mergeCell ref="AF77:AN77"/>
    <mergeCell ref="A78:D78"/>
    <mergeCell ref="E78:V78"/>
    <mergeCell ref="W78:AE78"/>
    <mergeCell ref="AF78:AN78"/>
    <mergeCell ref="A79:D79"/>
    <mergeCell ref="E79:V79"/>
    <mergeCell ref="W79:AE79"/>
    <mergeCell ref="AF79:AN79"/>
    <mergeCell ref="W80:AE80"/>
    <mergeCell ref="AF80:AN80"/>
    <mergeCell ref="A82:AN85"/>
    <mergeCell ref="W88:AN88"/>
    <mergeCell ref="A89:D89"/>
    <mergeCell ref="E89:V89"/>
    <mergeCell ref="W89:AE89"/>
    <mergeCell ref="AF89:AN89"/>
    <mergeCell ref="W64:AE64"/>
    <mergeCell ref="AF64:AN64"/>
    <mergeCell ref="A66:AN69"/>
    <mergeCell ref="W72:AN72"/>
    <mergeCell ref="A73:D73"/>
    <mergeCell ref="E73:V73"/>
    <mergeCell ref="W73:AE73"/>
    <mergeCell ref="AF73:AN73"/>
    <mergeCell ref="A74:D74"/>
    <mergeCell ref="E74:V74"/>
    <mergeCell ref="W74:AE74"/>
    <mergeCell ref="AF74:AN74"/>
    <mergeCell ref="A75:D75"/>
    <mergeCell ref="E75:V75"/>
    <mergeCell ref="W75:AE75"/>
    <mergeCell ref="AF75:AN75"/>
    <mergeCell ref="A76:D76"/>
    <mergeCell ref="E76:V76"/>
    <mergeCell ref="W76:AE76"/>
    <mergeCell ref="AF76:AN76"/>
    <mergeCell ref="A59:D59"/>
    <mergeCell ref="E59:V59"/>
    <mergeCell ref="W59:AE59"/>
    <mergeCell ref="AF59:AN59"/>
    <mergeCell ref="A60:D60"/>
    <mergeCell ref="E60:V60"/>
    <mergeCell ref="W60:AE60"/>
    <mergeCell ref="AF60:AN60"/>
    <mergeCell ref="A61:D61"/>
    <mergeCell ref="E61:V61"/>
    <mergeCell ref="W61:AE61"/>
    <mergeCell ref="AF61:AN61"/>
    <mergeCell ref="A62:D62"/>
    <mergeCell ref="E62:V62"/>
    <mergeCell ref="W62:AE62"/>
    <mergeCell ref="AF62:AN62"/>
    <mergeCell ref="A63:D63"/>
    <mergeCell ref="E63:V63"/>
    <mergeCell ref="W63:AE63"/>
    <mergeCell ref="AF63:AN63"/>
    <mergeCell ref="A54:D54"/>
    <mergeCell ref="E54:V54"/>
    <mergeCell ref="W54:AE54"/>
    <mergeCell ref="AF54:AN54"/>
    <mergeCell ref="A55:D55"/>
    <mergeCell ref="E55:V55"/>
    <mergeCell ref="W55:AE55"/>
    <mergeCell ref="AF55:AN55"/>
    <mergeCell ref="A56:D56"/>
    <mergeCell ref="E56:V56"/>
    <mergeCell ref="W56:AE56"/>
    <mergeCell ref="AF56:AN56"/>
    <mergeCell ref="A57:D57"/>
    <mergeCell ref="E57:V57"/>
    <mergeCell ref="W57:AE57"/>
    <mergeCell ref="AF57:AN57"/>
    <mergeCell ref="A58:D58"/>
    <mergeCell ref="E58:V58"/>
    <mergeCell ref="W58:AE58"/>
    <mergeCell ref="AF58:AN58"/>
    <mergeCell ref="A36:D36"/>
    <mergeCell ref="E36:V36"/>
    <mergeCell ref="W36:AE36"/>
    <mergeCell ref="AF36:AN36"/>
    <mergeCell ref="A37:D37"/>
    <mergeCell ref="E37:V37"/>
    <mergeCell ref="W37:AE37"/>
    <mergeCell ref="AF37:AN37"/>
    <mergeCell ref="A38:D38"/>
    <mergeCell ref="E38:V38"/>
    <mergeCell ref="W38:AE38"/>
    <mergeCell ref="AF38:AN38"/>
    <mergeCell ref="A39:D39"/>
    <mergeCell ref="W39:AE39"/>
    <mergeCell ref="AF39:AN39"/>
    <mergeCell ref="A41:AN46"/>
    <mergeCell ref="W53:AN53"/>
    <mergeCell ref="A31:D31"/>
    <mergeCell ref="E31:V31"/>
    <mergeCell ref="W31:AE31"/>
    <mergeCell ref="AF31:AN31"/>
    <mergeCell ref="A32:D32"/>
    <mergeCell ref="E32:V32"/>
    <mergeCell ref="W32:AE32"/>
    <mergeCell ref="AF32:AN32"/>
    <mergeCell ref="A33:D33"/>
    <mergeCell ref="E33:V33"/>
    <mergeCell ref="W33:AE33"/>
    <mergeCell ref="AF33:AN33"/>
    <mergeCell ref="A34:D34"/>
    <mergeCell ref="E34:V34"/>
    <mergeCell ref="W34:AE34"/>
    <mergeCell ref="AF34:AN34"/>
    <mergeCell ref="A35:D35"/>
    <mergeCell ref="E35:V35"/>
    <mergeCell ref="W35:AE35"/>
    <mergeCell ref="AF35:AN35"/>
    <mergeCell ref="A26:D26"/>
    <mergeCell ref="E26:V26"/>
    <mergeCell ref="W26:AE26"/>
    <mergeCell ref="AF26:AN26"/>
    <mergeCell ref="A27:D27"/>
    <mergeCell ref="E27:V27"/>
    <mergeCell ref="W27:AE27"/>
    <mergeCell ref="AF27:AN27"/>
    <mergeCell ref="A28:D28"/>
    <mergeCell ref="E28:V28"/>
    <mergeCell ref="W28:AE28"/>
    <mergeCell ref="AF28:AN28"/>
    <mergeCell ref="A29:D29"/>
    <mergeCell ref="E29:V29"/>
    <mergeCell ref="W29:AE29"/>
    <mergeCell ref="AF29:AN29"/>
    <mergeCell ref="A30:D30"/>
    <mergeCell ref="E30:V30"/>
    <mergeCell ref="W30:AE30"/>
    <mergeCell ref="AF30:AN30"/>
    <mergeCell ref="A2:U2"/>
    <mergeCell ref="A3:U3"/>
    <mergeCell ref="A4:K4"/>
    <mergeCell ref="A7:AM8"/>
    <mergeCell ref="R9:S9"/>
    <mergeCell ref="W22:AN22"/>
    <mergeCell ref="A23:D23"/>
    <mergeCell ref="E23:V23"/>
    <mergeCell ref="W23:AE23"/>
    <mergeCell ref="AF23:AN23"/>
    <mergeCell ref="A24:D24"/>
    <mergeCell ref="E24:V24"/>
    <mergeCell ref="W24:AE24"/>
    <mergeCell ref="AF24:AN24"/>
    <mergeCell ref="A25:D25"/>
    <mergeCell ref="E25:V25"/>
    <mergeCell ref="W25:AE25"/>
    <mergeCell ref="AF25:AN25"/>
    <mergeCell ref="A352:B352"/>
    <mergeCell ref="C352:L352"/>
    <mergeCell ref="M352:S352"/>
    <mergeCell ref="T353:Z353"/>
    <mergeCell ref="AA353:AG353"/>
    <mergeCell ref="A355:B355"/>
    <mergeCell ref="C355:L355"/>
    <mergeCell ref="M355:S355"/>
    <mergeCell ref="A353:B353"/>
    <mergeCell ref="C353:L353"/>
    <mergeCell ref="M353:S353"/>
    <mergeCell ref="M354:S354"/>
    <mergeCell ref="AH353:AN353"/>
    <mergeCell ref="T352:Z352"/>
    <mergeCell ref="M350:AN350"/>
    <mergeCell ref="A351:B351"/>
    <mergeCell ref="C351:L351"/>
    <mergeCell ref="M351:S351"/>
    <mergeCell ref="T351:Z351"/>
    <mergeCell ref="AA351:AG351"/>
    <mergeCell ref="AH351:AN351"/>
    <mergeCell ref="AA352:AG352"/>
    <mergeCell ref="AH352:AN352"/>
    <mergeCell ref="M358:S358"/>
    <mergeCell ref="T358:Z358"/>
    <mergeCell ref="AA358:AG358"/>
    <mergeCell ref="AH358:AN358"/>
    <mergeCell ref="AA357:AG357"/>
    <mergeCell ref="AH357:AN357"/>
    <mergeCell ref="A357:B357"/>
    <mergeCell ref="C357:L357"/>
    <mergeCell ref="M357:S357"/>
    <mergeCell ref="T357:Z357"/>
    <mergeCell ref="M356:S356"/>
    <mergeCell ref="T356:Z356"/>
    <mergeCell ref="AH354:AN354"/>
    <mergeCell ref="AA355:AG355"/>
    <mergeCell ref="AH355:AN355"/>
    <mergeCell ref="AA356:AG356"/>
    <mergeCell ref="AH356:AN356"/>
    <mergeCell ref="A356:B356"/>
    <mergeCell ref="C356:L356"/>
    <mergeCell ref="T355:Z355"/>
    <mergeCell ref="A354:B354"/>
    <mergeCell ref="C354:L354"/>
    <mergeCell ref="T354:Z354"/>
    <mergeCell ref="AA354:AG354"/>
    <mergeCell ref="A363:B363"/>
    <mergeCell ref="C363:L363"/>
    <mergeCell ref="M363:S363"/>
    <mergeCell ref="T364:Z364"/>
    <mergeCell ref="AA364:AG364"/>
    <mergeCell ref="A366:B366"/>
    <mergeCell ref="C366:L366"/>
    <mergeCell ref="M366:S366"/>
    <mergeCell ref="A364:B364"/>
    <mergeCell ref="C364:L364"/>
    <mergeCell ref="M364:S364"/>
    <mergeCell ref="M365:S365"/>
    <mergeCell ref="AH364:AN364"/>
    <mergeCell ref="T363:Z363"/>
    <mergeCell ref="M361:AN361"/>
    <mergeCell ref="A362:B362"/>
    <mergeCell ref="C362:L362"/>
    <mergeCell ref="M362:S362"/>
    <mergeCell ref="T362:Z362"/>
    <mergeCell ref="AA362:AG362"/>
    <mergeCell ref="AH362:AN362"/>
    <mergeCell ref="AA363:AG363"/>
    <mergeCell ref="AH363:AN363"/>
    <mergeCell ref="AA368:AG368"/>
    <mergeCell ref="AH368:AN368"/>
    <mergeCell ref="A368:B368"/>
    <mergeCell ref="C368:L368"/>
    <mergeCell ref="M368:S368"/>
    <mergeCell ref="T368:Z368"/>
    <mergeCell ref="M367:S367"/>
    <mergeCell ref="T367:Z367"/>
    <mergeCell ref="AH365:AN365"/>
    <mergeCell ref="AA366:AG366"/>
    <mergeCell ref="AH366:AN366"/>
    <mergeCell ref="AA367:AG367"/>
    <mergeCell ref="AH367:AN367"/>
    <mergeCell ref="A367:B367"/>
    <mergeCell ref="C367:L367"/>
    <mergeCell ref="T366:Z366"/>
    <mergeCell ref="A365:B365"/>
    <mergeCell ref="C365:L365"/>
    <mergeCell ref="T365:Z365"/>
    <mergeCell ref="AA365:AG365"/>
    <mergeCell ref="AA383:AG383"/>
    <mergeCell ref="AH383:AN383"/>
    <mergeCell ref="A382:B382"/>
    <mergeCell ref="C382:L382"/>
    <mergeCell ref="A383:B383"/>
    <mergeCell ref="C383:L383"/>
    <mergeCell ref="M383:S383"/>
    <mergeCell ref="T383:Z383"/>
    <mergeCell ref="M382:S382"/>
    <mergeCell ref="T382:Z382"/>
    <mergeCell ref="T372:Z372"/>
    <mergeCell ref="T373:Z373"/>
    <mergeCell ref="A375:AN378"/>
    <mergeCell ref="M381:AN381"/>
    <mergeCell ref="AA382:AG382"/>
    <mergeCell ref="AH382:AN382"/>
    <mergeCell ref="M369:S369"/>
    <mergeCell ref="T369:Z369"/>
    <mergeCell ref="AA369:AG369"/>
    <mergeCell ref="AH369:AN369"/>
    <mergeCell ref="M388:S388"/>
    <mergeCell ref="T388:Z388"/>
    <mergeCell ref="AA388:AG388"/>
    <mergeCell ref="AH388:AN388"/>
    <mergeCell ref="AA387:AG387"/>
    <mergeCell ref="AH387:AN387"/>
    <mergeCell ref="A386:B386"/>
    <mergeCell ref="C386:L386"/>
    <mergeCell ref="A387:B387"/>
    <mergeCell ref="C387:L387"/>
    <mergeCell ref="M387:S387"/>
    <mergeCell ref="T387:Z387"/>
    <mergeCell ref="M386:S386"/>
    <mergeCell ref="T386:Z386"/>
    <mergeCell ref="AA384:AG384"/>
    <mergeCell ref="AH384:AN384"/>
    <mergeCell ref="AA385:AG385"/>
    <mergeCell ref="AH385:AN385"/>
    <mergeCell ref="AA386:AG386"/>
    <mergeCell ref="AH386:AN386"/>
    <mergeCell ref="A385:B385"/>
    <mergeCell ref="C385:L385"/>
    <mergeCell ref="M385:S385"/>
    <mergeCell ref="T385:Z385"/>
    <mergeCell ref="A384:B384"/>
    <mergeCell ref="C384:L384"/>
    <mergeCell ref="M384:S384"/>
    <mergeCell ref="T384:Z384"/>
    <mergeCell ref="AA393:AG393"/>
    <mergeCell ref="AH393:AN393"/>
    <mergeCell ref="AA394:AG394"/>
    <mergeCell ref="AH394:AN394"/>
    <mergeCell ref="AA395:AG395"/>
    <mergeCell ref="AH395:AN395"/>
    <mergeCell ref="A394:B394"/>
    <mergeCell ref="C394:L394"/>
    <mergeCell ref="M394:S394"/>
    <mergeCell ref="T394:Z394"/>
    <mergeCell ref="A393:B393"/>
    <mergeCell ref="C393:L393"/>
    <mergeCell ref="M393:S393"/>
    <mergeCell ref="T393:Z393"/>
    <mergeCell ref="M391:AN391"/>
    <mergeCell ref="A392:B392"/>
    <mergeCell ref="C392:L392"/>
    <mergeCell ref="M392:S392"/>
    <mergeCell ref="T392:Z392"/>
    <mergeCell ref="AA392:AG392"/>
    <mergeCell ref="AH392:AN392"/>
    <mergeCell ref="M398:S398"/>
    <mergeCell ref="T398:Z398"/>
    <mergeCell ref="AA398:AG398"/>
    <mergeCell ref="AH398:AN398"/>
    <mergeCell ref="AA397:AG397"/>
    <mergeCell ref="AH397:AN397"/>
    <mergeCell ref="A397:B397"/>
    <mergeCell ref="C397:L397"/>
    <mergeCell ref="M397:S397"/>
    <mergeCell ref="T397:Z397"/>
    <mergeCell ref="AA396:AG396"/>
    <mergeCell ref="AH396:AN396"/>
    <mergeCell ref="A395:B395"/>
    <mergeCell ref="C395:L395"/>
    <mergeCell ref="A396:B396"/>
    <mergeCell ref="C396:L396"/>
    <mergeCell ref="M396:S396"/>
    <mergeCell ref="T396:Z396"/>
    <mergeCell ref="M395:S395"/>
    <mergeCell ref="T395:Z395"/>
    <mergeCell ref="AA411:AG411"/>
    <mergeCell ref="AH411:AN411"/>
    <mergeCell ref="AA412:AG412"/>
    <mergeCell ref="AH412:AN412"/>
    <mergeCell ref="AA413:AG413"/>
    <mergeCell ref="AH413:AN413"/>
    <mergeCell ref="A412:B412"/>
    <mergeCell ref="C412:L412"/>
    <mergeCell ref="M412:S412"/>
    <mergeCell ref="T412:Z412"/>
    <mergeCell ref="A411:B411"/>
    <mergeCell ref="C411:L411"/>
    <mergeCell ref="M411:S411"/>
    <mergeCell ref="T411:Z411"/>
    <mergeCell ref="T401:Z401"/>
    <mergeCell ref="T402:Z402"/>
    <mergeCell ref="A404:AN407"/>
    <mergeCell ref="M410:AN410"/>
    <mergeCell ref="M418:AN418"/>
    <mergeCell ref="A419:B419"/>
    <mergeCell ref="C419:L419"/>
    <mergeCell ref="M419:S419"/>
    <mergeCell ref="T419:Z419"/>
    <mergeCell ref="AA419:AG419"/>
    <mergeCell ref="AH419:AN419"/>
    <mergeCell ref="AA420:AG420"/>
    <mergeCell ref="M415:S415"/>
    <mergeCell ref="T415:Z415"/>
    <mergeCell ref="AA415:AG415"/>
    <mergeCell ref="AH415:AN415"/>
    <mergeCell ref="AA414:AG414"/>
    <mergeCell ref="AH414:AN414"/>
    <mergeCell ref="A413:B413"/>
    <mergeCell ref="C413:L413"/>
    <mergeCell ref="A414:B414"/>
    <mergeCell ref="C414:L414"/>
    <mergeCell ref="M414:S414"/>
    <mergeCell ref="T414:Z414"/>
    <mergeCell ref="M413:S413"/>
    <mergeCell ref="T413:Z413"/>
    <mergeCell ref="AA422:AG422"/>
    <mergeCell ref="AH422:AN422"/>
    <mergeCell ref="A422:B422"/>
    <mergeCell ref="C422:L422"/>
    <mergeCell ref="M422:S422"/>
    <mergeCell ref="T422:Z422"/>
    <mergeCell ref="AH420:AN420"/>
    <mergeCell ref="A421:B421"/>
    <mergeCell ref="C421:L421"/>
    <mergeCell ref="M421:S421"/>
    <mergeCell ref="T421:Z421"/>
    <mergeCell ref="AA421:AG421"/>
    <mergeCell ref="AH421:AN421"/>
    <mergeCell ref="A420:B420"/>
    <mergeCell ref="C420:L420"/>
    <mergeCell ref="M420:S420"/>
    <mergeCell ref="T420:Z420"/>
    <mergeCell ref="A436:B436"/>
    <mergeCell ref="C436:L436"/>
    <mergeCell ref="A437:B437"/>
    <mergeCell ref="C437:L437"/>
    <mergeCell ref="M437:S437"/>
    <mergeCell ref="T437:Z437"/>
    <mergeCell ref="M436:S436"/>
    <mergeCell ref="T436:Z436"/>
    <mergeCell ref="T426:Z426"/>
    <mergeCell ref="T427:Z427"/>
    <mergeCell ref="A429:AN432"/>
    <mergeCell ref="M435:AN435"/>
    <mergeCell ref="AA436:AG436"/>
    <mergeCell ref="AH436:AN436"/>
    <mergeCell ref="M423:S423"/>
    <mergeCell ref="T423:Z423"/>
    <mergeCell ref="AA423:AG423"/>
    <mergeCell ref="AH423:AN423"/>
    <mergeCell ref="M442:S442"/>
    <mergeCell ref="T442:Z442"/>
    <mergeCell ref="C443:L443"/>
    <mergeCell ref="AH443:AN443"/>
    <mergeCell ref="M453:S453"/>
    <mergeCell ref="AH451:AN451"/>
    <mergeCell ref="AH452:AN452"/>
    <mergeCell ref="AH453:AN453"/>
    <mergeCell ref="AH454:AN454"/>
    <mergeCell ref="T456:Z456"/>
    <mergeCell ref="AA453:AG453"/>
    <mergeCell ref="AA454:AG454"/>
    <mergeCell ref="AA455:AG455"/>
    <mergeCell ref="AA456:AG456"/>
    <mergeCell ref="AA437:AG437"/>
    <mergeCell ref="AH437:AN437"/>
    <mergeCell ref="C438:L438"/>
    <mergeCell ref="C439:L439"/>
    <mergeCell ref="C440:L440"/>
    <mergeCell ref="C441:L441"/>
    <mergeCell ref="AA443:AG443"/>
    <mergeCell ref="AA444:AG444"/>
    <mergeCell ref="M448:AN448"/>
    <mergeCell ref="AA438:AG438"/>
    <mergeCell ref="AA439:AG439"/>
    <mergeCell ref="AA440:AG440"/>
    <mergeCell ref="AA441:AG441"/>
    <mergeCell ref="T440:Z440"/>
    <mergeCell ref="T441:Z441"/>
    <mergeCell ref="T438:Z438"/>
    <mergeCell ref="T445:Z445"/>
    <mergeCell ref="M444:S444"/>
    <mergeCell ref="T443:Z443"/>
    <mergeCell ref="T444:Z444"/>
    <mergeCell ref="A464:AN467"/>
    <mergeCell ref="A438:B438"/>
    <mergeCell ref="A439:B439"/>
    <mergeCell ref="A440:B440"/>
    <mergeCell ref="A441:B441"/>
    <mergeCell ref="A443:B443"/>
    <mergeCell ref="A444:B444"/>
    <mergeCell ref="M458:S458"/>
    <mergeCell ref="T458:Z458"/>
    <mergeCell ref="AA458:AG458"/>
    <mergeCell ref="AH458:AN458"/>
    <mergeCell ref="AA450:AG450"/>
    <mergeCell ref="AH450:AN450"/>
    <mergeCell ref="AA457:AG457"/>
    <mergeCell ref="AH457:AN457"/>
    <mergeCell ref="T453:Z453"/>
    <mergeCell ref="T454:Z454"/>
    <mergeCell ref="T455:Z455"/>
    <mergeCell ref="AH455:AN455"/>
    <mergeCell ref="AH456:AN456"/>
    <mergeCell ref="A457:B457"/>
    <mergeCell ref="C457:L457"/>
    <mergeCell ref="AH438:AN438"/>
    <mergeCell ref="AH439:AN439"/>
    <mergeCell ref="AH440:AN440"/>
    <mergeCell ref="AH441:AN441"/>
    <mergeCell ref="A442:B442"/>
    <mergeCell ref="C442:L442"/>
    <mergeCell ref="T439:Z439"/>
    <mergeCell ref="M438:S438"/>
    <mergeCell ref="M439:S439"/>
    <mergeCell ref="M440:S440"/>
    <mergeCell ref="M441:S441"/>
    <mergeCell ref="M443:S443"/>
    <mergeCell ref="AA445:AG445"/>
    <mergeCell ref="AH445:AN445"/>
    <mergeCell ref="AA442:AG442"/>
    <mergeCell ref="AH442:AN442"/>
    <mergeCell ref="C451:L451"/>
    <mergeCell ref="C452:L452"/>
    <mergeCell ref="C453:L453"/>
    <mergeCell ref="C454:L454"/>
    <mergeCell ref="C455:L455"/>
    <mergeCell ref="A454:B454"/>
    <mergeCell ref="AH444:AN444"/>
    <mergeCell ref="A451:B451"/>
    <mergeCell ref="A452:B452"/>
    <mergeCell ref="M451:S451"/>
    <mergeCell ref="M452:S452"/>
    <mergeCell ref="T451:Z451"/>
    <mergeCell ref="M445:S445"/>
    <mergeCell ref="C444:L444"/>
    <mergeCell ref="T452:Z452"/>
    <mergeCell ref="M454:S454"/>
    <mergeCell ref="AA451:AG451"/>
    <mergeCell ref="AA452:AG452"/>
    <mergeCell ref="A450:B450"/>
    <mergeCell ref="C450:L450"/>
    <mergeCell ref="M450:S450"/>
    <mergeCell ref="T450:Z450"/>
    <mergeCell ref="A453:B453"/>
    <mergeCell ref="A449:B449"/>
    <mergeCell ref="C449:L449"/>
    <mergeCell ref="M449:S449"/>
    <mergeCell ref="T449:Z449"/>
    <mergeCell ref="AA449:AG449"/>
    <mergeCell ref="AH449:AN449"/>
    <mergeCell ref="AA472:AG472"/>
    <mergeCell ref="AH472:AN472"/>
    <mergeCell ref="AA473:AG473"/>
    <mergeCell ref="AH473:AN473"/>
    <mergeCell ref="AA474:AG474"/>
    <mergeCell ref="AH474:AN474"/>
    <mergeCell ref="A455:B455"/>
    <mergeCell ref="A473:B473"/>
    <mergeCell ref="C473:L473"/>
    <mergeCell ref="M473:S473"/>
    <mergeCell ref="T473:Z473"/>
    <mergeCell ref="A472:B472"/>
    <mergeCell ref="C472:L472"/>
    <mergeCell ref="M472:S472"/>
    <mergeCell ref="T472:Z472"/>
    <mergeCell ref="M470:AN470"/>
    <mergeCell ref="A471:B471"/>
    <mergeCell ref="C471:L471"/>
    <mergeCell ref="M471:S471"/>
    <mergeCell ref="T471:Z471"/>
    <mergeCell ref="AA471:AG471"/>
    <mergeCell ref="AH471:AN471"/>
    <mergeCell ref="M457:S457"/>
    <mergeCell ref="T457:Z457"/>
    <mergeCell ref="M455:S455"/>
    <mergeCell ref="M456:S456"/>
    <mergeCell ref="A456:B456"/>
    <mergeCell ref="C456:L456"/>
    <mergeCell ref="M479:AN479"/>
    <mergeCell ref="A480:B480"/>
    <mergeCell ref="C480:L480"/>
    <mergeCell ref="M480:S480"/>
    <mergeCell ref="T480:Z480"/>
    <mergeCell ref="AA480:AG480"/>
    <mergeCell ref="AH480:AN480"/>
    <mergeCell ref="M476:S476"/>
    <mergeCell ref="T476:Z476"/>
    <mergeCell ref="AA476:AG476"/>
    <mergeCell ref="AH476:AN476"/>
    <mergeCell ref="AA475:AG475"/>
    <mergeCell ref="AH475:AN475"/>
    <mergeCell ref="A474:B474"/>
    <mergeCell ref="C474:L474"/>
    <mergeCell ref="A475:B475"/>
    <mergeCell ref="C475:L475"/>
    <mergeCell ref="M475:S475"/>
    <mergeCell ref="T475:Z475"/>
    <mergeCell ref="M474:S474"/>
    <mergeCell ref="T474:Z474"/>
    <mergeCell ref="T461:Z461"/>
    <mergeCell ref="T462:Z462"/>
    <mergeCell ref="M485:S485"/>
    <mergeCell ref="T485:Z485"/>
    <mergeCell ref="AA485:AG485"/>
    <mergeCell ref="AH485:AN485"/>
    <mergeCell ref="AA484:AG484"/>
    <mergeCell ref="AH484:AN484"/>
    <mergeCell ref="A483:B483"/>
    <mergeCell ref="C483:L483"/>
    <mergeCell ref="A484:B484"/>
    <mergeCell ref="C484:L484"/>
    <mergeCell ref="M484:S484"/>
    <mergeCell ref="T484:Z484"/>
    <mergeCell ref="M483:S483"/>
    <mergeCell ref="T483:Z483"/>
    <mergeCell ref="AA481:AG481"/>
    <mergeCell ref="AH481:AN481"/>
    <mergeCell ref="AA482:AG482"/>
    <mergeCell ref="AH482:AN482"/>
    <mergeCell ref="AA483:AG483"/>
    <mergeCell ref="AH483:AN483"/>
    <mergeCell ref="A482:B482"/>
    <mergeCell ref="C482:L482"/>
    <mergeCell ref="M482:S482"/>
    <mergeCell ref="T482:Z482"/>
    <mergeCell ref="A481:B481"/>
    <mergeCell ref="C481:L481"/>
    <mergeCell ref="M481:S481"/>
    <mergeCell ref="T481:Z481"/>
    <mergeCell ref="AA498:AG498"/>
    <mergeCell ref="AH498:AN498"/>
    <mergeCell ref="AA499:AG499"/>
    <mergeCell ref="AH499:AN499"/>
    <mergeCell ref="AA500:AG500"/>
    <mergeCell ref="AH500:AN500"/>
    <mergeCell ref="A499:B499"/>
    <mergeCell ref="C499:L499"/>
    <mergeCell ref="M499:S499"/>
    <mergeCell ref="T499:Z499"/>
    <mergeCell ref="A498:B498"/>
    <mergeCell ref="C498:L498"/>
    <mergeCell ref="M498:S498"/>
    <mergeCell ref="T498:Z498"/>
    <mergeCell ref="T488:Z488"/>
    <mergeCell ref="T489:Z489"/>
    <mergeCell ref="A491:AN494"/>
    <mergeCell ref="M497:AN497"/>
    <mergeCell ref="M510:AN510"/>
    <mergeCell ref="A511:B511"/>
    <mergeCell ref="C511:L511"/>
    <mergeCell ref="M511:S511"/>
    <mergeCell ref="T511:Z511"/>
    <mergeCell ref="AA511:AG511"/>
    <mergeCell ref="AH511:AN511"/>
    <mergeCell ref="AA512:AG512"/>
    <mergeCell ref="AH512:AN512"/>
    <mergeCell ref="A504:AN507"/>
    <mergeCell ref="M502:S502"/>
    <mergeCell ref="T502:Z502"/>
    <mergeCell ref="AA502:AG502"/>
    <mergeCell ref="AH502:AN502"/>
    <mergeCell ref="AA501:AG501"/>
    <mergeCell ref="AH501:AN501"/>
    <mergeCell ref="A500:B500"/>
    <mergeCell ref="C500:L500"/>
    <mergeCell ref="A501:B501"/>
    <mergeCell ref="C501:L501"/>
    <mergeCell ref="M501:S501"/>
    <mergeCell ref="T501:Z501"/>
    <mergeCell ref="M500:S500"/>
    <mergeCell ref="T500:Z500"/>
    <mergeCell ref="T514:Z514"/>
    <mergeCell ref="A515:B515"/>
    <mergeCell ref="C515:L515"/>
    <mergeCell ref="M515:S515"/>
    <mergeCell ref="AA514:AG514"/>
    <mergeCell ref="AH514:AN514"/>
    <mergeCell ref="T515:Z515"/>
    <mergeCell ref="AA515:AG515"/>
    <mergeCell ref="AH515:AN515"/>
    <mergeCell ref="A512:B512"/>
    <mergeCell ref="C512:L512"/>
    <mergeCell ref="M512:S512"/>
    <mergeCell ref="A514:B514"/>
    <mergeCell ref="C514:L514"/>
    <mergeCell ref="M514:S514"/>
    <mergeCell ref="A513:B513"/>
    <mergeCell ref="C513:L513"/>
    <mergeCell ref="M513:S513"/>
    <mergeCell ref="T513:Z513"/>
    <mergeCell ref="AA513:AG513"/>
    <mergeCell ref="AH513:AN513"/>
    <mergeCell ref="T512:Z512"/>
    <mergeCell ref="W687:AE687"/>
    <mergeCell ref="AF687:AN687"/>
    <mergeCell ref="E687:V687"/>
    <mergeCell ref="A688:D688"/>
    <mergeCell ref="E688:V688"/>
    <mergeCell ref="W688:AE688"/>
    <mergeCell ref="AF688:AN688"/>
    <mergeCell ref="S931:AA931"/>
    <mergeCell ref="AB931:AJ931"/>
    <mergeCell ref="A689:D689"/>
    <mergeCell ref="W689:AE689"/>
    <mergeCell ref="AF689:AN689"/>
    <mergeCell ref="A694:D694"/>
    <mergeCell ref="E694:V694"/>
    <mergeCell ref="W694:AE694"/>
    <mergeCell ref="AF694:AN694"/>
    <mergeCell ref="A695:D695"/>
    <mergeCell ref="E695:V695"/>
    <mergeCell ref="W695:AE695"/>
    <mergeCell ref="AF695:AN695"/>
    <mergeCell ref="A696:D696"/>
    <mergeCell ref="E696:V696"/>
    <mergeCell ref="W696:AE696"/>
    <mergeCell ref="AF696:AN696"/>
    <mergeCell ref="A687:D687"/>
    <mergeCell ref="AF697:AN697"/>
    <mergeCell ref="A706:D706"/>
    <mergeCell ref="E706:V706"/>
    <mergeCell ref="W706:AE706"/>
    <mergeCell ref="AF706:AN706"/>
    <mergeCell ref="A705:D705"/>
    <mergeCell ref="E705:V705"/>
    <mergeCell ref="T518:Z518"/>
    <mergeCell ref="AA518:AG518"/>
    <mergeCell ref="AH518:AN518"/>
    <mergeCell ref="A529:D529"/>
    <mergeCell ref="E529:V529"/>
    <mergeCell ref="W529:AE529"/>
    <mergeCell ref="AF529:AN529"/>
    <mergeCell ref="A528:D528"/>
    <mergeCell ref="E528:V528"/>
    <mergeCell ref="W528:AE528"/>
    <mergeCell ref="T516:Z516"/>
    <mergeCell ref="AA516:AG516"/>
    <mergeCell ref="AH516:AN516"/>
    <mergeCell ref="A527:D527"/>
    <mergeCell ref="E527:V527"/>
    <mergeCell ref="W527:AE527"/>
    <mergeCell ref="AF527:AN527"/>
    <mergeCell ref="A520:AN523"/>
    <mergeCell ref="A516:B516"/>
    <mergeCell ref="M518:S518"/>
    <mergeCell ref="C516:L516"/>
    <mergeCell ref="M516:S516"/>
    <mergeCell ref="A517:B517"/>
    <mergeCell ref="C517:L517"/>
    <mergeCell ref="M517:S517"/>
    <mergeCell ref="T517:Z517"/>
    <mergeCell ref="AA517:AG517"/>
    <mergeCell ref="AH517:AN517"/>
    <mergeCell ref="A534:D534"/>
    <mergeCell ref="E534:V534"/>
    <mergeCell ref="W534:AE534"/>
    <mergeCell ref="AF534:AN534"/>
    <mergeCell ref="A533:D533"/>
    <mergeCell ref="E533:V533"/>
    <mergeCell ref="W533:AE533"/>
    <mergeCell ref="AF533:AN533"/>
    <mergeCell ref="A532:D532"/>
    <mergeCell ref="E532:V532"/>
    <mergeCell ref="W532:AE532"/>
    <mergeCell ref="AF532:AN532"/>
    <mergeCell ref="AF528:AN528"/>
    <mergeCell ref="A531:D531"/>
    <mergeCell ref="E531:V531"/>
    <mergeCell ref="W531:AE531"/>
    <mergeCell ref="AF531:AN531"/>
    <mergeCell ref="A530:D530"/>
    <mergeCell ref="E530:V530"/>
    <mergeCell ref="W530:AE530"/>
    <mergeCell ref="AF530:AN530"/>
    <mergeCell ref="A548:D548"/>
    <mergeCell ref="E548:V548"/>
    <mergeCell ref="W548:AE548"/>
    <mergeCell ref="AF548:AN548"/>
    <mergeCell ref="A538:D538"/>
    <mergeCell ref="W538:AE538"/>
    <mergeCell ref="AF538:AN538"/>
    <mergeCell ref="A540:AN543"/>
    <mergeCell ref="A537:D537"/>
    <mergeCell ref="E537:V537"/>
    <mergeCell ref="W537:AE537"/>
    <mergeCell ref="AF537:AN537"/>
    <mergeCell ref="A536:D536"/>
    <mergeCell ref="E536:V536"/>
    <mergeCell ref="W536:AE536"/>
    <mergeCell ref="AF536:AN536"/>
    <mergeCell ref="A535:D535"/>
    <mergeCell ref="E535:V535"/>
    <mergeCell ref="W535:AE535"/>
    <mergeCell ref="AF535:AN535"/>
    <mergeCell ref="AF686:AN686"/>
    <mergeCell ref="A552:D552"/>
    <mergeCell ref="E552:V552"/>
    <mergeCell ref="W552:AE552"/>
    <mergeCell ref="AF552:AN552"/>
    <mergeCell ref="A551:D551"/>
    <mergeCell ref="E551:V551"/>
    <mergeCell ref="W551:AE551"/>
    <mergeCell ref="AF551:AN551"/>
    <mergeCell ref="A550:D550"/>
    <mergeCell ref="E550:V550"/>
    <mergeCell ref="W550:AE550"/>
    <mergeCell ref="AF550:AN550"/>
    <mergeCell ref="A549:D549"/>
    <mergeCell ref="E549:V549"/>
    <mergeCell ref="W549:AE549"/>
    <mergeCell ref="AF549:AN549"/>
    <mergeCell ref="A677:D677"/>
    <mergeCell ref="E677:V677"/>
    <mergeCell ref="W677:AE677"/>
    <mergeCell ref="AF677:AN677"/>
    <mergeCell ref="A678:D678"/>
    <mergeCell ref="W678:AE678"/>
    <mergeCell ref="AF678:AN678"/>
    <mergeCell ref="A683:D683"/>
    <mergeCell ref="E683:V683"/>
    <mergeCell ref="W683:AE683"/>
    <mergeCell ref="AF683:AN683"/>
    <mergeCell ref="A684:D684"/>
    <mergeCell ref="A564:D564"/>
    <mergeCell ref="E564:V564"/>
    <mergeCell ref="W564:AE564"/>
    <mergeCell ref="AF564:AN564"/>
    <mergeCell ref="W563:AE563"/>
    <mergeCell ref="AF563:AN563"/>
    <mergeCell ref="A562:D562"/>
    <mergeCell ref="E562:V562"/>
    <mergeCell ref="W562:AE562"/>
    <mergeCell ref="AF562:AN562"/>
    <mergeCell ref="W582:AE582"/>
    <mergeCell ref="AF582:AN582"/>
    <mergeCell ref="A581:D581"/>
    <mergeCell ref="E581:V581"/>
    <mergeCell ref="W581:AE581"/>
    <mergeCell ref="AF581:AN581"/>
    <mergeCell ref="A580:D580"/>
    <mergeCell ref="E580:V580"/>
    <mergeCell ref="W580:AE580"/>
    <mergeCell ref="AF580:AN580"/>
    <mergeCell ref="A579:D579"/>
    <mergeCell ref="E579:V579"/>
    <mergeCell ref="W579:AE579"/>
    <mergeCell ref="AF579:AN579"/>
    <mergeCell ref="A578:D578"/>
    <mergeCell ref="E578:V578"/>
    <mergeCell ref="W578:AE578"/>
    <mergeCell ref="AF578:AN578"/>
    <mergeCell ref="A553:D553"/>
    <mergeCell ref="W553:AE553"/>
    <mergeCell ref="AF553:AN553"/>
    <mergeCell ref="A555:AN558"/>
    <mergeCell ref="A676:D676"/>
    <mergeCell ref="E676:V676"/>
    <mergeCell ref="W676:AE676"/>
    <mergeCell ref="AF676:AN676"/>
    <mergeCell ref="A563:D563"/>
    <mergeCell ref="E563:V563"/>
    <mergeCell ref="W566:AE566"/>
    <mergeCell ref="W567:AE567"/>
    <mergeCell ref="AF566:AN566"/>
    <mergeCell ref="AF567:AN567"/>
    <mergeCell ref="A566:D566"/>
    <mergeCell ref="A567:D567"/>
    <mergeCell ref="E566:V566"/>
    <mergeCell ref="E567:V567"/>
    <mergeCell ref="A569:D569"/>
    <mergeCell ref="W569:AE569"/>
    <mergeCell ref="AF569:AN569"/>
    <mergeCell ref="A571:AN574"/>
    <mergeCell ref="A568:D568"/>
    <mergeCell ref="E568:V568"/>
    <mergeCell ref="W568:AE568"/>
    <mergeCell ref="AF568:AN568"/>
    <mergeCell ref="A565:D565"/>
    <mergeCell ref="E565:V565"/>
    <mergeCell ref="W565:AE565"/>
    <mergeCell ref="AF565:AN565"/>
    <mergeCell ref="A582:D582"/>
    <mergeCell ref="E582:V582"/>
    <mergeCell ref="A584:D584"/>
    <mergeCell ref="E584:V584"/>
    <mergeCell ref="W584:AE584"/>
    <mergeCell ref="AF584:AN584"/>
    <mergeCell ref="A583:D583"/>
    <mergeCell ref="E583:V583"/>
    <mergeCell ref="W583:AE583"/>
    <mergeCell ref="AF583:AN583"/>
    <mergeCell ref="A596:D596"/>
    <mergeCell ref="E596:V596"/>
    <mergeCell ref="W596:AE596"/>
    <mergeCell ref="AF596:AN596"/>
    <mergeCell ref="A599:D599"/>
    <mergeCell ref="E599:V599"/>
    <mergeCell ref="W599:AE599"/>
    <mergeCell ref="AF599:AN599"/>
    <mergeCell ref="A598:D598"/>
    <mergeCell ref="E598:V598"/>
    <mergeCell ref="A587:D587"/>
    <mergeCell ref="W587:AE587"/>
    <mergeCell ref="AF587:AN587"/>
    <mergeCell ref="A589:AN592"/>
    <mergeCell ref="A618:D618"/>
    <mergeCell ref="E618:V618"/>
    <mergeCell ref="W618:AE618"/>
    <mergeCell ref="AF618:AN618"/>
    <mergeCell ref="A617:D617"/>
    <mergeCell ref="E617:V617"/>
    <mergeCell ref="W617:AE617"/>
    <mergeCell ref="AF617:AN617"/>
    <mergeCell ref="W675:AE675"/>
    <mergeCell ref="AF675:AN675"/>
    <mergeCell ref="A586:D586"/>
    <mergeCell ref="E586:V586"/>
    <mergeCell ref="W586:AE586"/>
    <mergeCell ref="AF586:AN586"/>
    <mergeCell ref="A585:D585"/>
    <mergeCell ref="E585:V585"/>
    <mergeCell ref="W585:AE585"/>
    <mergeCell ref="AF585:AN585"/>
    <mergeCell ref="A597:D597"/>
    <mergeCell ref="E597:V597"/>
    <mergeCell ref="W597:AE597"/>
    <mergeCell ref="AF597:AN597"/>
    <mergeCell ref="A603:D603"/>
    <mergeCell ref="E603:V603"/>
    <mergeCell ref="W603:AE603"/>
    <mergeCell ref="AF603:AN603"/>
    <mergeCell ref="A602:D602"/>
    <mergeCell ref="E602:V602"/>
    <mergeCell ref="W602:AE602"/>
    <mergeCell ref="AF602:AN602"/>
    <mergeCell ref="W598:AE598"/>
    <mergeCell ref="AF598:AN598"/>
    <mergeCell ref="A601:D601"/>
    <mergeCell ref="E601:V601"/>
    <mergeCell ref="W601:AE601"/>
    <mergeCell ref="AF601:AN601"/>
    <mergeCell ref="A600:D600"/>
    <mergeCell ref="E600:V600"/>
    <mergeCell ref="W600:AE600"/>
    <mergeCell ref="AF600:AN600"/>
    <mergeCell ref="A616:D616"/>
    <mergeCell ref="E616:V616"/>
    <mergeCell ref="W616:AE616"/>
    <mergeCell ref="AF616:AN616"/>
    <mergeCell ref="A615:D615"/>
    <mergeCell ref="E615:V615"/>
    <mergeCell ref="W615:AE615"/>
    <mergeCell ref="AF615:AN615"/>
    <mergeCell ref="W604:AE604"/>
    <mergeCell ref="AF604:AN604"/>
    <mergeCell ref="W605:AE605"/>
    <mergeCell ref="AF605:AN605"/>
    <mergeCell ref="A604:D604"/>
    <mergeCell ref="A605:D605"/>
    <mergeCell ref="E604:V604"/>
    <mergeCell ref="E605:V605"/>
    <mergeCell ref="A606:D606"/>
    <mergeCell ref="W606:AE606"/>
    <mergeCell ref="AF606:AN606"/>
    <mergeCell ref="A608:AN611"/>
    <mergeCell ref="A623:D623"/>
    <mergeCell ref="E623:V623"/>
    <mergeCell ref="W623:AE623"/>
    <mergeCell ref="AF623:AN623"/>
    <mergeCell ref="A622:D622"/>
    <mergeCell ref="E622:V622"/>
    <mergeCell ref="W622:AE622"/>
    <mergeCell ref="AF622:AN622"/>
    <mergeCell ref="A621:D621"/>
    <mergeCell ref="E621:V621"/>
    <mergeCell ref="W621:AE621"/>
    <mergeCell ref="AF621:AN621"/>
    <mergeCell ref="A620:D620"/>
    <mergeCell ref="E620:V620"/>
    <mergeCell ref="W620:AE620"/>
    <mergeCell ref="AF620:AN620"/>
    <mergeCell ref="A619:D619"/>
    <mergeCell ref="E619:V619"/>
    <mergeCell ref="W619:AE619"/>
    <mergeCell ref="AF619:AN619"/>
    <mergeCell ref="A636:D636"/>
    <mergeCell ref="E636:V636"/>
    <mergeCell ref="W636:AE636"/>
    <mergeCell ref="AF636:AN636"/>
    <mergeCell ref="A635:D635"/>
    <mergeCell ref="E635:V635"/>
    <mergeCell ref="W635:AE635"/>
    <mergeCell ref="AF635:AN635"/>
    <mergeCell ref="A634:D634"/>
    <mergeCell ref="E634:V634"/>
    <mergeCell ref="W634:AE634"/>
    <mergeCell ref="AF634:AN634"/>
    <mergeCell ref="A625:D625"/>
    <mergeCell ref="W625:AE625"/>
    <mergeCell ref="AF625:AN625"/>
    <mergeCell ref="A627:AN630"/>
    <mergeCell ref="A624:D624"/>
    <mergeCell ref="E624:V624"/>
    <mergeCell ref="W624:AE624"/>
    <mergeCell ref="AF624:AN624"/>
    <mergeCell ref="A640:D640"/>
    <mergeCell ref="E640:V640"/>
    <mergeCell ref="W640:AE640"/>
    <mergeCell ref="AF640:AN640"/>
    <mergeCell ref="A674:D674"/>
    <mergeCell ref="E674:V674"/>
    <mergeCell ref="A639:D639"/>
    <mergeCell ref="E639:V639"/>
    <mergeCell ref="W639:AE639"/>
    <mergeCell ref="AF639:AN639"/>
    <mergeCell ref="A638:D638"/>
    <mergeCell ref="E638:V638"/>
    <mergeCell ref="W638:AE638"/>
    <mergeCell ref="AF638:AN638"/>
    <mergeCell ref="A637:D637"/>
    <mergeCell ref="E637:V637"/>
    <mergeCell ref="W637:AE637"/>
    <mergeCell ref="AF637:AN637"/>
    <mergeCell ref="W674:AE674"/>
    <mergeCell ref="AF674:AN674"/>
    <mergeCell ref="A653:D653"/>
    <mergeCell ref="E653:V653"/>
    <mergeCell ref="W653:AE653"/>
    <mergeCell ref="AF653:AN653"/>
    <mergeCell ref="A656:D656"/>
    <mergeCell ref="E656:V656"/>
    <mergeCell ref="W656:AE656"/>
    <mergeCell ref="AF656:AN656"/>
    <mergeCell ref="A655:D655"/>
    <mergeCell ref="E655:V655"/>
    <mergeCell ref="A641:D641"/>
    <mergeCell ref="W641:AE641"/>
    <mergeCell ref="AF641:AN641"/>
    <mergeCell ref="A643:AN646"/>
    <mergeCell ref="W666:AE666"/>
    <mergeCell ref="AF666:AN666"/>
    <mergeCell ref="A654:D654"/>
    <mergeCell ref="E654:V654"/>
    <mergeCell ref="W654:AE654"/>
    <mergeCell ref="AF654:AN654"/>
    <mergeCell ref="A659:D659"/>
    <mergeCell ref="E659:V659"/>
    <mergeCell ref="W659:AE659"/>
    <mergeCell ref="AF659:AN659"/>
    <mergeCell ref="A660:D660"/>
    <mergeCell ref="W660:AE660"/>
    <mergeCell ref="AF660:AN660"/>
    <mergeCell ref="A665:D665"/>
    <mergeCell ref="W655:AE655"/>
    <mergeCell ref="AF655:AN655"/>
    <mergeCell ref="A658:D658"/>
    <mergeCell ref="E658:V658"/>
    <mergeCell ref="W658:AE658"/>
    <mergeCell ref="AF658:AN658"/>
    <mergeCell ref="A657:D657"/>
    <mergeCell ref="E657:V657"/>
    <mergeCell ref="W657:AE657"/>
    <mergeCell ref="AF657:AN657"/>
    <mergeCell ref="E665:V665"/>
    <mergeCell ref="W665:AE665"/>
    <mergeCell ref="AF665:AN665"/>
    <mergeCell ref="A698:D698"/>
    <mergeCell ref="E698:V698"/>
    <mergeCell ref="W698:AE698"/>
    <mergeCell ref="AF698:AN698"/>
    <mergeCell ref="A697:D697"/>
    <mergeCell ref="E697:V697"/>
    <mergeCell ref="W697:AE697"/>
    <mergeCell ref="A666:D666"/>
    <mergeCell ref="E666:V666"/>
    <mergeCell ref="A667:D667"/>
    <mergeCell ref="E667:V667"/>
    <mergeCell ref="W667:AE667"/>
    <mergeCell ref="AF667:AN667"/>
    <mergeCell ref="A668:D668"/>
    <mergeCell ref="E668:V668"/>
    <mergeCell ref="W668:AE668"/>
    <mergeCell ref="AF668:AN668"/>
    <mergeCell ref="AF669:AN669"/>
    <mergeCell ref="A675:D675"/>
    <mergeCell ref="E675:V675"/>
    <mergeCell ref="E684:V684"/>
    <mergeCell ref="W684:AE684"/>
    <mergeCell ref="AF684:AN684"/>
    <mergeCell ref="A685:D685"/>
    <mergeCell ref="E685:V685"/>
    <mergeCell ref="W685:AE685"/>
    <mergeCell ref="AF685:AN685"/>
    <mergeCell ref="A686:D686"/>
    <mergeCell ref="E686:V686"/>
    <mergeCell ref="A669:D669"/>
    <mergeCell ref="W669:AE669"/>
    <mergeCell ref="W686:AE686"/>
    <mergeCell ref="A709:D709"/>
    <mergeCell ref="W709:AE709"/>
    <mergeCell ref="AF709:AN709"/>
    <mergeCell ref="A699:D699"/>
    <mergeCell ref="W699:AE699"/>
    <mergeCell ref="AF699:AN699"/>
    <mergeCell ref="A704:D704"/>
    <mergeCell ref="E704:V704"/>
    <mergeCell ref="W704:AE704"/>
    <mergeCell ref="AF704:AN704"/>
    <mergeCell ref="A708:D708"/>
    <mergeCell ref="E708:V708"/>
    <mergeCell ref="W708:AE708"/>
    <mergeCell ref="AF708:AN708"/>
    <mergeCell ref="A707:D707"/>
    <mergeCell ref="E707:V707"/>
    <mergeCell ref="W707:AE707"/>
    <mergeCell ref="AF707:AN707"/>
    <mergeCell ref="W705:AE705"/>
    <mergeCell ref="AF705:AN705"/>
    <mergeCell ref="A728:D728"/>
    <mergeCell ref="E728:V728"/>
    <mergeCell ref="W728:AE728"/>
    <mergeCell ref="AF728:AN728"/>
    <mergeCell ref="A719:AN722"/>
    <mergeCell ref="A727:D727"/>
    <mergeCell ref="E727:V727"/>
    <mergeCell ref="W727:AE727"/>
    <mergeCell ref="AF727:AN727"/>
    <mergeCell ref="A715:D715"/>
    <mergeCell ref="E715:V715"/>
    <mergeCell ref="W715:AE715"/>
    <mergeCell ref="AF715:AN715"/>
    <mergeCell ref="A714:D714"/>
    <mergeCell ref="E714:V714"/>
    <mergeCell ref="W714:AE714"/>
    <mergeCell ref="AF714:AN714"/>
    <mergeCell ref="A733:D733"/>
    <mergeCell ref="E733:V733"/>
    <mergeCell ref="W733:AE733"/>
    <mergeCell ref="AF733:AN733"/>
    <mergeCell ref="A732:D732"/>
    <mergeCell ref="E732:V732"/>
    <mergeCell ref="W732:AE732"/>
    <mergeCell ref="AF732:AN732"/>
    <mergeCell ref="A731:D731"/>
    <mergeCell ref="E731:V731"/>
    <mergeCell ref="W731:AE731"/>
    <mergeCell ref="AF731:AN731"/>
    <mergeCell ref="A730:D730"/>
    <mergeCell ref="E730:V730"/>
    <mergeCell ref="W730:AE730"/>
    <mergeCell ref="AF730:AN730"/>
    <mergeCell ref="A729:D729"/>
    <mergeCell ref="E729:V729"/>
    <mergeCell ref="W729:AE729"/>
    <mergeCell ref="AF729:AN729"/>
    <mergeCell ref="E736:V736"/>
    <mergeCell ref="W736:AE736"/>
    <mergeCell ref="AF736:AN736"/>
    <mergeCell ref="A738:D738"/>
    <mergeCell ref="W738:AE738"/>
    <mergeCell ref="AF738:AN738"/>
    <mergeCell ref="A740:AN743"/>
    <mergeCell ref="A737:D737"/>
    <mergeCell ref="E737:V737"/>
    <mergeCell ref="W737:AE737"/>
    <mergeCell ref="AF737:AN737"/>
    <mergeCell ref="A735:D735"/>
    <mergeCell ref="E735:V735"/>
    <mergeCell ref="W735:AE735"/>
    <mergeCell ref="AF735:AN735"/>
    <mergeCell ref="A736:D736"/>
    <mergeCell ref="A734:D734"/>
    <mergeCell ref="E734:V734"/>
    <mergeCell ref="W734:AE734"/>
    <mergeCell ref="AF734:AN734"/>
    <mergeCell ref="A751:D751"/>
    <mergeCell ref="E751:V751"/>
    <mergeCell ref="W751:AE751"/>
    <mergeCell ref="AF751:AN751"/>
    <mergeCell ref="A750:D750"/>
    <mergeCell ref="E750:V750"/>
    <mergeCell ref="W750:AE750"/>
    <mergeCell ref="AF750:AN750"/>
    <mergeCell ref="A749:D749"/>
    <mergeCell ref="E749:V749"/>
    <mergeCell ref="W749:AE749"/>
    <mergeCell ref="AF749:AN749"/>
    <mergeCell ref="A748:D748"/>
    <mergeCell ref="E748:V748"/>
    <mergeCell ref="W748:AE748"/>
    <mergeCell ref="AF748:AN748"/>
    <mergeCell ref="A747:D747"/>
    <mergeCell ref="E747:V747"/>
    <mergeCell ref="W747:AE747"/>
    <mergeCell ref="AF747:AN747"/>
    <mergeCell ref="A756:D756"/>
    <mergeCell ref="E756:V756"/>
    <mergeCell ref="W756:AE756"/>
    <mergeCell ref="AF756:AN756"/>
    <mergeCell ref="A755:D755"/>
    <mergeCell ref="E755:V755"/>
    <mergeCell ref="W755:AE755"/>
    <mergeCell ref="AF755:AN755"/>
    <mergeCell ref="A754:D754"/>
    <mergeCell ref="E754:V754"/>
    <mergeCell ref="W754:AE754"/>
    <mergeCell ref="AF754:AN754"/>
    <mergeCell ref="A753:D753"/>
    <mergeCell ref="E753:V753"/>
    <mergeCell ref="W753:AE753"/>
    <mergeCell ref="AF753:AN753"/>
    <mergeCell ref="A752:D752"/>
    <mergeCell ref="E752:V752"/>
    <mergeCell ref="W752:AE752"/>
    <mergeCell ref="AF752:AN752"/>
    <mergeCell ref="A769:D769"/>
    <mergeCell ref="E769:V769"/>
    <mergeCell ref="W769:AE769"/>
    <mergeCell ref="AF769:AN769"/>
    <mergeCell ref="A768:D768"/>
    <mergeCell ref="E768:V768"/>
    <mergeCell ref="W768:AE768"/>
    <mergeCell ref="AF768:AN768"/>
    <mergeCell ref="A767:D767"/>
    <mergeCell ref="E767:V767"/>
    <mergeCell ref="W767:AE767"/>
    <mergeCell ref="AF767:AN767"/>
    <mergeCell ref="A766:D766"/>
    <mergeCell ref="E766:V766"/>
    <mergeCell ref="W766:AE766"/>
    <mergeCell ref="AF766:AN766"/>
    <mergeCell ref="A757:D757"/>
    <mergeCell ref="W757:AE757"/>
    <mergeCell ref="AF757:AN757"/>
    <mergeCell ref="A759:AN762"/>
    <mergeCell ref="A774:D774"/>
    <mergeCell ref="E774:V774"/>
    <mergeCell ref="W774:AE774"/>
    <mergeCell ref="AF774:AN774"/>
    <mergeCell ref="A773:D773"/>
    <mergeCell ref="E773:V773"/>
    <mergeCell ref="W773:AE773"/>
    <mergeCell ref="AF773:AN773"/>
    <mergeCell ref="A772:D772"/>
    <mergeCell ref="E772:V772"/>
    <mergeCell ref="W772:AE772"/>
    <mergeCell ref="AF772:AN772"/>
    <mergeCell ref="A771:D771"/>
    <mergeCell ref="E771:V771"/>
    <mergeCell ref="W771:AE771"/>
    <mergeCell ref="AF771:AN771"/>
    <mergeCell ref="A770:D770"/>
    <mergeCell ref="E770:V770"/>
    <mergeCell ref="W770:AE770"/>
    <mergeCell ref="AF770:AN770"/>
    <mergeCell ref="W784:AE784"/>
    <mergeCell ref="AF784:AN784"/>
    <mergeCell ref="A787:D787"/>
    <mergeCell ref="E787:V787"/>
    <mergeCell ref="A790:D790"/>
    <mergeCell ref="W790:AE790"/>
    <mergeCell ref="AF790:AN790"/>
    <mergeCell ref="A775:D775"/>
    <mergeCell ref="W775:AE775"/>
    <mergeCell ref="AF775:AN775"/>
    <mergeCell ref="A777:AN780"/>
    <mergeCell ref="A788:D788"/>
    <mergeCell ref="E788:V788"/>
    <mergeCell ref="W788:AE788"/>
    <mergeCell ref="AF788:AN788"/>
    <mergeCell ref="A784:D784"/>
    <mergeCell ref="E784:V784"/>
    <mergeCell ref="A785:D785"/>
    <mergeCell ref="E785:V785"/>
    <mergeCell ref="W785:AE785"/>
    <mergeCell ref="AF785:AN785"/>
    <mergeCell ref="W787:AE787"/>
    <mergeCell ref="AF787:AN787"/>
    <mergeCell ref="A786:D786"/>
    <mergeCell ref="E786:V786"/>
    <mergeCell ref="A801:D801"/>
    <mergeCell ref="E801:V801"/>
    <mergeCell ref="W801:AE801"/>
    <mergeCell ref="AF801:AN801"/>
    <mergeCell ref="A800:D800"/>
    <mergeCell ref="E800:V800"/>
    <mergeCell ref="W800:AE800"/>
    <mergeCell ref="AF800:AN800"/>
    <mergeCell ref="A799:D799"/>
    <mergeCell ref="E799:V799"/>
    <mergeCell ref="W799:AE799"/>
    <mergeCell ref="AF799:AN799"/>
    <mergeCell ref="A792:AN795"/>
    <mergeCell ref="W786:AE786"/>
    <mergeCell ref="AF786:AN786"/>
    <mergeCell ref="A789:D789"/>
    <mergeCell ref="E789:V789"/>
    <mergeCell ref="W789:AE789"/>
    <mergeCell ref="AF789:AN789"/>
    <mergeCell ref="A814:D814"/>
    <mergeCell ref="E814:V814"/>
    <mergeCell ref="W814:AE814"/>
    <mergeCell ref="AF814:AN814"/>
    <mergeCell ref="A805:D805"/>
    <mergeCell ref="W805:AE805"/>
    <mergeCell ref="AF805:AN805"/>
    <mergeCell ref="A807:AN810"/>
    <mergeCell ref="A804:D804"/>
    <mergeCell ref="E804:V804"/>
    <mergeCell ref="W804:AE804"/>
    <mergeCell ref="AF804:AN804"/>
    <mergeCell ref="A803:D803"/>
    <mergeCell ref="E803:V803"/>
    <mergeCell ref="W803:AE803"/>
    <mergeCell ref="AF803:AN803"/>
    <mergeCell ref="A802:D802"/>
    <mergeCell ref="E802:V802"/>
    <mergeCell ref="W802:AE802"/>
    <mergeCell ref="AF802:AN802"/>
    <mergeCell ref="E819:V819"/>
    <mergeCell ref="A826:AN829"/>
    <mergeCell ref="A823:D823"/>
    <mergeCell ref="E823:V823"/>
    <mergeCell ref="W823:AE823"/>
    <mergeCell ref="AF823:AN823"/>
    <mergeCell ref="AF822:AN822"/>
    <mergeCell ref="A824:D824"/>
    <mergeCell ref="W824:AE824"/>
    <mergeCell ref="A822:D822"/>
    <mergeCell ref="E822:V822"/>
    <mergeCell ref="AF821:AN821"/>
    <mergeCell ref="A820:D820"/>
    <mergeCell ref="E820:V820"/>
    <mergeCell ref="W820:AE820"/>
    <mergeCell ref="AF820:AN820"/>
    <mergeCell ref="A815:D815"/>
    <mergeCell ref="E815:V815"/>
    <mergeCell ref="W815:AE815"/>
    <mergeCell ref="AF815:AN815"/>
    <mergeCell ref="A835:D835"/>
    <mergeCell ref="E835:V835"/>
    <mergeCell ref="W835:AE835"/>
    <mergeCell ref="AF835:AN835"/>
    <mergeCell ref="A834:D834"/>
    <mergeCell ref="E834:V834"/>
    <mergeCell ref="W834:AE834"/>
    <mergeCell ref="AF834:AN834"/>
    <mergeCell ref="AF833:AN833"/>
    <mergeCell ref="AF816:AN816"/>
    <mergeCell ref="AF817:AN817"/>
    <mergeCell ref="AF818:AN818"/>
    <mergeCell ref="AF819:AN819"/>
    <mergeCell ref="W816:AE816"/>
    <mergeCell ref="W817:AE817"/>
    <mergeCell ref="W819:AE819"/>
    <mergeCell ref="W833:AE833"/>
    <mergeCell ref="AF824:AN824"/>
    <mergeCell ref="A833:D833"/>
    <mergeCell ref="E833:V833"/>
    <mergeCell ref="A816:D816"/>
    <mergeCell ref="A817:D817"/>
    <mergeCell ref="A818:D818"/>
    <mergeCell ref="A819:D819"/>
    <mergeCell ref="W822:AE822"/>
    <mergeCell ref="W818:AE818"/>
    <mergeCell ref="A821:D821"/>
    <mergeCell ref="E821:V821"/>
    <mergeCell ref="W821:AE821"/>
    <mergeCell ref="E816:V816"/>
    <mergeCell ref="E817:V817"/>
    <mergeCell ref="E818:V818"/>
    <mergeCell ref="A840:D840"/>
    <mergeCell ref="E840:V840"/>
    <mergeCell ref="W840:AE840"/>
    <mergeCell ref="AF840:AN840"/>
    <mergeCell ref="A839:D839"/>
    <mergeCell ref="E839:V839"/>
    <mergeCell ref="W839:AE839"/>
    <mergeCell ref="AF839:AN839"/>
    <mergeCell ref="A838:D838"/>
    <mergeCell ref="E838:V838"/>
    <mergeCell ref="W838:AE838"/>
    <mergeCell ref="AF838:AN838"/>
    <mergeCell ref="A837:D837"/>
    <mergeCell ref="E837:V837"/>
    <mergeCell ref="W837:AE837"/>
    <mergeCell ref="AF837:AN837"/>
    <mergeCell ref="A836:D836"/>
    <mergeCell ref="E836:V836"/>
    <mergeCell ref="W836:AE836"/>
    <mergeCell ref="AF836:AN836"/>
    <mergeCell ref="A853:D853"/>
    <mergeCell ref="E853:V853"/>
    <mergeCell ref="W853:AE853"/>
    <mergeCell ref="AF853:AN853"/>
    <mergeCell ref="A842:D842"/>
    <mergeCell ref="E842:V842"/>
    <mergeCell ref="W842:AE842"/>
    <mergeCell ref="AF842:AN842"/>
    <mergeCell ref="A844:D844"/>
    <mergeCell ref="W844:AE844"/>
    <mergeCell ref="AF844:AN844"/>
    <mergeCell ref="A846:AN849"/>
    <mergeCell ref="A843:D843"/>
    <mergeCell ref="E843:V843"/>
    <mergeCell ref="W843:AE843"/>
    <mergeCell ref="AF843:AN843"/>
    <mergeCell ref="A841:D841"/>
    <mergeCell ref="E841:V841"/>
    <mergeCell ref="W841:AE841"/>
    <mergeCell ref="AF841:AN841"/>
    <mergeCell ref="A858:D858"/>
    <mergeCell ref="E858:V858"/>
    <mergeCell ref="W858:AE858"/>
    <mergeCell ref="AF858:AN858"/>
    <mergeCell ref="A857:D857"/>
    <mergeCell ref="E857:V857"/>
    <mergeCell ref="W857:AE857"/>
    <mergeCell ref="AF857:AN857"/>
    <mergeCell ref="A856:D856"/>
    <mergeCell ref="E856:V856"/>
    <mergeCell ref="W856:AE856"/>
    <mergeCell ref="AF856:AN856"/>
    <mergeCell ref="A855:D855"/>
    <mergeCell ref="E855:V855"/>
    <mergeCell ref="W855:AE855"/>
    <mergeCell ref="AF855:AN855"/>
    <mergeCell ref="A854:D854"/>
    <mergeCell ref="E854:V854"/>
    <mergeCell ref="W854:AE854"/>
    <mergeCell ref="AF854:AN854"/>
    <mergeCell ref="S943:AA943"/>
    <mergeCell ref="AB943:AJ943"/>
    <mergeCell ref="A917:R917"/>
    <mergeCell ref="S917:AA917"/>
    <mergeCell ref="AB917:AJ917"/>
    <mergeCell ref="A918:R918"/>
    <mergeCell ref="A861:D861"/>
    <mergeCell ref="E861:V861"/>
    <mergeCell ref="W861:AE861"/>
    <mergeCell ref="AF861:AN861"/>
    <mergeCell ref="A860:D860"/>
    <mergeCell ref="E860:V860"/>
    <mergeCell ref="W860:AE860"/>
    <mergeCell ref="AF860:AN860"/>
    <mergeCell ref="A859:D859"/>
    <mergeCell ref="E859:V859"/>
    <mergeCell ref="W859:AE859"/>
    <mergeCell ref="AF859:AN859"/>
    <mergeCell ref="S909:AA909"/>
    <mergeCell ref="AB909:AJ909"/>
    <mergeCell ref="A928:R928"/>
    <mergeCell ref="S928:AA928"/>
    <mergeCell ref="AB928:AJ928"/>
    <mergeCell ref="A929:R929"/>
    <mergeCell ref="S929:AA929"/>
    <mergeCell ref="AB929:AJ929"/>
    <mergeCell ref="A930:R930"/>
    <mergeCell ref="S930:AA930"/>
    <mergeCell ref="AB930:AJ930"/>
    <mergeCell ref="A874:D874"/>
    <mergeCell ref="E874:V874"/>
    <mergeCell ref="W874:AE874"/>
    <mergeCell ref="AF874:AN874"/>
    <mergeCell ref="A873:D873"/>
    <mergeCell ref="E873:V873"/>
    <mergeCell ref="W873:AE873"/>
    <mergeCell ref="AF873:AN873"/>
    <mergeCell ref="A872:D872"/>
    <mergeCell ref="E872:V872"/>
    <mergeCell ref="W872:AE872"/>
    <mergeCell ref="AF872:AN872"/>
    <mergeCell ref="A871:D871"/>
    <mergeCell ref="E871:V871"/>
    <mergeCell ref="W871:AE871"/>
    <mergeCell ref="AF871:AN871"/>
    <mergeCell ref="A862:D862"/>
    <mergeCell ref="W862:AE862"/>
    <mergeCell ref="AF862:AN862"/>
    <mergeCell ref="A864:AN867"/>
    <mergeCell ref="A942:R942"/>
    <mergeCell ref="S942:AA942"/>
    <mergeCell ref="AB942:AJ942"/>
    <mergeCell ref="A877:D877"/>
    <mergeCell ref="E877:V877"/>
    <mergeCell ref="W877:AE877"/>
    <mergeCell ref="AF877:AN877"/>
    <mergeCell ref="S918:AA918"/>
    <mergeCell ref="AB918:AJ918"/>
    <mergeCell ref="A919:R919"/>
    <mergeCell ref="A876:D876"/>
    <mergeCell ref="E876:V876"/>
    <mergeCell ref="W876:AE876"/>
    <mergeCell ref="AF876:AN876"/>
    <mergeCell ref="A875:D875"/>
    <mergeCell ref="E875:V875"/>
    <mergeCell ref="W875:AE875"/>
    <mergeCell ref="AF875:AN875"/>
    <mergeCell ref="A888:D888"/>
    <mergeCell ref="E888:V888"/>
    <mergeCell ref="W888:AE888"/>
    <mergeCell ref="AF888:AN888"/>
    <mergeCell ref="A887:D887"/>
    <mergeCell ref="E887:V887"/>
    <mergeCell ref="W887:AE887"/>
    <mergeCell ref="AF887:AN887"/>
    <mergeCell ref="A878:D878"/>
    <mergeCell ref="W878:AE878"/>
    <mergeCell ref="AF878:AN878"/>
    <mergeCell ref="A880:AN883"/>
    <mergeCell ref="A941:R941"/>
    <mergeCell ref="S941:AA941"/>
    <mergeCell ref="AB941:AJ941"/>
    <mergeCell ref="A908:R908"/>
    <mergeCell ref="S908:AA908"/>
    <mergeCell ref="AB908:AJ908"/>
    <mergeCell ref="S919:AA919"/>
    <mergeCell ref="AB919:AJ919"/>
    <mergeCell ref="S920:AA920"/>
    <mergeCell ref="AB920:AJ920"/>
    <mergeCell ref="A892:D892"/>
    <mergeCell ref="E892:V892"/>
    <mergeCell ref="W892:AE892"/>
    <mergeCell ref="AF892:AN892"/>
    <mergeCell ref="A907:R907"/>
    <mergeCell ref="S907:AA907"/>
    <mergeCell ref="AB907:AJ907"/>
    <mergeCell ref="A891:D891"/>
    <mergeCell ref="E891:V891"/>
    <mergeCell ref="W891:AE891"/>
    <mergeCell ref="AF891:AN891"/>
    <mergeCell ref="AF895:AN895"/>
    <mergeCell ref="A897:AN900"/>
    <mergeCell ref="A906:R906"/>
    <mergeCell ref="S906:AA906"/>
    <mergeCell ref="AB906:AJ906"/>
    <mergeCell ref="A940:R940"/>
    <mergeCell ref="S940:AA940"/>
    <mergeCell ref="AB940:AJ940"/>
    <mergeCell ref="A890:D890"/>
    <mergeCell ref="E890:V890"/>
    <mergeCell ref="W890:AE890"/>
    <mergeCell ref="AF890:AN890"/>
    <mergeCell ref="A889:D889"/>
    <mergeCell ref="E889:V889"/>
    <mergeCell ref="W889:AE889"/>
    <mergeCell ref="AF889:AN889"/>
    <mergeCell ref="A955:R955"/>
    <mergeCell ref="S955:AA955"/>
    <mergeCell ref="AB955:AJ955"/>
    <mergeCell ref="S956:AA956"/>
    <mergeCell ref="AB956:AJ956"/>
    <mergeCell ref="A964:R964"/>
    <mergeCell ref="S964:AA964"/>
    <mergeCell ref="AB964:AJ964"/>
    <mergeCell ref="A953:R953"/>
    <mergeCell ref="S953:AA953"/>
    <mergeCell ref="AB953:AJ953"/>
    <mergeCell ref="A954:R954"/>
    <mergeCell ref="S954:AA954"/>
    <mergeCell ref="AB954:AJ954"/>
    <mergeCell ref="W893:AE893"/>
    <mergeCell ref="W894:AE894"/>
    <mergeCell ref="AF893:AN893"/>
    <mergeCell ref="AF894:AN894"/>
    <mergeCell ref="A893:D893"/>
    <mergeCell ref="A894:D894"/>
    <mergeCell ref="E893:V893"/>
    <mergeCell ref="E894:V894"/>
    <mergeCell ref="A895:D895"/>
    <mergeCell ref="W895:AE895"/>
    <mergeCell ref="A977:R977"/>
    <mergeCell ref="S977:AA977"/>
    <mergeCell ref="AB977:AJ977"/>
    <mergeCell ref="S978:AA978"/>
    <mergeCell ref="AB978:AJ978"/>
    <mergeCell ref="A986:R986"/>
    <mergeCell ref="S986:AA986"/>
    <mergeCell ref="AB986:AJ986"/>
    <mergeCell ref="S967:AA967"/>
    <mergeCell ref="AB967:AJ967"/>
    <mergeCell ref="A975:R975"/>
    <mergeCell ref="S975:AA975"/>
    <mergeCell ref="AB975:AJ975"/>
    <mergeCell ref="A976:R976"/>
    <mergeCell ref="S976:AA976"/>
    <mergeCell ref="AB976:AJ976"/>
    <mergeCell ref="A965:R965"/>
    <mergeCell ref="S965:AA965"/>
    <mergeCell ref="AB965:AJ965"/>
    <mergeCell ref="A966:R966"/>
    <mergeCell ref="S966:AA966"/>
    <mergeCell ref="AB966:AJ966"/>
    <mergeCell ref="A998:R998"/>
    <mergeCell ref="S998:AA998"/>
    <mergeCell ref="AB998:AJ998"/>
    <mergeCell ref="S999:AA999"/>
    <mergeCell ref="AB999:AJ999"/>
    <mergeCell ref="A1009:R1009"/>
    <mergeCell ref="S1009:AA1009"/>
    <mergeCell ref="AB1009:AJ1009"/>
    <mergeCell ref="S989:AA989"/>
    <mergeCell ref="AB989:AJ989"/>
    <mergeCell ref="A996:R996"/>
    <mergeCell ref="S996:AA996"/>
    <mergeCell ref="AB996:AJ996"/>
    <mergeCell ref="A997:R997"/>
    <mergeCell ref="S997:AA997"/>
    <mergeCell ref="AB997:AJ997"/>
    <mergeCell ref="A987:R987"/>
    <mergeCell ref="S987:AA987"/>
    <mergeCell ref="AB987:AJ987"/>
    <mergeCell ref="A988:R988"/>
    <mergeCell ref="S988:AA988"/>
    <mergeCell ref="AB988:AJ988"/>
    <mergeCell ref="A1021:R1021"/>
    <mergeCell ref="S1021:AA1021"/>
    <mergeCell ref="AB1021:AJ1021"/>
    <mergeCell ref="S1022:AA1022"/>
    <mergeCell ref="AB1022:AJ1022"/>
    <mergeCell ref="A1029:R1029"/>
    <mergeCell ref="S1029:AA1029"/>
    <mergeCell ref="AB1029:AJ1029"/>
    <mergeCell ref="S1012:AA1012"/>
    <mergeCell ref="AB1012:AJ1012"/>
    <mergeCell ref="A1019:R1019"/>
    <mergeCell ref="S1019:AA1019"/>
    <mergeCell ref="AB1019:AJ1019"/>
    <mergeCell ref="A1020:R1020"/>
    <mergeCell ref="S1020:AA1020"/>
    <mergeCell ref="AB1020:AJ1020"/>
    <mergeCell ref="A1010:R1010"/>
    <mergeCell ref="S1010:AA1010"/>
    <mergeCell ref="AB1010:AJ1010"/>
    <mergeCell ref="A1011:R1011"/>
    <mergeCell ref="S1011:AA1011"/>
    <mergeCell ref="AB1011:AJ1011"/>
    <mergeCell ref="A1043:R1043"/>
    <mergeCell ref="S1043:AA1043"/>
    <mergeCell ref="AB1043:AJ1043"/>
    <mergeCell ref="S1044:AA1044"/>
    <mergeCell ref="AB1044:AJ1044"/>
    <mergeCell ref="A1050:R1050"/>
    <mergeCell ref="S1050:AA1050"/>
    <mergeCell ref="AB1050:AJ1050"/>
    <mergeCell ref="S1032:AA1032"/>
    <mergeCell ref="AB1032:AJ1032"/>
    <mergeCell ref="A1041:R1041"/>
    <mergeCell ref="S1041:AA1041"/>
    <mergeCell ref="AB1041:AJ1041"/>
    <mergeCell ref="A1042:R1042"/>
    <mergeCell ref="S1042:AA1042"/>
    <mergeCell ref="AB1042:AJ1042"/>
    <mergeCell ref="A1030:R1030"/>
    <mergeCell ref="S1030:AA1030"/>
    <mergeCell ref="AB1030:AJ1030"/>
    <mergeCell ref="A1031:R1031"/>
    <mergeCell ref="S1031:AA1031"/>
    <mergeCell ref="AB1031:AJ1031"/>
    <mergeCell ref="A1063:R1063"/>
    <mergeCell ref="S1063:AA1063"/>
    <mergeCell ref="AB1063:AJ1063"/>
    <mergeCell ref="S1064:AA1064"/>
    <mergeCell ref="AB1064:AJ1064"/>
    <mergeCell ref="S1053:AA1053"/>
    <mergeCell ref="AB1053:AJ1053"/>
    <mergeCell ref="A1061:R1061"/>
    <mergeCell ref="S1061:AA1061"/>
    <mergeCell ref="AB1061:AJ1061"/>
    <mergeCell ref="A1062:R1062"/>
    <mergeCell ref="S1062:AA1062"/>
    <mergeCell ref="AB1062:AJ1062"/>
    <mergeCell ref="A1051:R1051"/>
    <mergeCell ref="S1051:AA1051"/>
    <mergeCell ref="AB1051:AJ1051"/>
    <mergeCell ref="A1052:R1052"/>
    <mergeCell ref="S1052:AA1052"/>
    <mergeCell ref="AB1052:AJ1052"/>
  </mergeCells>
  <phoneticPr fontId="0" type="noConversion"/>
  <pageMargins left="0.35433070866141736" right="0.23622047244094491" top="0.47244094488188981" bottom="0.35433070866141736" header="0.31496062992125984" footer="0.19685039370078741"/>
  <pageSetup paperSize="9" scale="95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11"/>
  </sheetPr>
  <dimension ref="A1:BA197"/>
  <sheetViews>
    <sheetView showGridLines="0" topLeftCell="A146" workbookViewId="0">
      <selection activeCell="AR149" sqref="AR149:BA149"/>
    </sheetView>
  </sheetViews>
  <sheetFormatPr defaultColWidth="2.7109375" defaultRowHeight="15.75" customHeight="1"/>
  <cols>
    <col min="1" max="16384" width="2.7109375" style="349"/>
  </cols>
  <sheetData>
    <row r="1" spans="1:53" s="847" customFormat="1" ht="15.75" customHeight="1">
      <c r="A1" s="846" t="s">
        <v>179</v>
      </c>
      <c r="AW1" s="332" t="s">
        <v>2427</v>
      </c>
    </row>
    <row r="2" spans="1:53" s="847" customFormat="1" ht="15.75" customHeight="1">
      <c r="A2" s="1719">
        <f>FirmaNaziv</f>
        <v>0</v>
      </c>
      <c r="B2" s="1719"/>
      <c r="C2" s="1719"/>
      <c r="D2" s="1719"/>
      <c r="E2" s="1719"/>
      <c r="F2" s="1719"/>
      <c r="G2" s="1719"/>
      <c r="H2" s="1719"/>
      <c r="I2" s="1719"/>
      <c r="J2" s="1719"/>
      <c r="K2" s="1719"/>
      <c r="L2" s="1719"/>
      <c r="M2" s="1719"/>
      <c r="N2" s="1719"/>
      <c r="O2" s="1719"/>
      <c r="P2" s="1719"/>
      <c r="Q2" s="1719"/>
      <c r="R2" s="1719"/>
      <c r="S2" s="1719"/>
      <c r="T2" s="1719"/>
      <c r="U2" s="1719"/>
      <c r="V2" s="1719"/>
      <c r="W2" s="1719"/>
    </row>
    <row r="3" spans="1:53" s="847" customFormat="1" ht="15.75" customHeight="1">
      <c r="A3" s="1720" t="s">
        <v>180</v>
      </c>
      <c r="B3" s="1720"/>
      <c r="C3" s="1720"/>
      <c r="D3" s="1720"/>
      <c r="E3" s="1720"/>
      <c r="F3" s="1720"/>
      <c r="G3" s="1720"/>
      <c r="H3" s="1720"/>
      <c r="I3" s="1720"/>
      <c r="J3" s="1720"/>
      <c r="K3" s="1720"/>
      <c r="L3" s="1720"/>
      <c r="M3" s="1720"/>
      <c r="N3" s="1720"/>
      <c r="O3" s="1720"/>
      <c r="P3" s="1720"/>
      <c r="Q3" s="1720"/>
      <c r="R3" s="1720"/>
      <c r="S3" s="1720"/>
      <c r="T3" s="1720"/>
      <c r="U3" s="1720"/>
      <c r="V3" s="1720"/>
      <c r="W3" s="1720"/>
      <c r="AO3" s="845" t="str">
        <f>MID(FirmaID,1,1)</f>
        <v/>
      </c>
      <c r="AP3" s="845" t="str">
        <f>MID(FirmaID,2,1)</f>
        <v/>
      </c>
      <c r="AQ3" s="845" t="str">
        <f>MID(FirmaID,3,1)</f>
        <v/>
      </c>
      <c r="AR3" s="845" t="str">
        <f>MID(FirmaID,4,1)</f>
        <v/>
      </c>
      <c r="AS3" s="845" t="str">
        <f>MID(FirmaID,5,1)</f>
        <v/>
      </c>
      <c r="AT3" s="845" t="str">
        <f>MID(FirmaID,6,1)</f>
        <v/>
      </c>
      <c r="AU3" s="845" t="str">
        <f>MID(FirmaID,7,1)</f>
        <v/>
      </c>
      <c r="AV3" s="845" t="str">
        <f>MID(FirmaID,8,1)</f>
        <v/>
      </c>
      <c r="AW3" s="845" t="str">
        <f>MID(FirmaID,9,1)</f>
        <v/>
      </c>
      <c r="AX3" s="845" t="str">
        <f>MID(FirmaID,10,1)</f>
        <v/>
      </c>
      <c r="AY3" s="845" t="str">
        <f>MID(FirmaID,11,1)</f>
        <v/>
      </c>
      <c r="AZ3" s="845" t="str">
        <f>MID(FirmaID,12,1)</f>
        <v/>
      </c>
      <c r="BA3" s="845" t="str">
        <f>MID(FirmaID,13,1)</f>
        <v/>
      </c>
    </row>
    <row r="4" spans="1:53" s="847" customFormat="1" ht="15.75" customHeight="1">
      <c r="A4" s="1721" t="str">
        <f>FirmaSjediste &amp; ", " &amp; FirmaAdresa</f>
        <v xml:space="preserve">, </v>
      </c>
      <c r="B4" s="1721"/>
      <c r="C4" s="1721"/>
      <c r="D4" s="1721"/>
      <c r="E4" s="1721"/>
      <c r="F4" s="1721"/>
      <c r="G4" s="1721"/>
      <c r="H4" s="1721"/>
      <c r="I4" s="1721"/>
      <c r="J4" s="1721"/>
      <c r="K4" s="1721"/>
      <c r="L4" s="1721"/>
      <c r="M4" s="1721"/>
      <c r="N4" s="1721"/>
      <c r="O4" s="1721"/>
      <c r="P4" s="1721"/>
      <c r="Q4" s="1721"/>
      <c r="R4" s="1721"/>
      <c r="S4" s="1721"/>
      <c r="T4" s="1721"/>
      <c r="U4" s="1721"/>
      <c r="V4" s="1721"/>
      <c r="W4" s="1721"/>
      <c r="BA4" s="321" t="s">
        <v>498</v>
      </c>
    </row>
    <row r="5" spans="1:53" s="847" customFormat="1" ht="15.75" customHeight="1">
      <c r="A5" s="1720" t="s">
        <v>159</v>
      </c>
      <c r="B5" s="1720"/>
      <c r="C5" s="1720"/>
      <c r="D5" s="1720"/>
      <c r="E5" s="1720"/>
      <c r="F5" s="1720"/>
      <c r="G5" s="1720"/>
      <c r="H5" s="1720"/>
      <c r="I5" s="1720"/>
      <c r="J5" s="1720"/>
      <c r="K5" s="1720"/>
      <c r="L5" s="1720"/>
      <c r="M5" s="1720"/>
      <c r="N5" s="1720"/>
      <c r="O5" s="1720"/>
      <c r="P5" s="1720"/>
      <c r="Q5" s="1720"/>
      <c r="R5" s="1720"/>
      <c r="S5" s="1720"/>
      <c r="T5" s="1720"/>
      <c r="U5" s="1720"/>
      <c r="V5" s="1720"/>
      <c r="W5" s="1720"/>
      <c r="AP5" s="845" t="str">
        <f>MID(FirmaPDV,1,1)</f>
        <v/>
      </c>
      <c r="AQ5" s="845" t="str">
        <f>MID(FirmaPDV,2,1)</f>
        <v/>
      </c>
      <c r="AR5" s="845" t="str">
        <f>MID(FirmaPDV,3,1)</f>
        <v/>
      </c>
      <c r="AS5" s="845" t="str">
        <f>MID(FirmaPDV,4,1)</f>
        <v/>
      </c>
      <c r="AT5" s="845" t="str">
        <f>MID(FirmaPDV,5,1)</f>
        <v/>
      </c>
      <c r="AU5" s="845" t="str">
        <f>MID(FirmaPDV,6,1)</f>
        <v/>
      </c>
      <c r="AV5" s="845" t="str">
        <f>MID(FirmaPDV,7,1)</f>
        <v/>
      </c>
      <c r="AW5" s="845" t="str">
        <f>MID(FirmaPDV,8,1)</f>
        <v/>
      </c>
      <c r="AX5" s="845" t="str">
        <f>MID(FirmaPDV,9,1)</f>
        <v/>
      </c>
      <c r="AY5" s="845" t="str">
        <f>MID(FirmaPDV,10,1)</f>
        <v/>
      </c>
      <c r="AZ5" s="845" t="str">
        <f>MID(FirmaPDV,11,1)</f>
        <v/>
      </c>
      <c r="BA5" s="845" t="str">
        <f>MID(FirmaPDV,12,1)</f>
        <v/>
      </c>
    </row>
    <row r="6" spans="1:53" s="847" customFormat="1" ht="15.75" customHeight="1">
      <c r="A6" s="1719">
        <f>FirmaDjeNaziv</f>
        <v>0</v>
      </c>
      <c r="B6" s="1719"/>
      <c r="C6" s="1719"/>
      <c r="D6" s="1719"/>
      <c r="E6" s="1719"/>
      <c r="F6" s="1719"/>
      <c r="G6" s="1719"/>
      <c r="H6" s="1719"/>
      <c r="I6" s="1719"/>
      <c r="J6" s="1719"/>
      <c r="K6" s="1719"/>
      <c r="L6" s="1719"/>
      <c r="M6" s="1719"/>
      <c r="N6" s="1719"/>
      <c r="O6" s="1719"/>
      <c r="P6" s="1719"/>
      <c r="Q6" s="1719"/>
      <c r="R6" s="1719"/>
      <c r="S6" s="1719"/>
      <c r="T6" s="1719"/>
      <c r="U6" s="1719"/>
      <c r="V6" s="1719"/>
      <c r="W6" s="1719"/>
      <c r="BA6" s="321" t="s">
        <v>2267</v>
      </c>
    </row>
    <row r="7" spans="1:53" s="847" customFormat="1" ht="15.75" customHeight="1">
      <c r="A7" s="1720" t="s">
        <v>1496</v>
      </c>
      <c r="B7" s="1720"/>
      <c r="C7" s="1720"/>
      <c r="D7" s="1720"/>
      <c r="E7" s="1720"/>
      <c r="F7" s="1720"/>
      <c r="G7" s="1720"/>
      <c r="H7" s="1720"/>
      <c r="I7" s="1720"/>
      <c r="J7" s="1720"/>
      <c r="K7" s="1720"/>
      <c r="L7" s="1720"/>
      <c r="M7" s="1720"/>
      <c r="N7" s="1720"/>
      <c r="O7" s="1720"/>
      <c r="P7" s="1720"/>
      <c r="Q7" s="1720"/>
      <c r="R7" s="1720"/>
      <c r="S7" s="1720"/>
      <c r="T7" s="1720"/>
      <c r="U7" s="1720"/>
      <c r="V7" s="1720"/>
      <c r="W7" s="1720"/>
      <c r="AW7" s="845" t="str">
        <f>MID(FirmaDjeSifra,1,1)</f>
        <v/>
      </c>
      <c r="AX7" s="845" t="str">
        <f>MID(FirmaDjeSifra,2,1)</f>
        <v/>
      </c>
      <c r="AY7" s="845" t="str">
        <f>MID(FirmaDjeSifra,3,1)</f>
        <v/>
      </c>
      <c r="AZ7" s="845" t="str">
        <f>MID(FirmaDjeSifra,4,1)</f>
        <v/>
      </c>
      <c r="BA7" s="845" t="str">
        <f>MID(FirmaDjeSifra,5,1)</f>
        <v/>
      </c>
    </row>
    <row r="8" spans="1:53" s="847" customFormat="1" ht="12.75" customHeight="1">
      <c r="BA8" s="321" t="s">
        <v>1452</v>
      </c>
    </row>
    <row r="9" spans="1:53" s="847" customFormat="1" ht="15.75" customHeight="1">
      <c r="AY9" s="845" t="str">
        <f>MID(FirmaOpcina,1,1)</f>
        <v/>
      </c>
      <c r="AZ9" s="845" t="str">
        <f>MID(FirmaOpcina,2,1)</f>
        <v/>
      </c>
      <c r="BA9" s="845" t="str">
        <f>MID(FirmaOpcina,3,1)</f>
        <v/>
      </c>
    </row>
    <row r="10" spans="1:53" s="847" customFormat="1" ht="13.5" customHeight="1">
      <c r="BA10" s="321" t="s">
        <v>158</v>
      </c>
    </row>
    <row r="11" spans="1:53" s="847" customFormat="1" ht="14.25" customHeight="1">
      <c r="A11" s="846" t="s">
        <v>1564</v>
      </c>
    </row>
    <row r="12" spans="1:53" s="847" customFormat="1" ht="5.25" customHeight="1"/>
    <row r="13" spans="1:53" ht="15.75" customHeight="1">
      <c r="A13" s="1708">
        <f>FirmaBanka1</f>
        <v>0</v>
      </c>
      <c r="B13" s="1708"/>
      <c r="C13" s="1708"/>
      <c r="D13" s="1708"/>
      <c r="E13" s="1708"/>
      <c r="F13" s="1708"/>
      <c r="G13" s="1708"/>
      <c r="H13" s="1708"/>
      <c r="I13" s="1708"/>
      <c r="J13" s="1708"/>
      <c r="K13" s="1708"/>
      <c r="L13" s="1708"/>
      <c r="M13" s="1708"/>
      <c r="N13" s="1708"/>
      <c r="O13" s="1708"/>
      <c r="P13" s="1708"/>
      <c r="S13" s="1708">
        <f>FirmaBanka2</f>
        <v>0</v>
      </c>
      <c r="T13" s="1708"/>
      <c r="U13" s="1708"/>
      <c r="V13" s="1708"/>
      <c r="W13" s="1708"/>
      <c r="X13" s="1708"/>
      <c r="Y13" s="1708"/>
      <c r="Z13" s="1708"/>
      <c r="AA13" s="1708"/>
      <c r="AB13" s="1708"/>
      <c r="AC13" s="1708"/>
      <c r="AD13" s="1708"/>
      <c r="AE13" s="1708"/>
      <c r="AF13" s="1708"/>
      <c r="AG13" s="1708"/>
      <c r="AH13" s="1708"/>
      <c r="AK13" s="1708">
        <f>FirmaBanka3</f>
        <v>0</v>
      </c>
      <c r="AL13" s="1708"/>
      <c r="AM13" s="1708"/>
      <c r="AN13" s="1708"/>
      <c r="AO13" s="1708"/>
      <c r="AP13" s="1708"/>
      <c r="AQ13" s="1708"/>
      <c r="AR13" s="1708"/>
      <c r="AS13" s="1708"/>
      <c r="AT13" s="1708"/>
      <c r="AU13" s="1708"/>
      <c r="AV13" s="1708"/>
      <c r="AW13" s="1708"/>
      <c r="AX13" s="1708"/>
      <c r="AY13" s="1708"/>
      <c r="AZ13" s="1708"/>
    </row>
    <row r="14" spans="1:53" ht="11.25" customHeight="1">
      <c r="A14" s="1718" t="s">
        <v>160</v>
      </c>
      <c r="B14" s="1718"/>
      <c r="C14" s="1718"/>
      <c r="D14" s="1718"/>
      <c r="E14" s="1718"/>
      <c r="F14" s="1718"/>
      <c r="G14" s="1718"/>
      <c r="H14" s="1718"/>
      <c r="I14" s="1718"/>
      <c r="J14" s="1718"/>
      <c r="K14" s="1718"/>
      <c r="L14" s="1718"/>
      <c r="M14" s="1718"/>
      <c r="N14" s="1718"/>
      <c r="O14" s="1718"/>
      <c r="P14" s="1718"/>
      <c r="S14" s="1718" t="s">
        <v>160</v>
      </c>
      <c r="T14" s="1718"/>
      <c r="U14" s="1718"/>
      <c r="V14" s="1718"/>
      <c r="W14" s="1718"/>
      <c r="X14" s="1718"/>
      <c r="Y14" s="1718"/>
      <c r="Z14" s="1718"/>
      <c r="AA14" s="1718"/>
      <c r="AB14" s="1718"/>
      <c r="AC14" s="1718"/>
      <c r="AD14" s="1718"/>
      <c r="AE14" s="1718"/>
      <c r="AF14" s="1718"/>
      <c r="AG14" s="1718"/>
      <c r="AH14" s="1718"/>
      <c r="AK14" s="1718" t="s">
        <v>160</v>
      </c>
      <c r="AL14" s="1718"/>
      <c r="AM14" s="1718"/>
      <c r="AN14" s="1718"/>
      <c r="AO14" s="1718"/>
      <c r="AP14" s="1718"/>
      <c r="AQ14" s="1718"/>
      <c r="AR14" s="1718"/>
      <c r="AS14" s="1718"/>
      <c r="AT14" s="1718"/>
      <c r="AU14" s="1718"/>
      <c r="AV14" s="1718"/>
      <c r="AW14" s="1718"/>
      <c r="AX14" s="1718"/>
      <c r="AY14" s="1718"/>
      <c r="AZ14" s="1718"/>
    </row>
    <row r="15" spans="1:53" ht="15.75" customHeight="1">
      <c r="A15" s="845" t="str">
        <f>MID(FirmaRacun1,1,1)</f>
        <v/>
      </c>
      <c r="B15" s="845" t="str">
        <f>MID(FirmaRacun1,2,1)</f>
        <v/>
      </c>
      <c r="C15" s="845" t="str">
        <f>MID(FirmaRacun1,3,1)</f>
        <v/>
      </c>
      <c r="D15" s="845" t="str">
        <f>MID(FirmaRacun1,4,1)</f>
        <v/>
      </c>
      <c r="E15" s="845" t="str">
        <f>MID(FirmaRacun1,5,1)</f>
        <v/>
      </c>
      <c r="F15" s="845" t="str">
        <f>MID(FirmaRacun1,6,1)</f>
        <v/>
      </c>
      <c r="G15" s="845" t="str">
        <f>MID(FirmaRacun1,7,1)</f>
        <v/>
      </c>
      <c r="H15" s="845" t="str">
        <f>MID(FirmaRacun1,8,1)</f>
        <v/>
      </c>
      <c r="I15" s="845" t="str">
        <f>MID(FirmaRacun1,9,1)</f>
        <v/>
      </c>
      <c r="J15" s="845" t="str">
        <f>MID(FirmaRacun1,10,1)</f>
        <v/>
      </c>
      <c r="K15" s="845" t="str">
        <f>MID(FirmaRacun1,11,1)</f>
        <v/>
      </c>
      <c r="L15" s="845" t="str">
        <f>MID(FirmaRacun1,12,1)</f>
        <v/>
      </c>
      <c r="M15" s="845" t="str">
        <f>MID(FirmaRacun1,13,1)</f>
        <v/>
      </c>
      <c r="N15" s="845" t="str">
        <f>MID(FirmaRacun1,14,1)</f>
        <v/>
      </c>
      <c r="O15" s="845" t="str">
        <f>MID(FirmaRacun1,15,1)</f>
        <v/>
      </c>
      <c r="P15" s="845" t="str">
        <f>MID(FirmaRacun1,16,1)</f>
        <v/>
      </c>
      <c r="S15" s="845" t="str">
        <f>MID(FirmaRacun2,1,1)</f>
        <v/>
      </c>
      <c r="T15" s="845" t="str">
        <f>MID(FirmaRacun2,2,1)</f>
        <v/>
      </c>
      <c r="U15" s="845" t="str">
        <f>MID(FirmaRacun2,3,1)</f>
        <v/>
      </c>
      <c r="V15" s="845" t="str">
        <f>MID(FirmaRacun2,4,1)</f>
        <v/>
      </c>
      <c r="W15" s="845" t="str">
        <f>MID(FirmaRacun2,5,1)</f>
        <v/>
      </c>
      <c r="X15" s="845" t="str">
        <f>MID(FirmaRacun2,6,1)</f>
        <v/>
      </c>
      <c r="Y15" s="845" t="str">
        <f>MID(FirmaRacun2,7,1)</f>
        <v/>
      </c>
      <c r="Z15" s="845" t="str">
        <f>MID(FirmaRacun2,8,1)</f>
        <v/>
      </c>
      <c r="AA15" s="845" t="str">
        <f>MID(FirmaRacun2,9,1)</f>
        <v/>
      </c>
      <c r="AB15" s="845" t="str">
        <f>MID(FirmaRacun2,10,1)</f>
        <v/>
      </c>
      <c r="AC15" s="845" t="str">
        <f>MID(FirmaRacun2,11,1)</f>
        <v/>
      </c>
      <c r="AD15" s="845" t="str">
        <f>MID(FirmaRacun2,12,1)</f>
        <v/>
      </c>
      <c r="AE15" s="845" t="str">
        <f>MID(FirmaRacun2,13,1)</f>
        <v/>
      </c>
      <c r="AF15" s="845" t="str">
        <f>MID(FirmaRacun2,14,1)</f>
        <v/>
      </c>
      <c r="AG15" s="845" t="str">
        <f>MID(FirmaRacun2,15,1)</f>
        <v/>
      </c>
      <c r="AH15" s="845" t="str">
        <f>MID(FirmaRacun2,16,1)</f>
        <v/>
      </c>
      <c r="AK15" s="845" t="str">
        <f>MID(FirmaRacun3,1,1)</f>
        <v/>
      </c>
      <c r="AL15" s="845" t="str">
        <f>MID(FirmaRacun3,2,1)</f>
        <v/>
      </c>
      <c r="AM15" s="845" t="str">
        <f>MID(FirmaRacun3,3,1)</f>
        <v/>
      </c>
      <c r="AN15" s="845" t="str">
        <f>MID(FirmaRacun3,4,1)</f>
        <v/>
      </c>
      <c r="AO15" s="845" t="str">
        <f>MID(FirmaRacun3,5,1)</f>
        <v/>
      </c>
      <c r="AP15" s="845" t="str">
        <f>MID(FirmaRacun3,6,1)</f>
        <v/>
      </c>
      <c r="AQ15" s="845" t="str">
        <f>MID(FirmaRacun3,7,1)</f>
        <v/>
      </c>
      <c r="AR15" s="845" t="str">
        <f>MID(FirmaRacun3,8,1)</f>
        <v/>
      </c>
      <c r="AS15" s="845" t="str">
        <f>MID(FirmaRacun3,9,1)</f>
        <v/>
      </c>
      <c r="AT15" s="845" t="str">
        <f>MID(FirmaRacun3,10,1)</f>
        <v/>
      </c>
      <c r="AU15" s="845" t="str">
        <f>MID(FirmaRacun3,11,1)</f>
        <v/>
      </c>
      <c r="AV15" s="845" t="str">
        <f>MID(FirmaRacun3,12,1)</f>
        <v/>
      </c>
      <c r="AW15" s="845" t="str">
        <f>MID(FirmaRacun3,13,1)</f>
        <v/>
      </c>
      <c r="AX15" s="845" t="str">
        <f>MID(FirmaRacun3,14,1)</f>
        <v/>
      </c>
      <c r="AY15" s="845" t="str">
        <f>MID(FirmaRacun3,15,1)</f>
        <v/>
      </c>
      <c r="AZ15" s="845" t="str">
        <f>MID(FirmaRacun3,16,1)</f>
        <v/>
      </c>
    </row>
    <row r="17" spans="1:53" ht="15.75" customHeight="1">
      <c r="T17" s="1717" t="s">
        <v>442</v>
      </c>
      <c r="U17" s="1717"/>
      <c r="V17" s="1717"/>
      <c r="W17" s="1717"/>
      <c r="X17" s="1717"/>
      <c r="Y17" s="1717"/>
      <c r="Z17" s="1717"/>
      <c r="AA17" s="1717"/>
      <c r="AB17" s="1717"/>
      <c r="AC17" s="1717"/>
      <c r="AD17" s="1717"/>
      <c r="AE17" s="1717"/>
      <c r="AF17" s="1717"/>
      <c r="AG17" s="1717"/>
      <c r="AN17" s="1711" t="s">
        <v>808</v>
      </c>
      <c r="AO17" s="1712"/>
      <c r="AP17" s="1712"/>
      <c r="AQ17" s="1712"/>
      <c r="AR17" s="1712"/>
      <c r="AS17" s="1712"/>
      <c r="AT17" s="1712"/>
      <c r="AU17" s="1712"/>
      <c r="AV17" s="1712"/>
      <c r="AW17" s="1712"/>
      <c r="AX17" s="1712"/>
      <c r="AY17" s="1712"/>
      <c r="AZ17" s="1712"/>
      <c r="BA17" s="1713"/>
    </row>
    <row r="18" spans="1:53" ht="15.75" customHeight="1">
      <c r="T18" s="1717"/>
      <c r="U18" s="1717"/>
      <c r="V18" s="1717"/>
      <c r="W18" s="1717"/>
      <c r="X18" s="1717"/>
      <c r="Y18" s="1717"/>
      <c r="Z18" s="1717"/>
      <c r="AA18" s="1717"/>
      <c r="AB18" s="1717"/>
      <c r="AC18" s="1717"/>
      <c r="AD18" s="1717"/>
      <c r="AE18" s="1717"/>
      <c r="AF18" s="1717"/>
      <c r="AG18" s="1717"/>
      <c r="AN18" s="1714"/>
      <c r="AO18" s="1715"/>
      <c r="AP18" s="1715"/>
      <c r="AQ18" s="1715"/>
      <c r="AR18" s="1715"/>
      <c r="AS18" s="1715"/>
      <c r="AT18" s="1715"/>
      <c r="AU18" s="1715"/>
      <c r="AV18" s="1715"/>
      <c r="AW18" s="1715"/>
      <c r="AX18" s="1715"/>
      <c r="AY18" s="1715"/>
      <c r="AZ18" s="1715"/>
      <c r="BA18" s="1716"/>
    </row>
    <row r="19" spans="1:53" ht="15.75" customHeight="1">
      <c r="A19" s="1709" t="s">
        <v>1563</v>
      </c>
      <c r="B19" s="1709"/>
      <c r="C19" s="1709"/>
      <c r="D19" s="1709"/>
      <c r="E19" s="1709"/>
      <c r="F19" s="1709"/>
      <c r="G19" s="1709"/>
      <c r="H19" s="1709"/>
      <c r="I19" s="1709"/>
      <c r="J19" s="1709"/>
      <c r="K19" s="1709"/>
      <c r="L19" s="1709"/>
      <c r="M19" s="1709"/>
      <c r="N19" s="1709"/>
      <c r="O19" s="1709"/>
      <c r="P19" s="1709"/>
      <c r="Q19" s="1709"/>
      <c r="R19" s="1709"/>
      <c r="S19" s="1709"/>
      <c r="T19" s="1709"/>
      <c r="U19" s="1709"/>
      <c r="V19" s="1709"/>
      <c r="W19" s="1709"/>
      <c r="X19" s="1709"/>
      <c r="Y19" s="1709"/>
      <c r="Z19" s="1709"/>
      <c r="AA19" s="1709"/>
      <c r="AB19" s="1709"/>
      <c r="AC19" s="1709"/>
      <c r="AD19" s="1709"/>
      <c r="AE19" s="1709"/>
      <c r="AF19" s="1709"/>
      <c r="AG19" s="1709"/>
      <c r="AH19" s="1709"/>
      <c r="AI19" s="1709"/>
      <c r="AJ19" s="1709"/>
      <c r="AK19" s="1709"/>
      <c r="AL19" s="1709"/>
      <c r="AM19" s="1709"/>
      <c r="AN19" s="1709"/>
      <c r="AO19" s="1709"/>
      <c r="AP19" s="1709"/>
      <c r="AQ19" s="1709"/>
      <c r="AR19" s="1709"/>
      <c r="AS19" s="1709"/>
      <c r="AT19" s="1709"/>
      <c r="AU19" s="1709"/>
      <c r="AV19" s="1709"/>
      <c r="AW19" s="1709"/>
      <c r="AX19" s="1709"/>
      <c r="AY19" s="1709"/>
      <c r="AZ19" s="1709"/>
      <c r="BA19" s="1709"/>
    </row>
    <row r="20" spans="1:53" ht="15.75" customHeight="1">
      <c r="U20" s="328"/>
      <c r="V20" s="328"/>
      <c r="W20" s="851" t="s">
        <v>441</v>
      </c>
      <c r="X20" s="1710" t="str">
        <f>ObracunDoDatuma &amp; ObracunGodina</f>
        <v>31.12.2011</v>
      </c>
      <c r="Y20" s="1710"/>
      <c r="Z20" s="1710"/>
      <c r="AA20" s="1710"/>
      <c r="AB20" s="1710"/>
      <c r="AC20" s="1710"/>
      <c r="AD20" s="1710"/>
      <c r="AE20" s="852" t="s">
        <v>2268</v>
      </c>
      <c r="AF20" s="328"/>
    </row>
    <row r="21" spans="1:53" ht="6" customHeight="1" thickBot="1"/>
    <row r="22" spans="1:53" ht="21" customHeight="1">
      <c r="A22" s="1662" t="s">
        <v>1036</v>
      </c>
      <c r="B22" s="1663"/>
      <c r="C22" s="1663"/>
      <c r="D22" s="1663"/>
      <c r="E22" s="1666" t="s">
        <v>1569</v>
      </c>
      <c r="F22" s="1667"/>
      <c r="G22" s="1667"/>
      <c r="H22" s="1667"/>
      <c r="I22" s="1667"/>
      <c r="J22" s="1667"/>
      <c r="K22" s="1667"/>
      <c r="L22" s="1667"/>
      <c r="M22" s="1667"/>
      <c r="N22" s="1667"/>
      <c r="O22" s="1667"/>
      <c r="P22" s="1667"/>
      <c r="Q22" s="1667"/>
      <c r="R22" s="1667"/>
      <c r="S22" s="1667"/>
      <c r="T22" s="1695"/>
      <c r="U22" s="1691" t="s">
        <v>495</v>
      </c>
      <c r="V22" s="1692"/>
      <c r="W22" s="1670" t="s">
        <v>2482</v>
      </c>
      <c r="X22" s="1671"/>
      <c r="Y22" s="1676"/>
      <c r="Z22" s="1705" t="s">
        <v>1568</v>
      </c>
      <c r="AA22" s="1706"/>
      <c r="AB22" s="1706"/>
      <c r="AC22" s="1706"/>
      <c r="AD22" s="1706"/>
      <c r="AE22" s="1706"/>
      <c r="AF22" s="1706"/>
      <c r="AG22" s="1706"/>
      <c r="AH22" s="1706"/>
      <c r="AI22" s="1706"/>
      <c r="AJ22" s="1706"/>
      <c r="AK22" s="1706"/>
      <c r="AL22" s="1706"/>
      <c r="AM22" s="1706"/>
      <c r="AN22" s="1706"/>
      <c r="AO22" s="1706"/>
      <c r="AP22" s="1706"/>
      <c r="AQ22" s="1706"/>
      <c r="AR22" s="1706"/>
      <c r="AS22" s="1706"/>
      <c r="AT22" s="1707"/>
      <c r="AU22" s="1670" t="s">
        <v>1565</v>
      </c>
      <c r="AV22" s="1671"/>
      <c r="AW22" s="1671"/>
      <c r="AX22" s="1671"/>
      <c r="AY22" s="1671"/>
      <c r="AZ22" s="1671"/>
      <c r="BA22" s="1672"/>
    </row>
    <row r="23" spans="1:53" ht="20.25" customHeight="1" thickBot="1">
      <c r="A23" s="1664"/>
      <c r="B23" s="1665"/>
      <c r="C23" s="1665"/>
      <c r="D23" s="1665"/>
      <c r="E23" s="1668"/>
      <c r="F23" s="1669"/>
      <c r="G23" s="1669"/>
      <c r="H23" s="1669"/>
      <c r="I23" s="1669"/>
      <c r="J23" s="1669"/>
      <c r="K23" s="1669"/>
      <c r="L23" s="1669"/>
      <c r="M23" s="1669"/>
      <c r="N23" s="1669"/>
      <c r="O23" s="1669"/>
      <c r="P23" s="1669"/>
      <c r="Q23" s="1669"/>
      <c r="R23" s="1669"/>
      <c r="S23" s="1669"/>
      <c r="T23" s="1696"/>
      <c r="U23" s="1693"/>
      <c r="V23" s="1694"/>
      <c r="W23" s="1673"/>
      <c r="X23" s="1674"/>
      <c r="Y23" s="1677"/>
      <c r="Z23" s="1702" t="s">
        <v>1567</v>
      </c>
      <c r="AA23" s="1703"/>
      <c r="AB23" s="1703"/>
      <c r="AC23" s="1703"/>
      <c r="AD23" s="1703"/>
      <c r="AE23" s="1703"/>
      <c r="AF23" s="1704"/>
      <c r="AG23" s="1702" t="s">
        <v>2015</v>
      </c>
      <c r="AH23" s="1703"/>
      <c r="AI23" s="1703"/>
      <c r="AJ23" s="1703"/>
      <c r="AK23" s="1703"/>
      <c r="AL23" s="1703"/>
      <c r="AM23" s="1704"/>
      <c r="AN23" s="1702" t="s">
        <v>1566</v>
      </c>
      <c r="AO23" s="1703"/>
      <c r="AP23" s="1703"/>
      <c r="AQ23" s="1703"/>
      <c r="AR23" s="1703"/>
      <c r="AS23" s="1703"/>
      <c r="AT23" s="1704"/>
      <c r="AU23" s="1673"/>
      <c r="AV23" s="1674"/>
      <c r="AW23" s="1674"/>
      <c r="AX23" s="1674"/>
      <c r="AY23" s="1674"/>
      <c r="AZ23" s="1674"/>
      <c r="BA23" s="1675"/>
    </row>
    <row r="24" spans="1:53" ht="13.5" customHeight="1" thickBot="1">
      <c r="A24" s="1638" t="s">
        <v>522</v>
      </c>
      <c r="B24" s="1639"/>
      <c r="C24" s="1639"/>
      <c r="D24" s="1639"/>
      <c r="E24" s="1640">
        <v>2</v>
      </c>
      <c r="F24" s="1641"/>
      <c r="G24" s="1641"/>
      <c r="H24" s="1641"/>
      <c r="I24" s="1641"/>
      <c r="J24" s="1641"/>
      <c r="K24" s="1641"/>
      <c r="L24" s="1641"/>
      <c r="M24" s="1641"/>
      <c r="N24" s="1641"/>
      <c r="O24" s="1641"/>
      <c r="P24" s="1641"/>
      <c r="Q24" s="1641"/>
      <c r="R24" s="1641"/>
      <c r="S24" s="1641"/>
      <c r="T24" s="1643"/>
      <c r="U24" s="1640">
        <v>3</v>
      </c>
      <c r="V24" s="1643"/>
      <c r="W24" s="1640">
        <v>4</v>
      </c>
      <c r="X24" s="1641"/>
      <c r="Y24" s="1643"/>
      <c r="Z24" s="1640">
        <v>5</v>
      </c>
      <c r="AA24" s="1641"/>
      <c r="AB24" s="1641"/>
      <c r="AC24" s="1641"/>
      <c r="AD24" s="1641"/>
      <c r="AE24" s="1641"/>
      <c r="AF24" s="1643"/>
      <c r="AG24" s="1640">
        <v>6</v>
      </c>
      <c r="AH24" s="1641"/>
      <c r="AI24" s="1641"/>
      <c r="AJ24" s="1641"/>
      <c r="AK24" s="1641"/>
      <c r="AL24" s="1641"/>
      <c r="AM24" s="1643"/>
      <c r="AN24" s="1640">
        <v>7</v>
      </c>
      <c r="AO24" s="1641"/>
      <c r="AP24" s="1641"/>
      <c r="AQ24" s="1641"/>
      <c r="AR24" s="1641"/>
      <c r="AS24" s="1641"/>
      <c r="AT24" s="1643"/>
      <c r="AU24" s="1640">
        <v>8</v>
      </c>
      <c r="AV24" s="1641"/>
      <c r="AW24" s="1641"/>
      <c r="AX24" s="1641"/>
      <c r="AY24" s="1641"/>
      <c r="AZ24" s="1641"/>
      <c r="BA24" s="1648"/>
    </row>
    <row r="25" spans="1:53" ht="21" customHeight="1">
      <c r="A25" s="1657"/>
      <c r="B25" s="1658"/>
      <c r="C25" s="1658"/>
      <c r="D25" s="1658"/>
      <c r="E25" s="1697" t="s">
        <v>443</v>
      </c>
      <c r="F25" s="1697"/>
      <c r="G25" s="1697"/>
      <c r="H25" s="1697"/>
      <c r="I25" s="1697"/>
      <c r="J25" s="1697"/>
      <c r="K25" s="1697"/>
      <c r="L25" s="1697"/>
      <c r="M25" s="1697"/>
      <c r="N25" s="1697"/>
      <c r="O25" s="1697"/>
      <c r="P25" s="1697"/>
      <c r="Q25" s="1697"/>
      <c r="R25" s="1697"/>
      <c r="S25" s="1697"/>
      <c r="T25" s="1697"/>
      <c r="U25" s="1659"/>
      <c r="V25" s="1659"/>
      <c r="W25" s="1659"/>
      <c r="X25" s="1659"/>
      <c r="Y25" s="1659"/>
      <c r="Z25" s="1690"/>
      <c r="AA25" s="1690"/>
      <c r="AB25" s="1690"/>
      <c r="AC25" s="1690"/>
      <c r="AD25" s="1690"/>
      <c r="AE25" s="1690"/>
      <c r="AF25" s="1690"/>
      <c r="AG25" s="1690"/>
      <c r="AH25" s="1690"/>
      <c r="AI25" s="1690"/>
      <c r="AJ25" s="1690"/>
      <c r="AK25" s="1690"/>
      <c r="AL25" s="1690"/>
      <c r="AM25" s="1690"/>
      <c r="AN25" s="1690"/>
      <c r="AO25" s="1690"/>
      <c r="AP25" s="1690"/>
      <c r="AQ25" s="1690"/>
      <c r="AR25" s="1690"/>
      <c r="AS25" s="1690"/>
      <c r="AT25" s="1690"/>
      <c r="AU25" s="1690"/>
      <c r="AV25" s="1690"/>
      <c r="AW25" s="1690"/>
      <c r="AX25" s="1690"/>
      <c r="AY25" s="1690"/>
      <c r="AZ25" s="1690"/>
      <c r="BA25" s="1698"/>
    </row>
    <row r="26" spans="1:53" ht="25.5" customHeight="1">
      <c r="A26" s="1627"/>
      <c r="B26" s="1628"/>
      <c r="C26" s="1628"/>
      <c r="D26" s="1628"/>
      <c r="E26" s="1699" t="s">
        <v>1255</v>
      </c>
      <c r="F26" s="1700"/>
      <c r="G26" s="1700"/>
      <c r="H26" s="1700"/>
      <c r="I26" s="1700"/>
      <c r="J26" s="1700"/>
      <c r="K26" s="1700"/>
      <c r="L26" s="1700"/>
      <c r="M26" s="1700"/>
      <c r="N26" s="1700"/>
      <c r="O26" s="1700"/>
      <c r="P26" s="1700"/>
      <c r="Q26" s="1700"/>
      <c r="R26" s="1700"/>
      <c r="S26" s="1700"/>
      <c r="T26" s="1701"/>
      <c r="U26" s="1631"/>
      <c r="V26" s="1631"/>
      <c r="W26" s="1688" t="s">
        <v>1206</v>
      </c>
      <c r="X26" s="1688"/>
      <c r="Y26" s="1688"/>
      <c r="Z26" s="1629">
        <f>Z27+Z33+Z43+Z44+Z49+Z50+Z59+Z62</f>
        <v>0</v>
      </c>
      <c r="AA26" s="1629"/>
      <c r="AB26" s="1629"/>
      <c r="AC26" s="1629"/>
      <c r="AD26" s="1629"/>
      <c r="AE26" s="1629"/>
      <c r="AF26" s="1629"/>
      <c r="AG26" s="1629">
        <f>AG27+AG33+AG43+AG44+AG49+AG50+AG59+AG62</f>
        <v>0</v>
      </c>
      <c r="AH26" s="1629"/>
      <c r="AI26" s="1629"/>
      <c r="AJ26" s="1629"/>
      <c r="AK26" s="1629"/>
      <c r="AL26" s="1629"/>
      <c r="AM26" s="1629"/>
      <c r="AN26" s="1629">
        <f>Z26-AG26</f>
        <v>0</v>
      </c>
      <c r="AO26" s="1629"/>
      <c r="AP26" s="1629"/>
      <c r="AQ26" s="1629"/>
      <c r="AR26" s="1629"/>
      <c r="AS26" s="1629"/>
      <c r="AT26" s="1629"/>
      <c r="AU26" s="1629">
        <f>AU27+AU33+AU43+AU44+AU49+AU50+AU59+AU62</f>
        <v>0</v>
      </c>
      <c r="AV26" s="1629"/>
      <c r="AW26" s="1629"/>
      <c r="AX26" s="1629"/>
      <c r="AY26" s="1629"/>
      <c r="AZ26" s="1629"/>
      <c r="BA26" s="1630"/>
    </row>
    <row r="27" spans="1:53" ht="15.75" customHeight="1">
      <c r="A27" s="1627" t="s">
        <v>2385</v>
      </c>
      <c r="B27" s="1628"/>
      <c r="C27" s="1628"/>
      <c r="D27" s="1628"/>
      <c r="E27" s="1656" t="s">
        <v>1254</v>
      </c>
      <c r="F27" s="1656"/>
      <c r="G27" s="1656"/>
      <c r="H27" s="1656"/>
      <c r="I27" s="1656"/>
      <c r="J27" s="1656"/>
      <c r="K27" s="1656"/>
      <c r="L27" s="1656"/>
      <c r="M27" s="1656"/>
      <c r="N27" s="1656"/>
      <c r="O27" s="1656"/>
      <c r="P27" s="1656"/>
      <c r="Q27" s="1656"/>
      <c r="R27" s="1656"/>
      <c r="S27" s="1656"/>
      <c r="T27" s="1656"/>
      <c r="U27" s="1631"/>
      <c r="V27" s="1631"/>
      <c r="W27" s="1688" t="s">
        <v>1207</v>
      </c>
      <c r="X27" s="1688"/>
      <c r="Y27" s="1688"/>
      <c r="Z27" s="1629">
        <f>SUM(Z28:AF32)</f>
        <v>0</v>
      </c>
      <c r="AA27" s="1629"/>
      <c r="AB27" s="1629"/>
      <c r="AC27" s="1629"/>
      <c r="AD27" s="1629"/>
      <c r="AE27" s="1629"/>
      <c r="AF27" s="1629"/>
      <c r="AG27" s="1629">
        <f>SUM(AG28:AM32)</f>
        <v>0</v>
      </c>
      <c r="AH27" s="1629"/>
      <c r="AI27" s="1629"/>
      <c r="AJ27" s="1629"/>
      <c r="AK27" s="1629"/>
      <c r="AL27" s="1629"/>
      <c r="AM27" s="1629"/>
      <c r="AN27" s="1629">
        <f t="shared" ref="AN27:AN37" si="0">Z27-AG27</f>
        <v>0</v>
      </c>
      <c r="AO27" s="1629"/>
      <c r="AP27" s="1629"/>
      <c r="AQ27" s="1629"/>
      <c r="AR27" s="1629"/>
      <c r="AS27" s="1629"/>
      <c r="AT27" s="1629"/>
      <c r="AU27" s="1629">
        <f>SUM(AU28:BA32)</f>
        <v>0</v>
      </c>
      <c r="AV27" s="1629"/>
      <c r="AW27" s="1629"/>
      <c r="AX27" s="1629"/>
      <c r="AY27" s="1629"/>
      <c r="AZ27" s="1629"/>
      <c r="BA27" s="1630"/>
    </row>
    <row r="28" spans="1:53" ht="15.75" customHeight="1">
      <c r="A28" s="1627" t="s">
        <v>1121</v>
      </c>
      <c r="B28" s="1628"/>
      <c r="C28" s="1628"/>
      <c r="D28" s="1628"/>
      <c r="E28" s="1679" t="s">
        <v>1570</v>
      </c>
      <c r="F28" s="1679"/>
      <c r="G28" s="1679"/>
      <c r="H28" s="1679"/>
      <c r="I28" s="1679"/>
      <c r="J28" s="1679"/>
      <c r="K28" s="1679"/>
      <c r="L28" s="1679"/>
      <c r="M28" s="1679"/>
      <c r="N28" s="1679"/>
      <c r="O28" s="1679"/>
      <c r="P28" s="1679"/>
      <c r="Q28" s="1679"/>
      <c r="R28" s="1679"/>
      <c r="S28" s="1679"/>
      <c r="T28" s="1679"/>
      <c r="U28" s="1631"/>
      <c r="V28" s="1631"/>
      <c r="W28" s="1688" t="s">
        <v>1208</v>
      </c>
      <c r="X28" s="1688"/>
      <c r="Y28" s="1688"/>
      <c r="Z28" s="1629">
        <f>SUMIF(unos!E:E,'bilans-stanja'!W28,unos!F:F)</f>
        <v>0</v>
      </c>
      <c r="AA28" s="1629"/>
      <c r="AB28" s="1629"/>
      <c r="AC28" s="1629"/>
      <c r="AD28" s="1629"/>
      <c r="AE28" s="1629"/>
      <c r="AF28" s="1629"/>
      <c r="AG28" s="1629">
        <f>SUMIF(unos!E:E,'bilans-stanja'!W28,unos!G:G)</f>
        <v>0</v>
      </c>
      <c r="AH28" s="1629"/>
      <c r="AI28" s="1629"/>
      <c r="AJ28" s="1629"/>
      <c r="AK28" s="1629"/>
      <c r="AL28" s="1629"/>
      <c r="AM28" s="1629"/>
      <c r="AN28" s="1629">
        <f t="shared" si="0"/>
        <v>0</v>
      </c>
      <c r="AO28" s="1629"/>
      <c r="AP28" s="1629"/>
      <c r="AQ28" s="1629"/>
      <c r="AR28" s="1629"/>
      <c r="AS28" s="1629"/>
      <c r="AT28" s="1629"/>
      <c r="AU28" s="1629">
        <f>SUMIF(unos!E:E,'bilans-stanja'!W28,unos!C:C)-SUMIF(unos!E:E,'bilans-stanja'!W28,unos!D:D)</f>
        <v>0</v>
      </c>
      <c r="AV28" s="1629"/>
      <c r="AW28" s="1629"/>
      <c r="AX28" s="1629"/>
      <c r="AY28" s="1629"/>
      <c r="AZ28" s="1629"/>
      <c r="BA28" s="1630"/>
    </row>
    <row r="29" spans="1:53" ht="15.75" customHeight="1">
      <c r="A29" s="1627" t="s">
        <v>1122</v>
      </c>
      <c r="B29" s="1628"/>
      <c r="C29" s="1628"/>
      <c r="D29" s="1628"/>
      <c r="E29" s="1679" t="s">
        <v>1571</v>
      </c>
      <c r="F29" s="1679"/>
      <c r="G29" s="1679"/>
      <c r="H29" s="1679"/>
      <c r="I29" s="1679"/>
      <c r="J29" s="1679"/>
      <c r="K29" s="1679"/>
      <c r="L29" s="1679"/>
      <c r="M29" s="1679"/>
      <c r="N29" s="1679"/>
      <c r="O29" s="1679"/>
      <c r="P29" s="1679"/>
      <c r="Q29" s="1679"/>
      <c r="R29" s="1679"/>
      <c r="S29" s="1679"/>
      <c r="T29" s="1679"/>
      <c r="U29" s="1631"/>
      <c r="V29" s="1631"/>
      <c r="W29" s="1688" t="s">
        <v>1209</v>
      </c>
      <c r="X29" s="1688"/>
      <c r="Y29" s="1688"/>
      <c r="Z29" s="1629">
        <f>SUMIF(unos!E:E,'bilans-stanja'!W29,unos!F:F)</f>
        <v>0</v>
      </c>
      <c r="AA29" s="1629"/>
      <c r="AB29" s="1629"/>
      <c r="AC29" s="1629"/>
      <c r="AD29" s="1629"/>
      <c r="AE29" s="1629"/>
      <c r="AF29" s="1629"/>
      <c r="AG29" s="1629">
        <f>SUMIF(unos!E:E,'bilans-stanja'!W29,unos!G:G)</f>
        <v>0</v>
      </c>
      <c r="AH29" s="1629"/>
      <c r="AI29" s="1629"/>
      <c r="AJ29" s="1629"/>
      <c r="AK29" s="1629"/>
      <c r="AL29" s="1629"/>
      <c r="AM29" s="1629"/>
      <c r="AN29" s="1629">
        <f>Z29-AG29</f>
        <v>0</v>
      </c>
      <c r="AO29" s="1629"/>
      <c r="AP29" s="1629"/>
      <c r="AQ29" s="1629"/>
      <c r="AR29" s="1629"/>
      <c r="AS29" s="1629"/>
      <c r="AT29" s="1629"/>
      <c r="AU29" s="1629">
        <f>SUMIF(unos!E:E,'bilans-stanja'!W29,unos!C:C)-SUMIF(unos!E:E,'bilans-stanja'!W29,unos!D:D)</f>
        <v>0</v>
      </c>
      <c r="AV29" s="1629"/>
      <c r="AW29" s="1629"/>
      <c r="AX29" s="1629"/>
      <c r="AY29" s="1629"/>
      <c r="AZ29" s="1629"/>
      <c r="BA29" s="1630"/>
    </row>
    <row r="30" spans="1:53" ht="15.75" customHeight="1">
      <c r="A30" s="1627" t="s">
        <v>1123</v>
      </c>
      <c r="B30" s="1628"/>
      <c r="C30" s="1628"/>
      <c r="D30" s="1628"/>
      <c r="E30" s="1679" t="s">
        <v>1572</v>
      </c>
      <c r="F30" s="1679"/>
      <c r="G30" s="1679"/>
      <c r="H30" s="1679"/>
      <c r="I30" s="1679"/>
      <c r="J30" s="1679"/>
      <c r="K30" s="1679"/>
      <c r="L30" s="1679"/>
      <c r="M30" s="1679"/>
      <c r="N30" s="1679"/>
      <c r="O30" s="1679"/>
      <c r="P30" s="1679"/>
      <c r="Q30" s="1679"/>
      <c r="R30" s="1679"/>
      <c r="S30" s="1679"/>
      <c r="T30" s="1679"/>
      <c r="U30" s="1631"/>
      <c r="V30" s="1631"/>
      <c r="W30" s="1688" t="s">
        <v>2518</v>
      </c>
      <c r="X30" s="1688"/>
      <c r="Y30" s="1688"/>
      <c r="Z30" s="1629">
        <f>SUMIF(unos!E:E,'bilans-stanja'!W30,unos!F:F)</f>
        <v>0</v>
      </c>
      <c r="AA30" s="1629"/>
      <c r="AB30" s="1629"/>
      <c r="AC30" s="1629"/>
      <c r="AD30" s="1629"/>
      <c r="AE30" s="1629"/>
      <c r="AF30" s="1629"/>
      <c r="AG30" s="1629">
        <f>SUMIF(unos!E:E,'bilans-stanja'!W30,unos!G:G)</f>
        <v>0</v>
      </c>
      <c r="AH30" s="1629"/>
      <c r="AI30" s="1629"/>
      <c r="AJ30" s="1629"/>
      <c r="AK30" s="1629"/>
      <c r="AL30" s="1629"/>
      <c r="AM30" s="1629"/>
      <c r="AN30" s="1629">
        <f>Z30-AG30</f>
        <v>0</v>
      </c>
      <c r="AO30" s="1629"/>
      <c r="AP30" s="1629"/>
      <c r="AQ30" s="1629"/>
      <c r="AR30" s="1629"/>
      <c r="AS30" s="1629"/>
      <c r="AT30" s="1629"/>
      <c r="AU30" s="1629">
        <f>SUMIF(unos!E:E,'bilans-stanja'!W30,unos!C:C)-SUMIF(unos!E:E,'bilans-stanja'!W30,unos!D:D)</f>
        <v>0</v>
      </c>
      <c r="AV30" s="1629"/>
      <c r="AW30" s="1629"/>
      <c r="AX30" s="1629"/>
      <c r="AY30" s="1629"/>
      <c r="AZ30" s="1629"/>
      <c r="BA30" s="1630"/>
    </row>
    <row r="31" spans="1:53" ht="15.75" customHeight="1">
      <c r="A31" s="1627" t="s">
        <v>1573</v>
      </c>
      <c r="B31" s="1628"/>
      <c r="C31" s="1628"/>
      <c r="D31" s="1628"/>
      <c r="E31" s="1679" t="s">
        <v>1574</v>
      </c>
      <c r="F31" s="1679"/>
      <c r="G31" s="1679"/>
      <c r="H31" s="1679"/>
      <c r="I31" s="1679"/>
      <c r="J31" s="1679"/>
      <c r="K31" s="1679"/>
      <c r="L31" s="1679"/>
      <c r="M31" s="1679"/>
      <c r="N31" s="1679"/>
      <c r="O31" s="1679"/>
      <c r="P31" s="1679"/>
      <c r="Q31" s="1679"/>
      <c r="R31" s="1679"/>
      <c r="S31" s="1679"/>
      <c r="T31" s="1679"/>
      <c r="U31" s="1631"/>
      <c r="V31" s="1631"/>
      <c r="W31" s="1688" t="s">
        <v>2519</v>
      </c>
      <c r="X31" s="1688"/>
      <c r="Y31" s="1688"/>
      <c r="Z31" s="1629">
        <f>SUMIF(unos!E:E,'bilans-stanja'!W31,unos!F:F)</f>
        <v>0</v>
      </c>
      <c r="AA31" s="1629"/>
      <c r="AB31" s="1629"/>
      <c r="AC31" s="1629"/>
      <c r="AD31" s="1629"/>
      <c r="AE31" s="1629"/>
      <c r="AF31" s="1629"/>
      <c r="AG31" s="1629">
        <f>SUMIF(unos!E:E,'bilans-stanja'!W31,unos!G:G)</f>
        <v>0</v>
      </c>
      <c r="AH31" s="1629"/>
      <c r="AI31" s="1629"/>
      <c r="AJ31" s="1629"/>
      <c r="AK31" s="1629"/>
      <c r="AL31" s="1629"/>
      <c r="AM31" s="1629"/>
      <c r="AN31" s="1629">
        <f>Z31-AG31</f>
        <v>0</v>
      </c>
      <c r="AO31" s="1629"/>
      <c r="AP31" s="1629"/>
      <c r="AQ31" s="1629"/>
      <c r="AR31" s="1629"/>
      <c r="AS31" s="1629"/>
      <c r="AT31" s="1629"/>
      <c r="AU31" s="1629">
        <f>SUMIF(unos!E:E,'bilans-stanja'!W31,unos!C:C)-SUMIF(unos!E:E,'bilans-stanja'!W31,unos!D:D)</f>
        <v>0</v>
      </c>
      <c r="AV31" s="1629"/>
      <c r="AW31" s="1629"/>
      <c r="AX31" s="1629"/>
      <c r="AY31" s="1629"/>
      <c r="AZ31" s="1629"/>
      <c r="BA31" s="1630"/>
    </row>
    <row r="32" spans="1:53" ht="15.75" customHeight="1">
      <c r="A32" s="1627" t="s">
        <v>1575</v>
      </c>
      <c r="B32" s="1628"/>
      <c r="C32" s="1628"/>
      <c r="D32" s="1628"/>
      <c r="E32" s="1679" t="s">
        <v>1576</v>
      </c>
      <c r="F32" s="1679"/>
      <c r="G32" s="1679"/>
      <c r="H32" s="1679"/>
      <c r="I32" s="1679"/>
      <c r="J32" s="1679"/>
      <c r="K32" s="1679"/>
      <c r="L32" s="1679"/>
      <c r="M32" s="1679"/>
      <c r="N32" s="1679"/>
      <c r="O32" s="1679"/>
      <c r="P32" s="1679"/>
      <c r="Q32" s="1679"/>
      <c r="R32" s="1679"/>
      <c r="S32" s="1679"/>
      <c r="T32" s="1679"/>
      <c r="U32" s="1631"/>
      <c r="V32" s="1631"/>
      <c r="W32" s="1688" t="s">
        <v>2520</v>
      </c>
      <c r="X32" s="1688"/>
      <c r="Y32" s="1688"/>
      <c r="Z32" s="1629">
        <f>SUMIF(unos!E:E,'bilans-stanja'!W32,unos!F:F)</f>
        <v>0</v>
      </c>
      <c r="AA32" s="1629"/>
      <c r="AB32" s="1629"/>
      <c r="AC32" s="1629"/>
      <c r="AD32" s="1629"/>
      <c r="AE32" s="1629"/>
      <c r="AF32" s="1629"/>
      <c r="AG32" s="1629">
        <f>SUMIF(unos!E:E,'bilans-stanja'!W32,unos!G:G)</f>
        <v>0</v>
      </c>
      <c r="AH32" s="1629"/>
      <c r="AI32" s="1629"/>
      <c r="AJ32" s="1629"/>
      <c r="AK32" s="1629"/>
      <c r="AL32" s="1629"/>
      <c r="AM32" s="1629"/>
      <c r="AN32" s="1629">
        <f t="shared" si="0"/>
        <v>0</v>
      </c>
      <c r="AO32" s="1629"/>
      <c r="AP32" s="1629"/>
      <c r="AQ32" s="1629"/>
      <c r="AR32" s="1629"/>
      <c r="AS32" s="1629"/>
      <c r="AT32" s="1629"/>
      <c r="AU32" s="1629">
        <f>SUMIF(unos!E:E,'bilans-stanja'!W32,unos!C:C)-SUMIF(unos!E:E,'bilans-stanja'!W32,unos!D:D)</f>
        <v>0</v>
      </c>
      <c r="AV32" s="1629"/>
      <c r="AW32" s="1629"/>
      <c r="AX32" s="1629"/>
      <c r="AY32" s="1629"/>
      <c r="AZ32" s="1629"/>
      <c r="BA32" s="1630"/>
    </row>
    <row r="33" spans="1:53" ht="20.25" customHeight="1">
      <c r="A33" s="1627" t="s">
        <v>2386</v>
      </c>
      <c r="B33" s="1628"/>
      <c r="C33" s="1628"/>
      <c r="D33" s="1628"/>
      <c r="E33" s="1656" t="s">
        <v>1253</v>
      </c>
      <c r="F33" s="1656"/>
      <c r="G33" s="1656"/>
      <c r="H33" s="1656"/>
      <c r="I33" s="1656"/>
      <c r="J33" s="1656"/>
      <c r="K33" s="1656"/>
      <c r="L33" s="1656"/>
      <c r="M33" s="1656"/>
      <c r="N33" s="1656"/>
      <c r="O33" s="1656"/>
      <c r="P33" s="1656"/>
      <c r="Q33" s="1656"/>
      <c r="R33" s="1656"/>
      <c r="S33" s="1656"/>
      <c r="T33" s="1656"/>
      <c r="U33" s="1631"/>
      <c r="V33" s="1631"/>
      <c r="W33" s="1688" t="s">
        <v>2521</v>
      </c>
      <c r="X33" s="1688"/>
      <c r="Y33" s="1688"/>
      <c r="Z33" s="1629">
        <f>SUM(Z34:AF38)</f>
        <v>0</v>
      </c>
      <c r="AA33" s="1629"/>
      <c r="AB33" s="1629"/>
      <c r="AC33" s="1629"/>
      <c r="AD33" s="1629"/>
      <c r="AE33" s="1629"/>
      <c r="AF33" s="1629"/>
      <c r="AG33" s="1629">
        <f>SUM(AG34:AM38)</f>
        <v>0</v>
      </c>
      <c r="AH33" s="1629"/>
      <c r="AI33" s="1629"/>
      <c r="AJ33" s="1629"/>
      <c r="AK33" s="1629"/>
      <c r="AL33" s="1629"/>
      <c r="AM33" s="1629"/>
      <c r="AN33" s="1629">
        <f t="shared" si="0"/>
        <v>0</v>
      </c>
      <c r="AO33" s="1629"/>
      <c r="AP33" s="1629"/>
      <c r="AQ33" s="1629"/>
      <c r="AR33" s="1629"/>
      <c r="AS33" s="1629"/>
      <c r="AT33" s="1629"/>
      <c r="AU33" s="1629">
        <f>SUM(AU34:BA38)</f>
        <v>0</v>
      </c>
      <c r="AV33" s="1629"/>
      <c r="AW33" s="1629"/>
      <c r="AX33" s="1629"/>
      <c r="AY33" s="1629"/>
      <c r="AZ33" s="1629"/>
      <c r="BA33" s="1630"/>
    </row>
    <row r="34" spans="1:53" ht="15.75" customHeight="1">
      <c r="A34" s="1627" t="s">
        <v>2092</v>
      </c>
      <c r="B34" s="1628"/>
      <c r="C34" s="1628"/>
      <c r="D34" s="1628"/>
      <c r="E34" s="1679" t="s">
        <v>1577</v>
      </c>
      <c r="F34" s="1679"/>
      <c r="G34" s="1679"/>
      <c r="H34" s="1679"/>
      <c r="I34" s="1679"/>
      <c r="J34" s="1679"/>
      <c r="K34" s="1679"/>
      <c r="L34" s="1679"/>
      <c r="M34" s="1679"/>
      <c r="N34" s="1679"/>
      <c r="O34" s="1679"/>
      <c r="P34" s="1679"/>
      <c r="Q34" s="1679"/>
      <c r="R34" s="1679"/>
      <c r="S34" s="1679"/>
      <c r="T34" s="1679"/>
      <c r="U34" s="1631"/>
      <c r="V34" s="1631"/>
      <c r="W34" s="1688" t="s">
        <v>2522</v>
      </c>
      <c r="X34" s="1688"/>
      <c r="Y34" s="1688"/>
      <c r="Z34" s="1629">
        <f>SUMIF(unos!E:E,'bilans-stanja'!W34,unos!F:F)</f>
        <v>0</v>
      </c>
      <c r="AA34" s="1629"/>
      <c r="AB34" s="1629"/>
      <c r="AC34" s="1629"/>
      <c r="AD34" s="1629"/>
      <c r="AE34" s="1629"/>
      <c r="AF34" s="1629"/>
      <c r="AG34" s="1629">
        <f>SUMIF(unos!E:E,'bilans-stanja'!W34,unos!G:G)</f>
        <v>0</v>
      </c>
      <c r="AH34" s="1629"/>
      <c r="AI34" s="1629"/>
      <c r="AJ34" s="1629"/>
      <c r="AK34" s="1629"/>
      <c r="AL34" s="1629"/>
      <c r="AM34" s="1629"/>
      <c r="AN34" s="1629">
        <f t="shared" si="0"/>
        <v>0</v>
      </c>
      <c r="AO34" s="1629"/>
      <c r="AP34" s="1629"/>
      <c r="AQ34" s="1629"/>
      <c r="AR34" s="1629"/>
      <c r="AS34" s="1629"/>
      <c r="AT34" s="1629"/>
      <c r="AU34" s="1629">
        <f>SUMIF(unos!E:E,'bilans-stanja'!W34,unos!C:C)-SUMIF(unos!E:E,'bilans-stanja'!W34,unos!D:D)</f>
        <v>0</v>
      </c>
      <c r="AV34" s="1629"/>
      <c r="AW34" s="1629"/>
      <c r="AX34" s="1629"/>
      <c r="AY34" s="1629"/>
      <c r="AZ34" s="1629"/>
      <c r="BA34" s="1630"/>
    </row>
    <row r="35" spans="1:53" ht="15.75" customHeight="1">
      <c r="A35" s="1627" t="s">
        <v>2093</v>
      </c>
      <c r="B35" s="1628"/>
      <c r="C35" s="1628"/>
      <c r="D35" s="1628"/>
      <c r="E35" s="1679" t="s">
        <v>1578</v>
      </c>
      <c r="F35" s="1679"/>
      <c r="G35" s="1679"/>
      <c r="H35" s="1679"/>
      <c r="I35" s="1679"/>
      <c r="J35" s="1679"/>
      <c r="K35" s="1679"/>
      <c r="L35" s="1679"/>
      <c r="M35" s="1679"/>
      <c r="N35" s="1679"/>
      <c r="O35" s="1679"/>
      <c r="P35" s="1679"/>
      <c r="Q35" s="1679"/>
      <c r="R35" s="1679"/>
      <c r="S35" s="1679"/>
      <c r="T35" s="1679"/>
      <c r="U35" s="1631"/>
      <c r="V35" s="1631"/>
      <c r="W35" s="1688" t="s">
        <v>1121</v>
      </c>
      <c r="X35" s="1688"/>
      <c r="Y35" s="1688"/>
      <c r="Z35" s="1629">
        <f>SUMIF(unos!E:E,'bilans-stanja'!W35,unos!F:F)</f>
        <v>0</v>
      </c>
      <c r="AA35" s="1629"/>
      <c r="AB35" s="1629"/>
      <c r="AC35" s="1629"/>
      <c r="AD35" s="1629"/>
      <c r="AE35" s="1629"/>
      <c r="AF35" s="1629"/>
      <c r="AG35" s="1629">
        <f>SUMIF(unos!E:E,'bilans-stanja'!W35,unos!G:G)</f>
        <v>0</v>
      </c>
      <c r="AH35" s="1629"/>
      <c r="AI35" s="1629"/>
      <c r="AJ35" s="1629"/>
      <c r="AK35" s="1629"/>
      <c r="AL35" s="1629"/>
      <c r="AM35" s="1629"/>
      <c r="AN35" s="1629">
        <f t="shared" si="0"/>
        <v>0</v>
      </c>
      <c r="AO35" s="1629"/>
      <c r="AP35" s="1629"/>
      <c r="AQ35" s="1629"/>
      <c r="AR35" s="1629"/>
      <c r="AS35" s="1629"/>
      <c r="AT35" s="1629"/>
      <c r="AU35" s="1629">
        <f>SUMIF(unos!E:E,'bilans-stanja'!W35,unos!C:C)-SUMIF(unos!E:E,'bilans-stanja'!W35,unos!D:D)</f>
        <v>0</v>
      </c>
      <c r="AV35" s="1629"/>
      <c r="AW35" s="1629"/>
      <c r="AX35" s="1629"/>
      <c r="AY35" s="1629"/>
      <c r="AZ35" s="1629"/>
      <c r="BA35" s="1630"/>
    </row>
    <row r="36" spans="1:53" ht="15.75" customHeight="1">
      <c r="A36" s="1627" t="s">
        <v>445</v>
      </c>
      <c r="B36" s="1628"/>
      <c r="C36" s="1628"/>
      <c r="D36" s="1628"/>
      <c r="E36" s="1679" t="s">
        <v>1579</v>
      </c>
      <c r="F36" s="1679"/>
      <c r="G36" s="1679"/>
      <c r="H36" s="1679"/>
      <c r="I36" s="1679"/>
      <c r="J36" s="1679"/>
      <c r="K36" s="1679"/>
      <c r="L36" s="1679"/>
      <c r="M36" s="1679"/>
      <c r="N36" s="1679"/>
      <c r="O36" s="1679"/>
      <c r="P36" s="1679"/>
      <c r="Q36" s="1679"/>
      <c r="R36" s="1679"/>
      <c r="S36" s="1679"/>
      <c r="T36" s="1679"/>
      <c r="U36" s="1631"/>
      <c r="V36" s="1631"/>
      <c r="W36" s="1688" t="s">
        <v>1122</v>
      </c>
      <c r="X36" s="1688"/>
      <c r="Y36" s="1688"/>
      <c r="Z36" s="1629">
        <f>SUMIF(unos!E:E,'bilans-stanja'!W36,unos!F:F)</f>
        <v>0</v>
      </c>
      <c r="AA36" s="1629"/>
      <c r="AB36" s="1629"/>
      <c r="AC36" s="1629"/>
      <c r="AD36" s="1629"/>
      <c r="AE36" s="1629"/>
      <c r="AF36" s="1629"/>
      <c r="AG36" s="1629">
        <f>SUMIF(unos!E:E,'bilans-stanja'!W36,unos!G:G)</f>
        <v>0</v>
      </c>
      <c r="AH36" s="1629"/>
      <c r="AI36" s="1629"/>
      <c r="AJ36" s="1629"/>
      <c r="AK36" s="1629"/>
      <c r="AL36" s="1629"/>
      <c r="AM36" s="1629"/>
      <c r="AN36" s="1629">
        <f t="shared" si="0"/>
        <v>0</v>
      </c>
      <c r="AO36" s="1629"/>
      <c r="AP36" s="1629"/>
      <c r="AQ36" s="1629"/>
      <c r="AR36" s="1629"/>
      <c r="AS36" s="1629"/>
      <c r="AT36" s="1629"/>
      <c r="AU36" s="1629">
        <f>SUMIF(unos!E:E,'bilans-stanja'!W36,unos!C:C)-SUMIF(unos!E:E,'bilans-stanja'!W36,unos!D:D)</f>
        <v>0</v>
      </c>
      <c r="AV36" s="1629"/>
      <c r="AW36" s="1629"/>
      <c r="AX36" s="1629"/>
      <c r="AY36" s="1629"/>
      <c r="AZ36" s="1629"/>
      <c r="BA36" s="1630"/>
    </row>
    <row r="37" spans="1:53" ht="15.75" customHeight="1">
      <c r="A37" s="1627" t="s">
        <v>2528</v>
      </c>
      <c r="B37" s="1628"/>
      <c r="C37" s="1628"/>
      <c r="D37" s="1628"/>
      <c r="E37" s="1679" t="s">
        <v>1580</v>
      </c>
      <c r="F37" s="1679"/>
      <c r="G37" s="1679"/>
      <c r="H37" s="1679"/>
      <c r="I37" s="1679"/>
      <c r="J37" s="1679"/>
      <c r="K37" s="1679"/>
      <c r="L37" s="1679"/>
      <c r="M37" s="1679"/>
      <c r="N37" s="1679"/>
      <c r="O37" s="1679"/>
      <c r="P37" s="1679"/>
      <c r="Q37" s="1679"/>
      <c r="R37" s="1679"/>
      <c r="S37" s="1679"/>
      <c r="T37" s="1679"/>
      <c r="U37" s="1631"/>
      <c r="V37" s="1631"/>
      <c r="W37" s="1688" t="s">
        <v>1123</v>
      </c>
      <c r="X37" s="1688"/>
      <c r="Y37" s="1688"/>
      <c r="Z37" s="1629">
        <f>SUMIF(unos!E:E,'bilans-stanja'!W37,unos!F:F)</f>
        <v>0</v>
      </c>
      <c r="AA37" s="1629"/>
      <c r="AB37" s="1629"/>
      <c r="AC37" s="1629"/>
      <c r="AD37" s="1629"/>
      <c r="AE37" s="1629"/>
      <c r="AF37" s="1629"/>
      <c r="AG37" s="1629">
        <f>SUMIF(unos!E:E,'bilans-stanja'!W37,unos!G:G)</f>
        <v>0</v>
      </c>
      <c r="AH37" s="1629"/>
      <c r="AI37" s="1629"/>
      <c r="AJ37" s="1629"/>
      <c r="AK37" s="1629"/>
      <c r="AL37" s="1629"/>
      <c r="AM37" s="1629"/>
      <c r="AN37" s="1629">
        <f t="shared" si="0"/>
        <v>0</v>
      </c>
      <c r="AO37" s="1629"/>
      <c r="AP37" s="1629"/>
      <c r="AQ37" s="1629"/>
      <c r="AR37" s="1629"/>
      <c r="AS37" s="1629"/>
      <c r="AT37" s="1629"/>
      <c r="AU37" s="1629">
        <f>SUMIF(unos!E:E,'bilans-stanja'!W37,unos!C:C)-SUMIF(unos!E:E,'bilans-stanja'!W37,unos!D:D)</f>
        <v>0</v>
      </c>
      <c r="AV37" s="1629"/>
      <c r="AW37" s="1629"/>
      <c r="AX37" s="1629"/>
      <c r="AY37" s="1629"/>
      <c r="AZ37" s="1629"/>
      <c r="BA37" s="1630"/>
    </row>
    <row r="38" spans="1:53" ht="15.75" customHeight="1" thickBot="1">
      <c r="A38" s="1650" t="s">
        <v>1581</v>
      </c>
      <c r="B38" s="1651"/>
      <c r="C38" s="1651"/>
      <c r="D38" s="1651"/>
      <c r="E38" s="1680" t="s">
        <v>1582</v>
      </c>
      <c r="F38" s="1680"/>
      <c r="G38" s="1680"/>
      <c r="H38" s="1680"/>
      <c r="I38" s="1680"/>
      <c r="J38" s="1680"/>
      <c r="K38" s="1680"/>
      <c r="L38" s="1680"/>
      <c r="M38" s="1680"/>
      <c r="N38" s="1680"/>
      <c r="O38" s="1680"/>
      <c r="P38" s="1680"/>
      <c r="Q38" s="1680"/>
      <c r="R38" s="1680"/>
      <c r="S38" s="1680"/>
      <c r="T38" s="1680"/>
      <c r="U38" s="1652"/>
      <c r="V38" s="1652"/>
      <c r="W38" s="1687" t="s">
        <v>1124</v>
      </c>
      <c r="X38" s="1687"/>
      <c r="Y38" s="1687"/>
      <c r="Z38" s="1681">
        <f>SUMIF(unos!E:E,'bilans-stanja'!W38,unos!F:F)</f>
        <v>0</v>
      </c>
      <c r="AA38" s="1681"/>
      <c r="AB38" s="1681"/>
      <c r="AC38" s="1681"/>
      <c r="AD38" s="1681"/>
      <c r="AE38" s="1681"/>
      <c r="AF38" s="1681"/>
      <c r="AG38" s="1681">
        <f>SUMIF(unos!E:E,'bilans-stanja'!W38,unos!G:G)</f>
        <v>0</v>
      </c>
      <c r="AH38" s="1681"/>
      <c r="AI38" s="1681"/>
      <c r="AJ38" s="1681"/>
      <c r="AK38" s="1681"/>
      <c r="AL38" s="1681"/>
      <c r="AM38" s="1681"/>
      <c r="AN38" s="1681">
        <f>Z38-AG38</f>
        <v>0</v>
      </c>
      <c r="AO38" s="1681"/>
      <c r="AP38" s="1681"/>
      <c r="AQ38" s="1681"/>
      <c r="AR38" s="1681"/>
      <c r="AS38" s="1681"/>
      <c r="AT38" s="1681"/>
      <c r="AU38" s="1681">
        <f>SUMIF(unos!E:E,'bilans-stanja'!W38,unos!C:C)-SUMIF(unos!E:E,'bilans-stanja'!W38,unos!D:D)</f>
        <v>0</v>
      </c>
      <c r="AV38" s="1681"/>
      <c r="AW38" s="1681"/>
      <c r="AX38" s="1681"/>
      <c r="AY38" s="1681"/>
      <c r="AZ38" s="1681"/>
      <c r="BA38" s="1682"/>
    </row>
    <row r="39" spans="1:53" ht="12.75" customHeight="1"/>
    <row r="40" spans="1:53" ht="15" customHeight="1">
      <c r="BA40" s="332" t="s">
        <v>847</v>
      </c>
    </row>
    <row r="41" spans="1:53" ht="12.75" customHeight="1" thickBot="1"/>
    <row r="42" spans="1:53" ht="13.5" customHeight="1" thickBot="1">
      <c r="A42" s="1638" t="s">
        <v>522</v>
      </c>
      <c r="B42" s="1639"/>
      <c r="C42" s="1639"/>
      <c r="D42" s="1639"/>
      <c r="E42" s="1640">
        <v>2</v>
      </c>
      <c r="F42" s="1641"/>
      <c r="G42" s="1641"/>
      <c r="H42" s="1641"/>
      <c r="I42" s="1641"/>
      <c r="J42" s="1641"/>
      <c r="K42" s="1641"/>
      <c r="L42" s="1641"/>
      <c r="M42" s="1641"/>
      <c r="N42" s="1641"/>
      <c r="O42" s="1641"/>
      <c r="P42" s="1641"/>
      <c r="Q42" s="1641"/>
      <c r="R42" s="1641"/>
      <c r="S42" s="1641"/>
      <c r="T42" s="1643"/>
      <c r="U42" s="1640">
        <v>3</v>
      </c>
      <c r="V42" s="1643"/>
      <c r="W42" s="1640">
        <v>4</v>
      </c>
      <c r="X42" s="1641"/>
      <c r="Y42" s="1643"/>
      <c r="Z42" s="1640">
        <v>5</v>
      </c>
      <c r="AA42" s="1641"/>
      <c r="AB42" s="1641"/>
      <c r="AC42" s="1641"/>
      <c r="AD42" s="1641"/>
      <c r="AE42" s="1641"/>
      <c r="AF42" s="1643"/>
      <c r="AG42" s="1640">
        <v>6</v>
      </c>
      <c r="AH42" s="1641"/>
      <c r="AI42" s="1641"/>
      <c r="AJ42" s="1641"/>
      <c r="AK42" s="1641"/>
      <c r="AL42" s="1641"/>
      <c r="AM42" s="1643"/>
      <c r="AN42" s="1640">
        <v>7</v>
      </c>
      <c r="AO42" s="1641"/>
      <c r="AP42" s="1641"/>
      <c r="AQ42" s="1641"/>
      <c r="AR42" s="1641"/>
      <c r="AS42" s="1641"/>
      <c r="AT42" s="1643"/>
      <c r="AU42" s="1640">
        <v>8</v>
      </c>
      <c r="AV42" s="1641"/>
      <c r="AW42" s="1641"/>
      <c r="AX42" s="1641"/>
      <c r="AY42" s="1641"/>
      <c r="AZ42" s="1641"/>
      <c r="BA42" s="1648"/>
    </row>
    <row r="43" spans="1:53" ht="15.75" customHeight="1">
      <c r="A43" s="1627" t="s">
        <v>1025</v>
      </c>
      <c r="B43" s="1628"/>
      <c r="C43" s="1628"/>
      <c r="D43" s="1628"/>
      <c r="E43" s="1656" t="s">
        <v>1583</v>
      </c>
      <c r="F43" s="1689"/>
      <c r="G43" s="1689"/>
      <c r="H43" s="1689"/>
      <c r="I43" s="1689"/>
      <c r="J43" s="1689"/>
      <c r="K43" s="1689"/>
      <c r="L43" s="1689"/>
      <c r="M43" s="1689"/>
      <c r="N43" s="1689"/>
      <c r="O43" s="1689"/>
      <c r="P43" s="1689"/>
      <c r="Q43" s="1689"/>
      <c r="R43" s="1689"/>
      <c r="S43" s="1689"/>
      <c r="T43" s="1689"/>
      <c r="U43" s="1631"/>
      <c r="V43" s="1631"/>
      <c r="W43" s="1631" t="s">
        <v>1125</v>
      </c>
      <c r="X43" s="1631"/>
      <c r="Y43" s="1631"/>
      <c r="Z43" s="1629">
        <f>SUMIF(unos!E:E,'bilans-stanja'!W43,unos!F:F)</f>
        <v>0</v>
      </c>
      <c r="AA43" s="1629"/>
      <c r="AB43" s="1629"/>
      <c r="AC43" s="1629"/>
      <c r="AD43" s="1629"/>
      <c r="AE43" s="1629"/>
      <c r="AF43" s="1629"/>
      <c r="AG43" s="1629">
        <f>SUMIF(unos!E:E,'bilans-stanja'!W43,unos!G:G)</f>
        <v>0</v>
      </c>
      <c r="AH43" s="1629"/>
      <c r="AI43" s="1629"/>
      <c r="AJ43" s="1629"/>
      <c r="AK43" s="1629"/>
      <c r="AL43" s="1629"/>
      <c r="AM43" s="1629"/>
      <c r="AN43" s="1629">
        <f>Z43-AG43</f>
        <v>0</v>
      </c>
      <c r="AO43" s="1629"/>
      <c r="AP43" s="1629"/>
      <c r="AQ43" s="1629"/>
      <c r="AR43" s="1629"/>
      <c r="AS43" s="1629"/>
      <c r="AT43" s="1629"/>
      <c r="AU43" s="1629">
        <f>SUMIF(unos!E:E,'bilans-stanja'!W43,unos!C:C)-SUMIF(unos!E:E,'bilans-stanja'!W43,unos!D:D)</f>
        <v>0</v>
      </c>
      <c r="AV43" s="1629"/>
      <c r="AW43" s="1629"/>
      <c r="AX43" s="1629"/>
      <c r="AY43" s="1629"/>
      <c r="AZ43" s="1629"/>
      <c r="BA43" s="1630"/>
    </row>
    <row r="44" spans="1:53" ht="15.75" customHeight="1">
      <c r="A44" s="1627" t="s">
        <v>1027</v>
      </c>
      <c r="B44" s="1628"/>
      <c r="C44" s="1628"/>
      <c r="D44" s="1628"/>
      <c r="E44" s="1656" t="s">
        <v>1252</v>
      </c>
      <c r="F44" s="1656"/>
      <c r="G44" s="1656"/>
      <c r="H44" s="1656"/>
      <c r="I44" s="1656"/>
      <c r="J44" s="1656"/>
      <c r="K44" s="1656"/>
      <c r="L44" s="1656"/>
      <c r="M44" s="1656"/>
      <c r="N44" s="1656"/>
      <c r="O44" s="1656"/>
      <c r="P44" s="1656"/>
      <c r="Q44" s="1656"/>
      <c r="R44" s="1656"/>
      <c r="S44" s="1656"/>
      <c r="T44" s="1656"/>
      <c r="U44" s="1631"/>
      <c r="V44" s="1631"/>
      <c r="W44" s="1631" t="s">
        <v>2523</v>
      </c>
      <c r="X44" s="1631"/>
      <c r="Y44" s="1631"/>
      <c r="Z44" s="1629">
        <f>SUM(Z45:AF48)</f>
        <v>0</v>
      </c>
      <c r="AA44" s="1629"/>
      <c r="AB44" s="1629"/>
      <c r="AC44" s="1629"/>
      <c r="AD44" s="1629"/>
      <c r="AE44" s="1629"/>
      <c r="AF44" s="1629"/>
      <c r="AG44" s="1629">
        <f>SUM(AG45:AM48)</f>
        <v>0</v>
      </c>
      <c r="AH44" s="1629"/>
      <c r="AI44" s="1629"/>
      <c r="AJ44" s="1629"/>
      <c r="AK44" s="1629"/>
      <c r="AL44" s="1629"/>
      <c r="AM44" s="1629"/>
      <c r="AN44" s="1629">
        <f>Z44-AG44</f>
        <v>0</v>
      </c>
      <c r="AO44" s="1629"/>
      <c r="AP44" s="1629"/>
      <c r="AQ44" s="1629"/>
      <c r="AR44" s="1629"/>
      <c r="AS44" s="1629"/>
      <c r="AT44" s="1629"/>
      <c r="AU44" s="1629">
        <f>SUM(AU45:BA49)</f>
        <v>0</v>
      </c>
      <c r="AV44" s="1629"/>
      <c r="AW44" s="1629"/>
      <c r="AX44" s="1629"/>
      <c r="AY44" s="1629"/>
      <c r="AZ44" s="1629"/>
      <c r="BA44" s="1630"/>
    </row>
    <row r="45" spans="1:53" ht="15.75" customHeight="1">
      <c r="A45" s="1627" t="s">
        <v>433</v>
      </c>
      <c r="B45" s="1628"/>
      <c r="C45" s="1628"/>
      <c r="D45" s="1628"/>
      <c r="E45" s="1679" t="s">
        <v>1584</v>
      </c>
      <c r="F45" s="1679"/>
      <c r="G45" s="1679"/>
      <c r="H45" s="1679"/>
      <c r="I45" s="1679"/>
      <c r="J45" s="1679"/>
      <c r="K45" s="1679"/>
      <c r="L45" s="1679"/>
      <c r="M45" s="1679"/>
      <c r="N45" s="1679"/>
      <c r="O45" s="1679"/>
      <c r="P45" s="1679"/>
      <c r="Q45" s="1679"/>
      <c r="R45" s="1679"/>
      <c r="S45" s="1679"/>
      <c r="T45" s="1679"/>
      <c r="U45" s="1631"/>
      <c r="V45" s="1631"/>
      <c r="W45" s="1631" t="s">
        <v>2524</v>
      </c>
      <c r="X45" s="1631"/>
      <c r="Y45" s="1631"/>
      <c r="Z45" s="1629">
        <f>SUMIF(unos!E:E,'bilans-stanja'!W45,unos!F:F)</f>
        <v>0</v>
      </c>
      <c r="AA45" s="1629"/>
      <c r="AB45" s="1629"/>
      <c r="AC45" s="1629"/>
      <c r="AD45" s="1629"/>
      <c r="AE45" s="1629"/>
      <c r="AF45" s="1629"/>
      <c r="AG45" s="1629">
        <f>SUMIF(unos!E:E,'bilans-stanja'!W45,unos!G:G)</f>
        <v>0</v>
      </c>
      <c r="AH45" s="1629"/>
      <c r="AI45" s="1629"/>
      <c r="AJ45" s="1629"/>
      <c r="AK45" s="1629"/>
      <c r="AL45" s="1629"/>
      <c r="AM45" s="1629"/>
      <c r="AN45" s="1629">
        <f t="shared" ref="AN45:AN78" si="1">Z45-AG45</f>
        <v>0</v>
      </c>
      <c r="AO45" s="1629"/>
      <c r="AP45" s="1629"/>
      <c r="AQ45" s="1629"/>
      <c r="AR45" s="1629"/>
      <c r="AS45" s="1629"/>
      <c r="AT45" s="1629"/>
      <c r="AU45" s="1629">
        <f>SUMIF(unos!E:E,'bilans-stanja'!W45,unos!C:C)-SUMIF(unos!E:E,'bilans-stanja'!W45,unos!D:D)</f>
        <v>0</v>
      </c>
      <c r="AV45" s="1629"/>
      <c r="AW45" s="1629"/>
      <c r="AX45" s="1629"/>
      <c r="AY45" s="1629"/>
      <c r="AZ45" s="1629"/>
      <c r="BA45" s="1630"/>
    </row>
    <row r="46" spans="1:53" ht="15.75" customHeight="1">
      <c r="A46" s="1627" t="s">
        <v>1301</v>
      </c>
      <c r="B46" s="1628"/>
      <c r="C46" s="1628"/>
      <c r="D46" s="1628"/>
      <c r="E46" s="1679" t="s">
        <v>1585</v>
      </c>
      <c r="F46" s="1679"/>
      <c r="G46" s="1679"/>
      <c r="H46" s="1679"/>
      <c r="I46" s="1679"/>
      <c r="J46" s="1679"/>
      <c r="K46" s="1679"/>
      <c r="L46" s="1679"/>
      <c r="M46" s="1679"/>
      <c r="N46" s="1679"/>
      <c r="O46" s="1679"/>
      <c r="P46" s="1679"/>
      <c r="Q46" s="1679"/>
      <c r="R46" s="1679"/>
      <c r="S46" s="1679"/>
      <c r="T46" s="1679"/>
      <c r="U46" s="1631"/>
      <c r="V46" s="1631"/>
      <c r="W46" s="1631" t="s">
        <v>1126</v>
      </c>
      <c r="X46" s="1631"/>
      <c r="Y46" s="1631"/>
      <c r="Z46" s="1629">
        <f>SUMIF(unos!E:E,'bilans-stanja'!W46,unos!F:F)</f>
        <v>0</v>
      </c>
      <c r="AA46" s="1629"/>
      <c r="AB46" s="1629"/>
      <c r="AC46" s="1629"/>
      <c r="AD46" s="1629"/>
      <c r="AE46" s="1629"/>
      <c r="AF46" s="1629"/>
      <c r="AG46" s="1629">
        <f>SUMIF(unos!E:E,'bilans-stanja'!W46,unos!G:G)</f>
        <v>0</v>
      </c>
      <c r="AH46" s="1629"/>
      <c r="AI46" s="1629"/>
      <c r="AJ46" s="1629"/>
      <c r="AK46" s="1629"/>
      <c r="AL46" s="1629"/>
      <c r="AM46" s="1629"/>
      <c r="AN46" s="1629">
        <f t="shared" si="1"/>
        <v>0</v>
      </c>
      <c r="AO46" s="1629"/>
      <c r="AP46" s="1629"/>
      <c r="AQ46" s="1629"/>
      <c r="AR46" s="1629"/>
      <c r="AS46" s="1629"/>
      <c r="AT46" s="1629"/>
      <c r="AU46" s="1629">
        <f>SUMIF(unos!E:E,'bilans-stanja'!W46,unos!C:C)-SUMIF(unos!E:E,'bilans-stanja'!W46,unos!D:D)</f>
        <v>0</v>
      </c>
      <c r="AV46" s="1629"/>
      <c r="AW46" s="1629"/>
      <c r="AX46" s="1629"/>
      <c r="AY46" s="1629"/>
      <c r="AZ46" s="1629"/>
      <c r="BA46" s="1630"/>
    </row>
    <row r="47" spans="1:53" ht="15.75" customHeight="1">
      <c r="A47" s="1627" t="s">
        <v>1302</v>
      </c>
      <c r="B47" s="1628"/>
      <c r="C47" s="1628"/>
      <c r="D47" s="1628"/>
      <c r="E47" s="1679" t="s">
        <v>1586</v>
      </c>
      <c r="F47" s="1679"/>
      <c r="G47" s="1679"/>
      <c r="H47" s="1679"/>
      <c r="I47" s="1679"/>
      <c r="J47" s="1679"/>
      <c r="K47" s="1679"/>
      <c r="L47" s="1679"/>
      <c r="M47" s="1679"/>
      <c r="N47" s="1679"/>
      <c r="O47" s="1679"/>
      <c r="P47" s="1679"/>
      <c r="Q47" s="1679"/>
      <c r="R47" s="1679"/>
      <c r="S47" s="1679"/>
      <c r="T47" s="1679"/>
      <c r="U47" s="1631"/>
      <c r="V47" s="1631"/>
      <c r="W47" s="1631" t="s">
        <v>2525</v>
      </c>
      <c r="X47" s="1631"/>
      <c r="Y47" s="1631"/>
      <c r="Z47" s="1629">
        <f>SUMIF(unos!E:E,'bilans-stanja'!W47,unos!F:F)</f>
        <v>0</v>
      </c>
      <c r="AA47" s="1629"/>
      <c r="AB47" s="1629"/>
      <c r="AC47" s="1629"/>
      <c r="AD47" s="1629"/>
      <c r="AE47" s="1629"/>
      <c r="AF47" s="1629"/>
      <c r="AG47" s="1629">
        <f>SUMIF(unos!E:E,'bilans-stanja'!W47,unos!G:G)</f>
        <v>0</v>
      </c>
      <c r="AH47" s="1629"/>
      <c r="AI47" s="1629"/>
      <c r="AJ47" s="1629"/>
      <c r="AK47" s="1629"/>
      <c r="AL47" s="1629"/>
      <c r="AM47" s="1629"/>
      <c r="AN47" s="1629">
        <f t="shared" si="1"/>
        <v>0</v>
      </c>
      <c r="AO47" s="1629"/>
      <c r="AP47" s="1629"/>
      <c r="AQ47" s="1629"/>
      <c r="AR47" s="1629"/>
      <c r="AS47" s="1629"/>
      <c r="AT47" s="1629"/>
      <c r="AU47" s="1629">
        <f>SUMIF(unos!E:E,'bilans-stanja'!W47,unos!C:C)-SUMIF(unos!E:E,'bilans-stanja'!W47,unos!D:D)</f>
        <v>0</v>
      </c>
      <c r="AV47" s="1629"/>
      <c r="AW47" s="1629"/>
      <c r="AX47" s="1629"/>
      <c r="AY47" s="1629"/>
      <c r="AZ47" s="1629"/>
      <c r="BA47" s="1630"/>
    </row>
    <row r="48" spans="1:53" ht="15.75" customHeight="1">
      <c r="A48" s="1627" t="s">
        <v>1587</v>
      </c>
      <c r="B48" s="1628"/>
      <c r="C48" s="1628"/>
      <c r="D48" s="1628"/>
      <c r="E48" s="1679" t="s">
        <v>1588</v>
      </c>
      <c r="F48" s="1679"/>
      <c r="G48" s="1679"/>
      <c r="H48" s="1679"/>
      <c r="I48" s="1679"/>
      <c r="J48" s="1679"/>
      <c r="K48" s="1679"/>
      <c r="L48" s="1679"/>
      <c r="M48" s="1679"/>
      <c r="N48" s="1679"/>
      <c r="O48" s="1679"/>
      <c r="P48" s="1679"/>
      <c r="Q48" s="1679"/>
      <c r="R48" s="1679"/>
      <c r="S48" s="1679"/>
      <c r="T48" s="1679"/>
      <c r="U48" s="1631"/>
      <c r="V48" s="1631"/>
      <c r="W48" s="1631" t="s">
        <v>2526</v>
      </c>
      <c r="X48" s="1631"/>
      <c r="Y48" s="1631"/>
      <c r="Z48" s="1629">
        <f>SUMIF(unos!E:E,'bilans-stanja'!W48,unos!F:F)</f>
        <v>0</v>
      </c>
      <c r="AA48" s="1629"/>
      <c r="AB48" s="1629"/>
      <c r="AC48" s="1629"/>
      <c r="AD48" s="1629"/>
      <c r="AE48" s="1629"/>
      <c r="AF48" s="1629"/>
      <c r="AG48" s="1629">
        <f>SUMIF(unos!E:E,'bilans-stanja'!W48,unos!G:G)</f>
        <v>0</v>
      </c>
      <c r="AH48" s="1629"/>
      <c r="AI48" s="1629"/>
      <c r="AJ48" s="1629"/>
      <c r="AK48" s="1629"/>
      <c r="AL48" s="1629"/>
      <c r="AM48" s="1629"/>
      <c r="AN48" s="1629">
        <f t="shared" si="1"/>
        <v>0</v>
      </c>
      <c r="AO48" s="1629"/>
      <c r="AP48" s="1629"/>
      <c r="AQ48" s="1629"/>
      <c r="AR48" s="1629"/>
      <c r="AS48" s="1629"/>
      <c r="AT48" s="1629"/>
      <c r="AU48" s="1629">
        <f>SUMIF(unos!E:E,'bilans-stanja'!W48,unos!C:C)-SUMIF(unos!E:E,'bilans-stanja'!W48,unos!D:D)</f>
        <v>0</v>
      </c>
      <c r="AV48" s="1629"/>
      <c r="AW48" s="1629"/>
      <c r="AX48" s="1629"/>
      <c r="AY48" s="1629"/>
      <c r="AZ48" s="1629"/>
      <c r="BA48" s="1630"/>
    </row>
    <row r="49" spans="1:53" ht="15.75" customHeight="1">
      <c r="A49" s="1627" t="s">
        <v>1029</v>
      </c>
      <c r="B49" s="1628"/>
      <c r="C49" s="1628"/>
      <c r="D49" s="1628"/>
      <c r="E49" s="1656" t="s">
        <v>1589</v>
      </c>
      <c r="F49" s="1656"/>
      <c r="G49" s="1656"/>
      <c r="H49" s="1656"/>
      <c r="I49" s="1656"/>
      <c r="J49" s="1656"/>
      <c r="K49" s="1656"/>
      <c r="L49" s="1656"/>
      <c r="M49" s="1656"/>
      <c r="N49" s="1656"/>
      <c r="O49" s="1656"/>
      <c r="P49" s="1656"/>
      <c r="Q49" s="1656"/>
      <c r="R49" s="1656"/>
      <c r="S49" s="1656"/>
      <c r="T49" s="1656"/>
      <c r="U49" s="1631"/>
      <c r="V49" s="1631"/>
      <c r="W49" s="1631" t="s">
        <v>2092</v>
      </c>
      <c r="X49" s="1631"/>
      <c r="Y49" s="1631"/>
      <c r="Z49" s="1629">
        <f>SUMIF(unos!E:E,'bilans-stanja'!W49,unos!F:F)</f>
        <v>0</v>
      </c>
      <c r="AA49" s="1629"/>
      <c r="AB49" s="1629"/>
      <c r="AC49" s="1629"/>
      <c r="AD49" s="1629"/>
      <c r="AE49" s="1629"/>
      <c r="AF49" s="1629"/>
      <c r="AG49" s="1629">
        <f>SUMIF(unos!E:E,'bilans-stanja'!W49,unos!G:G)</f>
        <v>0</v>
      </c>
      <c r="AH49" s="1629"/>
      <c r="AI49" s="1629"/>
      <c r="AJ49" s="1629"/>
      <c r="AK49" s="1629"/>
      <c r="AL49" s="1629"/>
      <c r="AM49" s="1629"/>
      <c r="AN49" s="1629">
        <f t="shared" si="1"/>
        <v>0</v>
      </c>
      <c r="AO49" s="1629"/>
      <c r="AP49" s="1629"/>
      <c r="AQ49" s="1629"/>
      <c r="AR49" s="1629"/>
      <c r="AS49" s="1629"/>
      <c r="AT49" s="1629"/>
      <c r="AU49" s="1629">
        <f>SUMIF(unos!E:E,'bilans-stanja'!W49,unos!C:C)-SUMIF(unos!E:E,'bilans-stanja'!W49,unos!D:D)</f>
        <v>0</v>
      </c>
      <c r="AV49" s="1629"/>
      <c r="AW49" s="1629"/>
      <c r="AX49" s="1629"/>
      <c r="AY49" s="1629"/>
      <c r="AZ49" s="1629"/>
      <c r="BA49" s="1630"/>
    </row>
    <row r="50" spans="1:53" ht="15.75" customHeight="1">
      <c r="A50" s="1627" t="s">
        <v>437</v>
      </c>
      <c r="B50" s="1628"/>
      <c r="C50" s="1628"/>
      <c r="D50" s="1628"/>
      <c r="E50" s="1656" t="s">
        <v>1251</v>
      </c>
      <c r="F50" s="1656"/>
      <c r="G50" s="1656"/>
      <c r="H50" s="1656"/>
      <c r="I50" s="1656"/>
      <c r="J50" s="1656"/>
      <c r="K50" s="1656"/>
      <c r="L50" s="1656"/>
      <c r="M50" s="1656"/>
      <c r="N50" s="1656"/>
      <c r="O50" s="1656"/>
      <c r="P50" s="1656"/>
      <c r="Q50" s="1656"/>
      <c r="R50" s="1656"/>
      <c r="S50" s="1656"/>
      <c r="T50" s="1656"/>
      <c r="U50" s="1631"/>
      <c r="V50" s="1631"/>
      <c r="W50" s="1631" t="s">
        <v>2093</v>
      </c>
      <c r="X50" s="1631"/>
      <c r="Y50" s="1631"/>
      <c r="Z50" s="1629">
        <f>SUM(Z51:AF58)</f>
        <v>0</v>
      </c>
      <c r="AA50" s="1629"/>
      <c r="AB50" s="1629"/>
      <c r="AC50" s="1629"/>
      <c r="AD50" s="1629"/>
      <c r="AE50" s="1629"/>
      <c r="AF50" s="1629"/>
      <c r="AG50" s="1629">
        <f>SUM(AG51:AM58)</f>
        <v>0</v>
      </c>
      <c r="AH50" s="1629"/>
      <c r="AI50" s="1629"/>
      <c r="AJ50" s="1629"/>
      <c r="AK50" s="1629"/>
      <c r="AL50" s="1629"/>
      <c r="AM50" s="1629"/>
      <c r="AN50" s="1629">
        <f t="shared" si="1"/>
        <v>0</v>
      </c>
      <c r="AO50" s="1629"/>
      <c r="AP50" s="1629"/>
      <c r="AQ50" s="1629"/>
      <c r="AR50" s="1629"/>
      <c r="AS50" s="1629"/>
      <c r="AT50" s="1629"/>
      <c r="AU50" s="1629">
        <f>SUM(AU51:BA55)</f>
        <v>0</v>
      </c>
      <c r="AV50" s="1629"/>
      <c r="AW50" s="1629"/>
      <c r="AX50" s="1629"/>
      <c r="AY50" s="1629"/>
      <c r="AZ50" s="1629"/>
      <c r="BA50" s="1630"/>
    </row>
    <row r="51" spans="1:53" ht="15.75" customHeight="1">
      <c r="A51" s="1627" t="s">
        <v>2157</v>
      </c>
      <c r="B51" s="1628"/>
      <c r="C51" s="1628"/>
      <c r="D51" s="1628"/>
      <c r="E51" s="1679" t="s">
        <v>1590</v>
      </c>
      <c r="F51" s="1679"/>
      <c r="G51" s="1679"/>
      <c r="H51" s="1679"/>
      <c r="I51" s="1679"/>
      <c r="J51" s="1679"/>
      <c r="K51" s="1679"/>
      <c r="L51" s="1679"/>
      <c r="M51" s="1679"/>
      <c r="N51" s="1679"/>
      <c r="O51" s="1679"/>
      <c r="P51" s="1679"/>
      <c r="Q51" s="1679"/>
      <c r="R51" s="1679"/>
      <c r="S51" s="1679"/>
      <c r="T51" s="1679"/>
      <c r="U51" s="1631"/>
      <c r="V51" s="1631"/>
      <c r="W51" s="1631" t="s">
        <v>2094</v>
      </c>
      <c r="X51" s="1631"/>
      <c r="Y51" s="1631"/>
      <c r="Z51" s="1629">
        <f>SUMIF(unos!E:E,'bilans-stanja'!W51,unos!F:F)</f>
        <v>0</v>
      </c>
      <c r="AA51" s="1629"/>
      <c r="AB51" s="1629"/>
      <c r="AC51" s="1629"/>
      <c r="AD51" s="1629"/>
      <c r="AE51" s="1629"/>
      <c r="AF51" s="1629"/>
      <c r="AG51" s="1629">
        <f>SUMIF(unos!E:E,'bilans-stanja'!W51,unos!G:G)</f>
        <v>0</v>
      </c>
      <c r="AH51" s="1629"/>
      <c r="AI51" s="1629"/>
      <c r="AJ51" s="1629"/>
      <c r="AK51" s="1629"/>
      <c r="AL51" s="1629"/>
      <c r="AM51" s="1629"/>
      <c r="AN51" s="1629">
        <f t="shared" si="1"/>
        <v>0</v>
      </c>
      <c r="AO51" s="1629"/>
      <c r="AP51" s="1629"/>
      <c r="AQ51" s="1629"/>
      <c r="AR51" s="1629"/>
      <c r="AS51" s="1629"/>
      <c r="AT51" s="1629"/>
      <c r="AU51" s="1629">
        <f>SUMIF(unos!E:E,'bilans-stanja'!W51,unos!C:C)-SUMIF(unos!E:E,'bilans-stanja'!W51,unos!D:D)</f>
        <v>0</v>
      </c>
      <c r="AV51" s="1629"/>
      <c r="AW51" s="1629"/>
      <c r="AX51" s="1629"/>
      <c r="AY51" s="1629"/>
      <c r="AZ51" s="1629"/>
      <c r="BA51" s="1630"/>
    </row>
    <row r="52" spans="1:53" ht="15.75" customHeight="1">
      <c r="A52" s="1627" t="s">
        <v>2158</v>
      </c>
      <c r="B52" s="1628"/>
      <c r="C52" s="1628"/>
      <c r="D52" s="1628"/>
      <c r="E52" s="1679" t="s">
        <v>1591</v>
      </c>
      <c r="F52" s="1679"/>
      <c r="G52" s="1679"/>
      <c r="H52" s="1679"/>
      <c r="I52" s="1679"/>
      <c r="J52" s="1679"/>
      <c r="K52" s="1679"/>
      <c r="L52" s="1679"/>
      <c r="M52" s="1679"/>
      <c r="N52" s="1679"/>
      <c r="O52" s="1679"/>
      <c r="P52" s="1679"/>
      <c r="Q52" s="1679"/>
      <c r="R52" s="1679"/>
      <c r="S52" s="1679"/>
      <c r="T52" s="1679"/>
      <c r="U52" s="1631"/>
      <c r="V52" s="1631"/>
      <c r="W52" s="1631" t="s">
        <v>2095</v>
      </c>
      <c r="X52" s="1631"/>
      <c r="Y52" s="1631"/>
      <c r="Z52" s="1629">
        <f>SUMIF(unos!E:E,'bilans-stanja'!W52,unos!F:F)</f>
        <v>0</v>
      </c>
      <c r="AA52" s="1629"/>
      <c r="AB52" s="1629"/>
      <c r="AC52" s="1629"/>
      <c r="AD52" s="1629"/>
      <c r="AE52" s="1629"/>
      <c r="AF52" s="1629"/>
      <c r="AG52" s="1629">
        <f>SUMIF(unos!E:E,'bilans-stanja'!W52,unos!G:G)</f>
        <v>0</v>
      </c>
      <c r="AH52" s="1629"/>
      <c r="AI52" s="1629"/>
      <c r="AJ52" s="1629"/>
      <c r="AK52" s="1629"/>
      <c r="AL52" s="1629"/>
      <c r="AM52" s="1629"/>
      <c r="AN52" s="1629">
        <f t="shared" si="1"/>
        <v>0</v>
      </c>
      <c r="AO52" s="1629"/>
      <c r="AP52" s="1629"/>
      <c r="AQ52" s="1629"/>
      <c r="AR52" s="1629"/>
      <c r="AS52" s="1629"/>
      <c r="AT52" s="1629"/>
      <c r="AU52" s="1629">
        <f>SUMIF(unos!E:E,'bilans-stanja'!W52,unos!C:C)-SUMIF(unos!E:E,'bilans-stanja'!W52,unos!D:D)</f>
        <v>0</v>
      </c>
      <c r="AV52" s="1629"/>
      <c r="AW52" s="1629"/>
      <c r="AX52" s="1629"/>
      <c r="AY52" s="1629"/>
      <c r="AZ52" s="1629"/>
      <c r="BA52" s="1630"/>
    </row>
    <row r="53" spans="1:53" ht="15.75" customHeight="1">
      <c r="A53" s="1627" t="s">
        <v>2159</v>
      </c>
      <c r="B53" s="1628"/>
      <c r="C53" s="1628"/>
      <c r="D53" s="1628"/>
      <c r="E53" s="1679" t="s">
        <v>1592</v>
      </c>
      <c r="F53" s="1679"/>
      <c r="G53" s="1679"/>
      <c r="H53" s="1679"/>
      <c r="I53" s="1679"/>
      <c r="J53" s="1679"/>
      <c r="K53" s="1679"/>
      <c r="L53" s="1679"/>
      <c r="M53" s="1679"/>
      <c r="N53" s="1679"/>
      <c r="O53" s="1679"/>
      <c r="P53" s="1679"/>
      <c r="Q53" s="1679"/>
      <c r="R53" s="1679"/>
      <c r="S53" s="1679"/>
      <c r="T53" s="1679"/>
      <c r="U53" s="1631"/>
      <c r="V53" s="1631"/>
      <c r="W53" s="1631" t="s">
        <v>2096</v>
      </c>
      <c r="X53" s="1631"/>
      <c r="Y53" s="1631"/>
      <c r="Z53" s="1629">
        <f>SUMIF(unos!E:E,'bilans-stanja'!W53,unos!F:F)</f>
        <v>0</v>
      </c>
      <c r="AA53" s="1629"/>
      <c r="AB53" s="1629"/>
      <c r="AC53" s="1629"/>
      <c r="AD53" s="1629"/>
      <c r="AE53" s="1629"/>
      <c r="AF53" s="1629"/>
      <c r="AG53" s="1629">
        <f>SUMIF(unos!E:E,'bilans-stanja'!W53,unos!G:G)</f>
        <v>0</v>
      </c>
      <c r="AH53" s="1629"/>
      <c r="AI53" s="1629"/>
      <c r="AJ53" s="1629"/>
      <c r="AK53" s="1629"/>
      <c r="AL53" s="1629"/>
      <c r="AM53" s="1629"/>
      <c r="AN53" s="1629">
        <f t="shared" si="1"/>
        <v>0</v>
      </c>
      <c r="AO53" s="1629"/>
      <c r="AP53" s="1629"/>
      <c r="AQ53" s="1629"/>
      <c r="AR53" s="1629"/>
      <c r="AS53" s="1629"/>
      <c r="AT53" s="1629"/>
      <c r="AU53" s="1629">
        <f>SUMIF(unos!E:E,'bilans-stanja'!W53,unos!C:C)-SUMIF(unos!E:E,'bilans-stanja'!W53,unos!D:D)</f>
        <v>0</v>
      </c>
      <c r="AV53" s="1629"/>
      <c r="AW53" s="1629"/>
      <c r="AX53" s="1629"/>
      <c r="AY53" s="1629"/>
      <c r="AZ53" s="1629"/>
      <c r="BA53" s="1630"/>
    </row>
    <row r="54" spans="1:53" ht="15.75" customHeight="1">
      <c r="A54" s="1627" t="s">
        <v>2160</v>
      </c>
      <c r="B54" s="1628"/>
      <c r="C54" s="1628"/>
      <c r="D54" s="1628"/>
      <c r="E54" s="1679" t="s">
        <v>1593</v>
      </c>
      <c r="F54" s="1679"/>
      <c r="G54" s="1679"/>
      <c r="H54" s="1679"/>
      <c r="I54" s="1679"/>
      <c r="J54" s="1679"/>
      <c r="K54" s="1679"/>
      <c r="L54" s="1679"/>
      <c r="M54" s="1679"/>
      <c r="N54" s="1679"/>
      <c r="O54" s="1679"/>
      <c r="P54" s="1679"/>
      <c r="Q54" s="1679"/>
      <c r="R54" s="1679"/>
      <c r="S54" s="1679"/>
      <c r="T54" s="1679"/>
      <c r="U54" s="1631"/>
      <c r="V54" s="1631"/>
      <c r="W54" s="1631" t="s">
        <v>2527</v>
      </c>
      <c r="X54" s="1631"/>
      <c r="Y54" s="1631"/>
      <c r="Z54" s="1629">
        <f>SUMIF(unos!E:E,'bilans-stanja'!W54,unos!F:F)</f>
        <v>0</v>
      </c>
      <c r="AA54" s="1629"/>
      <c r="AB54" s="1629"/>
      <c r="AC54" s="1629"/>
      <c r="AD54" s="1629"/>
      <c r="AE54" s="1629"/>
      <c r="AF54" s="1629"/>
      <c r="AG54" s="1629">
        <f>SUMIF(unos!E:E,'bilans-stanja'!W54,unos!G:G)</f>
        <v>0</v>
      </c>
      <c r="AH54" s="1629"/>
      <c r="AI54" s="1629"/>
      <c r="AJ54" s="1629"/>
      <c r="AK54" s="1629"/>
      <c r="AL54" s="1629"/>
      <c r="AM54" s="1629"/>
      <c r="AN54" s="1629">
        <f t="shared" si="1"/>
        <v>0</v>
      </c>
      <c r="AO54" s="1629"/>
      <c r="AP54" s="1629"/>
      <c r="AQ54" s="1629"/>
      <c r="AR54" s="1629"/>
      <c r="AS54" s="1629"/>
      <c r="AT54" s="1629"/>
      <c r="AU54" s="1629">
        <f>SUMIF(unos!E:E,'bilans-stanja'!W54,unos!C:C)-SUMIF(unos!E:E,'bilans-stanja'!W54,unos!D:D)</f>
        <v>0</v>
      </c>
      <c r="AV54" s="1629"/>
      <c r="AW54" s="1629"/>
      <c r="AX54" s="1629"/>
      <c r="AY54" s="1629"/>
      <c r="AZ54" s="1629"/>
      <c r="BA54" s="1630"/>
    </row>
    <row r="55" spans="1:53" ht="15.75" customHeight="1">
      <c r="A55" s="1627" t="s">
        <v>2161</v>
      </c>
      <c r="B55" s="1628"/>
      <c r="C55" s="1628"/>
      <c r="D55" s="1628"/>
      <c r="E55" s="1679" t="s">
        <v>1594</v>
      </c>
      <c r="F55" s="1679"/>
      <c r="G55" s="1679"/>
      <c r="H55" s="1679"/>
      <c r="I55" s="1679"/>
      <c r="J55" s="1679"/>
      <c r="K55" s="1679"/>
      <c r="L55" s="1679"/>
      <c r="M55" s="1679"/>
      <c r="N55" s="1679"/>
      <c r="O55" s="1679"/>
      <c r="P55" s="1679"/>
      <c r="Q55" s="1679"/>
      <c r="R55" s="1679"/>
      <c r="S55" s="1679"/>
      <c r="T55" s="1679"/>
      <c r="U55" s="1631"/>
      <c r="V55" s="1631"/>
      <c r="W55" s="1631" t="s">
        <v>2528</v>
      </c>
      <c r="X55" s="1631"/>
      <c r="Y55" s="1631"/>
      <c r="Z55" s="1629">
        <f>SUMIF(unos!E:E,'bilans-stanja'!W55,unos!F:F)</f>
        <v>0</v>
      </c>
      <c r="AA55" s="1629"/>
      <c r="AB55" s="1629"/>
      <c r="AC55" s="1629"/>
      <c r="AD55" s="1629"/>
      <c r="AE55" s="1629"/>
      <c r="AF55" s="1629"/>
      <c r="AG55" s="1629">
        <f>SUMIF(unos!E:E,'bilans-stanja'!W55,unos!G:G)</f>
        <v>0</v>
      </c>
      <c r="AH55" s="1629"/>
      <c r="AI55" s="1629"/>
      <c r="AJ55" s="1629"/>
      <c r="AK55" s="1629"/>
      <c r="AL55" s="1629"/>
      <c r="AM55" s="1629"/>
      <c r="AN55" s="1629">
        <f t="shared" si="1"/>
        <v>0</v>
      </c>
      <c r="AO55" s="1629"/>
      <c r="AP55" s="1629"/>
      <c r="AQ55" s="1629"/>
      <c r="AR55" s="1629"/>
      <c r="AS55" s="1629"/>
      <c r="AT55" s="1629"/>
      <c r="AU55" s="1629">
        <f>SUMIF(unos!E:E,'bilans-stanja'!W55,unos!C:C)-SUMIF(unos!E:E,'bilans-stanja'!W55,unos!D:D)</f>
        <v>0</v>
      </c>
      <c r="AV55" s="1629"/>
      <c r="AW55" s="1629"/>
      <c r="AX55" s="1629"/>
      <c r="AY55" s="1629"/>
      <c r="AZ55" s="1629"/>
      <c r="BA55" s="1630"/>
    </row>
    <row r="56" spans="1:53" ht="15.75" customHeight="1">
      <c r="A56" s="1627" t="s">
        <v>590</v>
      </c>
      <c r="B56" s="1628"/>
      <c r="C56" s="1628"/>
      <c r="D56" s="1628"/>
      <c r="E56" s="1679" t="s">
        <v>1595</v>
      </c>
      <c r="F56" s="1679"/>
      <c r="G56" s="1679"/>
      <c r="H56" s="1679"/>
      <c r="I56" s="1679"/>
      <c r="J56" s="1679"/>
      <c r="K56" s="1679"/>
      <c r="L56" s="1679"/>
      <c r="M56" s="1679"/>
      <c r="N56" s="1679"/>
      <c r="O56" s="1679"/>
      <c r="P56" s="1679"/>
      <c r="Q56" s="1679"/>
      <c r="R56" s="1679"/>
      <c r="S56" s="1679"/>
      <c r="T56" s="1679"/>
      <c r="U56" s="1631"/>
      <c r="V56" s="1631"/>
      <c r="W56" s="1631" t="s">
        <v>2097</v>
      </c>
      <c r="X56" s="1631"/>
      <c r="Y56" s="1631"/>
      <c r="Z56" s="1629">
        <f>SUMIF(unos!E:E,'bilans-stanja'!W56,unos!F:F)</f>
        <v>0</v>
      </c>
      <c r="AA56" s="1629"/>
      <c r="AB56" s="1629"/>
      <c r="AC56" s="1629"/>
      <c r="AD56" s="1629"/>
      <c r="AE56" s="1629"/>
      <c r="AF56" s="1629"/>
      <c r="AG56" s="1629">
        <f>SUMIF(unos!E:E,'bilans-stanja'!W56,unos!G:G)</f>
        <v>0</v>
      </c>
      <c r="AH56" s="1629"/>
      <c r="AI56" s="1629"/>
      <c r="AJ56" s="1629"/>
      <c r="AK56" s="1629"/>
      <c r="AL56" s="1629"/>
      <c r="AM56" s="1629"/>
      <c r="AN56" s="1629">
        <f t="shared" si="1"/>
        <v>0</v>
      </c>
      <c r="AO56" s="1629"/>
      <c r="AP56" s="1629"/>
      <c r="AQ56" s="1629"/>
      <c r="AR56" s="1629"/>
      <c r="AS56" s="1629"/>
      <c r="AT56" s="1629"/>
      <c r="AU56" s="1629">
        <f>SUMIF(unos!E:E,'bilans-stanja'!W56,unos!C:C)-SUMIF(unos!E:E,'bilans-stanja'!W56,unos!D:D)</f>
        <v>0</v>
      </c>
      <c r="AV56" s="1629"/>
      <c r="AW56" s="1629"/>
      <c r="AX56" s="1629"/>
      <c r="AY56" s="1629"/>
      <c r="AZ56" s="1629"/>
      <c r="BA56" s="1630"/>
    </row>
    <row r="57" spans="1:53" ht="15.75" customHeight="1">
      <c r="A57" s="1627" t="s">
        <v>591</v>
      </c>
      <c r="B57" s="1628"/>
      <c r="C57" s="1628"/>
      <c r="D57" s="1628"/>
      <c r="E57" s="1679" t="s">
        <v>1596</v>
      </c>
      <c r="F57" s="1679"/>
      <c r="G57" s="1679"/>
      <c r="H57" s="1679"/>
      <c r="I57" s="1679"/>
      <c r="J57" s="1679"/>
      <c r="K57" s="1679"/>
      <c r="L57" s="1679"/>
      <c r="M57" s="1679"/>
      <c r="N57" s="1679"/>
      <c r="O57" s="1679"/>
      <c r="P57" s="1679"/>
      <c r="Q57" s="1679"/>
      <c r="R57" s="1679"/>
      <c r="S57" s="1679"/>
      <c r="T57" s="1679"/>
      <c r="U57" s="1631"/>
      <c r="V57" s="1631"/>
      <c r="W57" s="1631" t="s">
        <v>2529</v>
      </c>
      <c r="X57" s="1631"/>
      <c r="Y57" s="1631"/>
      <c r="Z57" s="1629">
        <f>SUMIF(unos!E:E,'bilans-stanja'!W57,unos!F:F)</f>
        <v>0</v>
      </c>
      <c r="AA57" s="1629"/>
      <c r="AB57" s="1629"/>
      <c r="AC57" s="1629"/>
      <c r="AD57" s="1629"/>
      <c r="AE57" s="1629"/>
      <c r="AF57" s="1629"/>
      <c r="AG57" s="1629">
        <f>SUMIF(unos!E:E,'bilans-stanja'!W57,unos!G:G)</f>
        <v>0</v>
      </c>
      <c r="AH57" s="1629"/>
      <c r="AI57" s="1629"/>
      <c r="AJ57" s="1629"/>
      <c r="AK57" s="1629"/>
      <c r="AL57" s="1629"/>
      <c r="AM57" s="1629"/>
      <c r="AN57" s="1629">
        <f t="shared" si="1"/>
        <v>0</v>
      </c>
      <c r="AO57" s="1629"/>
      <c r="AP57" s="1629"/>
      <c r="AQ57" s="1629"/>
      <c r="AR57" s="1629"/>
      <c r="AS57" s="1629"/>
      <c r="AT57" s="1629"/>
      <c r="AU57" s="1629">
        <f>SUMIF(unos!E:E,'bilans-stanja'!W57,unos!C:C)-SUMIF(unos!E:E,'bilans-stanja'!W57,unos!D:D)</f>
        <v>0</v>
      </c>
      <c r="AV57" s="1629"/>
      <c r="AW57" s="1629"/>
      <c r="AX57" s="1629"/>
      <c r="AY57" s="1629"/>
      <c r="AZ57" s="1629"/>
      <c r="BA57" s="1630"/>
    </row>
    <row r="58" spans="1:53" ht="15.75" customHeight="1">
      <c r="A58" s="1627" t="s">
        <v>593</v>
      </c>
      <c r="B58" s="1628"/>
      <c r="C58" s="1628"/>
      <c r="D58" s="1628"/>
      <c r="E58" s="1679" t="s">
        <v>1597</v>
      </c>
      <c r="F58" s="1679"/>
      <c r="G58" s="1679"/>
      <c r="H58" s="1679"/>
      <c r="I58" s="1679"/>
      <c r="J58" s="1679"/>
      <c r="K58" s="1679"/>
      <c r="L58" s="1679"/>
      <c r="M58" s="1679"/>
      <c r="N58" s="1679"/>
      <c r="O58" s="1679"/>
      <c r="P58" s="1679"/>
      <c r="Q58" s="1679"/>
      <c r="R58" s="1679"/>
      <c r="S58" s="1679"/>
      <c r="T58" s="1679"/>
      <c r="U58" s="1631"/>
      <c r="V58" s="1631"/>
      <c r="W58" s="1631" t="s">
        <v>1887</v>
      </c>
      <c r="X58" s="1631"/>
      <c r="Y58" s="1631"/>
      <c r="Z58" s="1629">
        <f>SUMIF(unos!E:E,'bilans-stanja'!W58,unos!F:F)</f>
        <v>0</v>
      </c>
      <c r="AA58" s="1629"/>
      <c r="AB58" s="1629"/>
      <c r="AC58" s="1629"/>
      <c r="AD58" s="1629"/>
      <c r="AE58" s="1629"/>
      <c r="AF58" s="1629"/>
      <c r="AG58" s="1629">
        <f>SUMIF(unos!E:E,'bilans-stanja'!W58,unos!G:G)</f>
        <v>0</v>
      </c>
      <c r="AH58" s="1629"/>
      <c r="AI58" s="1629"/>
      <c r="AJ58" s="1629"/>
      <c r="AK58" s="1629"/>
      <c r="AL58" s="1629"/>
      <c r="AM58" s="1629"/>
      <c r="AN58" s="1629">
        <f t="shared" si="1"/>
        <v>0</v>
      </c>
      <c r="AO58" s="1629"/>
      <c r="AP58" s="1629"/>
      <c r="AQ58" s="1629"/>
      <c r="AR58" s="1629"/>
      <c r="AS58" s="1629"/>
      <c r="AT58" s="1629"/>
      <c r="AU58" s="1629">
        <f>SUMIF(unos!E:E,'bilans-stanja'!W58,unos!C:C)-SUMIF(unos!E:E,'bilans-stanja'!W58,unos!D:D)</f>
        <v>0</v>
      </c>
      <c r="AV58" s="1629"/>
      <c r="AW58" s="1629"/>
      <c r="AX58" s="1629"/>
      <c r="AY58" s="1629"/>
      <c r="AZ58" s="1629"/>
      <c r="BA58" s="1630"/>
    </row>
    <row r="59" spans="1:53" ht="15.75" customHeight="1">
      <c r="A59" s="1627" t="s">
        <v>728</v>
      </c>
      <c r="B59" s="1628"/>
      <c r="C59" s="1628"/>
      <c r="D59" s="1628"/>
      <c r="E59" s="1656" t="s">
        <v>2229</v>
      </c>
      <c r="F59" s="1656"/>
      <c r="G59" s="1656"/>
      <c r="H59" s="1656"/>
      <c r="I59" s="1656"/>
      <c r="J59" s="1656"/>
      <c r="K59" s="1656"/>
      <c r="L59" s="1656"/>
      <c r="M59" s="1656"/>
      <c r="N59" s="1656"/>
      <c r="O59" s="1656"/>
      <c r="P59" s="1656"/>
      <c r="Q59" s="1656"/>
      <c r="R59" s="1656"/>
      <c r="S59" s="1656"/>
      <c r="T59" s="1656"/>
      <c r="U59" s="1631"/>
      <c r="V59" s="1631"/>
      <c r="W59" s="1631" t="s">
        <v>432</v>
      </c>
      <c r="X59" s="1631"/>
      <c r="Y59" s="1631"/>
      <c r="Z59" s="1629">
        <f>Z60+Z61</f>
        <v>0</v>
      </c>
      <c r="AA59" s="1629"/>
      <c r="AB59" s="1629"/>
      <c r="AC59" s="1629"/>
      <c r="AD59" s="1629"/>
      <c r="AE59" s="1629"/>
      <c r="AF59" s="1629"/>
      <c r="AG59" s="1629">
        <f>AG60+AG61</f>
        <v>0</v>
      </c>
      <c r="AH59" s="1629"/>
      <c r="AI59" s="1629"/>
      <c r="AJ59" s="1629"/>
      <c r="AK59" s="1629"/>
      <c r="AL59" s="1629"/>
      <c r="AM59" s="1629"/>
      <c r="AN59" s="1629">
        <f t="shared" si="1"/>
        <v>0</v>
      </c>
      <c r="AO59" s="1629"/>
      <c r="AP59" s="1629"/>
      <c r="AQ59" s="1629"/>
      <c r="AR59" s="1629"/>
      <c r="AS59" s="1629"/>
      <c r="AT59" s="1629"/>
      <c r="AU59" s="1629">
        <f>SUM(AU60:AU62)</f>
        <v>0</v>
      </c>
      <c r="AV59" s="1629"/>
      <c r="AW59" s="1629"/>
      <c r="AX59" s="1629"/>
      <c r="AY59" s="1629"/>
      <c r="AZ59" s="1629"/>
      <c r="BA59" s="1630"/>
    </row>
    <row r="60" spans="1:53" ht="15.75" customHeight="1">
      <c r="A60" s="1627" t="s">
        <v>594</v>
      </c>
      <c r="B60" s="1628"/>
      <c r="C60" s="1628"/>
      <c r="D60" s="1628"/>
      <c r="E60" s="1679" t="s">
        <v>1598</v>
      </c>
      <c r="F60" s="1679"/>
      <c r="G60" s="1679"/>
      <c r="H60" s="1679"/>
      <c r="I60" s="1679"/>
      <c r="J60" s="1679"/>
      <c r="K60" s="1679"/>
      <c r="L60" s="1679"/>
      <c r="M60" s="1679"/>
      <c r="N60" s="1679"/>
      <c r="O60" s="1679"/>
      <c r="P60" s="1679"/>
      <c r="Q60" s="1679"/>
      <c r="R60" s="1679"/>
      <c r="S60" s="1679"/>
      <c r="T60" s="1679"/>
      <c r="U60" s="1631"/>
      <c r="V60" s="1631"/>
      <c r="W60" s="1631" t="s">
        <v>1888</v>
      </c>
      <c r="X60" s="1631"/>
      <c r="Y60" s="1631"/>
      <c r="Z60" s="1629">
        <f>SUMIF(unos!E:E,'bilans-stanja'!W60,unos!F:F)</f>
        <v>0</v>
      </c>
      <c r="AA60" s="1629"/>
      <c r="AB60" s="1629"/>
      <c r="AC60" s="1629"/>
      <c r="AD60" s="1629"/>
      <c r="AE60" s="1629"/>
      <c r="AF60" s="1629"/>
      <c r="AG60" s="1629">
        <f>SUMIF(unos!E:E,'bilans-stanja'!W60,unos!G:G)</f>
        <v>0</v>
      </c>
      <c r="AH60" s="1629"/>
      <c r="AI60" s="1629"/>
      <c r="AJ60" s="1629"/>
      <c r="AK60" s="1629"/>
      <c r="AL60" s="1629"/>
      <c r="AM60" s="1629"/>
      <c r="AN60" s="1629">
        <f t="shared" si="1"/>
        <v>0</v>
      </c>
      <c r="AO60" s="1629"/>
      <c r="AP60" s="1629"/>
      <c r="AQ60" s="1629"/>
      <c r="AR60" s="1629"/>
      <c r="AS60" s="1629"/>
      <c r="AT60" s="1629"/>
      <c r="AU60" s="1629">
        <f>SUMIF(unos!E:E,'bilans-stanja'!W60,unos!C:C)-SUMIF(unos!E:E,'bilans-stanja'!W60,unos!D:D)</f>
        <v>0</v>
      </c>
      <c r="AV60" s="1629"/>
      <c r="AW60" s="1629"/>
      <c r="AX60" s="1629"/>
      <c r="AY60" s="1629"/>
      <c r="AZ60" s="1629"/>
      <c r="BA60" s="1630"/>
    </row>
    <row r="61" spans="1:53" ht="15.75" customHeight="1">
      <c r="A61" s="1627" t="s">
        <v>1599</v>
      </c>
      <c r="B61" s="1628"/>
      <c r="C61" s="1628"/>
      <c r="D61" s="1628"/>
      <c r="E61" s="1679" t="s">
        <v>1600</v>
      </c>
      <c r="F61" s="1679"/>
      <c r="G61" s="1679"/>
      <c r="H61" s="1679"/>
      <c r="I61" s="1679"/>
      <c r="J61" s="1679"/>
      <c r="K61" s="1679"/>
      <c r="L61" s="1679"/>
      <c r="M61" s="1679"/>
      <c r="N61" s="1679"/>
      <c r="O61" s="1679"/>
      <c r="P61" s="1679"/>
      <c r="Q61" s="1679"/>
      <c r="R61" s="1679"/>
      <c r="S61" s="1679"/>
      <c r="T61" s="1679"/>
      <c r="U61" s="1631"/>
      <c r="V61" s="1631"/>
      <c r="W61" s="1631" t="s">
        <v>2123</v>
      </c>
      <c r="X61" s="1631"/>
      <c r="Y61" s="1631"/>
      <c r="Z61" s="1629">
        <f>SUMIF(unos!E:E,'bilans-stanja'!W61,unos!F:F)</f>
        <v>0</v>
      </c>
      <c r="AA61" s="1629"/>
      <c r="AB61" s="1629"/>
      <c r="AC61" s="1629"/>
      <c r="AD61" s="1629"/>
      <c r="AE61" s="1629"/>
      <c r="AF61" s="1629"/>
      <c r="AG61" s="1629">
        <f>SUMIF(unos!E:E,'bilans-stanja'!W61,unos!G:G)</f>
        <v>0</v>
      </c>
      <c r="AH61" s="1629"/>
      <c r="AI61" s="1629"/>
      <c r="AJ61" s="1629"/>
      <c r="AK61" s="1629"/>
      <c r="AL61" s="1629"/>
      <c r="AM61" s="1629"/>
      <c r="AN61" s="1629">
        <f t="shared" si="1"/>
        <v>0</v>
      </c>
      <c r="AO61" s="1629"/>
      <c r="AP61" s="1629"/>
      <c r="AQ61" s="1629"/>
      <c r="AR61" s="1629"/>
      <c r="AS61" s="1629"/>
      <c r="AT61" s="1629"/>
      <c r="AU61" s="1629">
        <f>SUMIF(unos!E:E,'bilans-stanja'!W61,unos!C:C)-SUMIF(unos!E:E,'bilans-stanja'!W61,unos!D:D)</f>
        <v>0</v>
      </c>
      <c r="AV61" s="1629"/>
      <c r="AW61" s="1629"/>
      <c r="AX61" s="1629"/>
      <c r="AY61" s="1629"/>
      <c r="AZ61" s="1629"/>
      <c r="BA61" s="1630"/>
    </row>
    <row r="62" spans="1:53" ht="15.75" customHeight="1">
      <c r="A62" s="1627" t="s">
        <v>729</v>
      </c>
      <c r="B62" s="1628"/>
      <c r="C62" s="1628"/>
      <c r="D62" s="1628"/>
      <c r="E62" s="1656" t="s">
        <v>1601</v>
      </c>
      <c r="F62" s="1656"/>
      <c r="G62" s="1656"/>
      <c r="H62" s="1656"/>
      <c r="I62" s="1656"/>
      <c r="J62" s="1656"/>
      <c r="K62" s="1656"/>
      <c r="L62" s="1656"/>
      <c r="M62" s="1656"/>
      <c r="N62" s="1656"/>
      <c r="O62" s="1656"/>
      <c r="P62" s="1656"/>
      <c r="Q62" s="1656"/>
      <c r="R62" s="1656"/>
      <c r="S62" s="1656"/>
      <c r="T62" s="1656"/>
      <c r="U62" s="1631"/>
      <c r="V62" s="1631"/>
      <c r="W62" s="1631" t="s">
        <v>434</v>
      </c>
      <c r="X62" s="1631"/>
      <c r="Y62" s="1631"/>
      <c r="Z62" s="1629">
        <f>SUMIF(unos!E:E,'bilans-stanja'!W62,unos!F:F)</f>
        <v>0</v>
      </c>
      <c r="AA62" s="1629"/>
      <c r="AB62" s="1629"/>
      <c r="AC62" s="1629"/>
      <c r="AD62" s="1629"/>
      <c r="AE62" s="1629"/>
      <c r="AF62" s="1629"/>
      <c r="AG62" s="1629">
        <f>SUMIF(unos!E:E,'bilans-stanja'!W62,unos!G:G)</f>
        <v>0</v>
      </c>
      <c r="AH62" s="1629"/>
      <c r="AI62" s="1629"/>
      <c r="AJ62" s="1629"/>
      <c r="AK62" s="1629"/>
      <c r="AL62" s="1629"/>
      <c r="AM62" s="1629"/>
      <c r="AN62" s="1629">
        <f t="shared" si="1"/>
        <v>0</v>
      </c>
      <c r="AO62" s="1629"/>
      <c r="AP62" s="1629"/>
      <c r="AQ62" s="1629"/>
      <c r="AR62" s="1629"/>
      <c r="AS62" s="1629"/>
      <c r="AT62" s="1629"/>
      <c r="AU62" s="1629">
        <f>SUMIF(unos!E:E,'bilans-stanja'!W62,unos!C:C)-SUMIF(unos!E:E,'bilans-stanja'!W62,unos!D:D)</f>
        <v>0</v>
      </c>
      <c r="AV62" s="1629"/>
      <c r="AW62" s="1629"/>
      <c r="AX62" s="1629"/>
      <c r="AY62" s="1629"/>
      <c r="AZ62" s="1629"/>
      <c r="BA62" s="1630"/>
    </row>
    <row r="63" spans="1:53" ht="15.75" customHeight="1">
      <c r="A63" s="1627" t="s">
        <v>925</v>
      </c>
      <c r="B63" s="1628"/>
      <c r="C63" s="1628"/>
      <c r="D63" s="1628"/>
      <c r="E63" s="1656" t="s">
        <v>1602</v>
      </c>
      <c r="F63" s="1656"/>
      <c r="G63" s="1656"/>
      <c r="H63" s="1656"/>
      <c r="I63" s="1656"/>
      <c r="J63" s="1656"/>
      <c r="K63" s="1656"/>
      <c r="L63" s="1656"/>
      <c r="M63" s="1656"/>
      <c r="N63" s="1656"/>
      <c r="O63" s="1656"/>
      <c r="P63" s="1656"/>
      <c r="Q63" s="1656"/>
      <c r="R63" s="1656"/>
      <c r="S63" s="1656"/>
      <c r="T63" s="1656"/>
      <c r="U63" s="1631"/>
      <c r="V63" s="1631"/>
      <c r="W63" s="1631" t="s">
        <v>2124</v>
      </c>
      <c r="X63" s="1631"/>
      <c r="Y63" s="1631"/>
      <c r="Z63" s="1629">
        <f>SUMIF(unos!E:E,'bilans-stanja'!W63,unos!F:F)</f>
        <v>0</v>
      </c>
      <c r="AA63" s="1629"/>
      <c r="AB63" s="1629"/>
      <c r="AC63" s="1629"/>
      <c r="AD63" s="1629"/>
      <c r="AE63" s="1629"/>
      <c r="AF63" s="1629"/>
      <c r="AG63" s="1629">
        <f>SUMIF(unos!E:E,'bilans-stanja'!W63,unos!G:G)</f>
        <v>0</v>
      </c>
      <c r="AH63" s="1629"/>
      <c r="AI63" s="1629"/>
      <c r="AJ63" s="1629"/>
      <c r="AK63" s="1629"/>
      <c r="AL63" s="1629"/>
      <c r="AM63" s="1629"/>
      <c r="AN63" s="1629">
        <f t="shared" si="1"/>
        <v>0</v>
      </c>
      <c r="AO63" s="1629"/>
      <c r="AP63" s="1629"/>
      <c r="AQ63" s="1629"/>
      <c r="AR63" s="1629"/>
      <c r="AS63" s="1629"/>
      <c r="AT63" s="1629"/>
      <c r="AU63" s="1629">
        <f>SUMIF(unos!E:E,'bilans-stanja'!W63,unos!C:C)-SUMIF(unos!E:E,'bilans-stanja'!W63,unos!D:D)</f>
        <v>0</v>
      </c>
      <c r="AV63" s="1629"/>
      <c r="AW63" s="1629"/>
      <c r="AX63" s="1629"/>
      <c r="AY63" s="1629"/>
      <c r="AZ63" s="1629"/>
      <c r="BA63" s="1630"/>
    </row>
    <row r="64" spans="1:53" ht="15.75" customHeight="1">
      <c r="A64" s="1627"/>
      <c r="B64" s="1628"/>
      <c r="C64" s="1628"/>
      <c r="D64" s="1628"/>
      <c r="E64" s="1656" t="s">
        <v>1250</v>
      </c>
      <c r="F64" s="1656"/>
      <c r="G64" s="1656"/>
      <c r="H64" s="1656"/>
      <c r="I64" s="1656"/>
      <c r="J64" s="1656"/>
      <c r="K64" s="1656"/>
      <c r="L64" s="1656"/>
      <c r="M64" s="1656"/>
      <c r="N64" s="1656"/>
      <c r="O64" s="1656"/>
      <c r="P64" s="1656"/>
      <c r="Q64" s="1656"/>
      <c r="R64" s="1656"/>
      <c r="S64" s="1656"/>
      <c r="T64" s="1656"/>
      <c r="U64" s="1631"/>
      <c r="V64" s="1631"/>
      <c r="W64" s="1631" t="s">
        <v>1296</v>
      </c>
      <c r="X64" s="1631"/>
      <c r="Y64" s="1631"/>
      <c r="Z64" s="1629">
        <f>Z65+Z72</f>
        <v>0</v>
      </c>
      <c r="AA64" s="1629"/>
      <c r="AB64" s="1629"/>
      <c r="AC64" s="1629"/>
      <c r="AD64" s="1629"/>
      <c r="AE64" s="1629"/>
      <c r="AF64" s="1629"/>
      <c r="AG64" s="1629">
        <f>AG65+AG72</f>
        <v>0</v>
      </c>
      <c r="AH64" s="1629"/>
      <c r="AI64" s="1629"/>
      <c r="AJ64" s="1629"/>
      <c r="AK64" s="1629"/>
      <c r="AL64" s="1629"/>
      <c r="AM64" s="1629"/>
      <c r="AN64" s="1629">
        <f t="shared" si="1"/>
        <v>0</v>
      </c>
      <c r="AO64" s="1629"/>
      <c r="AP64" s="1629"/>
      <c r="AQ64" s="1629"/>
      <c r="AR64" s="1629"/>
      <c r="AS64" s="1629"/>
      <c r="AT64" s="1629"/>
      <c r="AU64" s="1629">
        <f>AU65+AU72</f>
        <v>0</v>
      </c>
      <c r="AV64" s="1629"/>
      <c r="AW64" s="1629"/>
      <c r="AX64" s="1629"/>
      <c r="AY64" s="1629"/>
      <c r="AZ64" s="1629"/>
      <c r="BA64" s="1630"/>
    </row>
    <row r="65" spans="1:53" ht="15.75" customHeight="1">
      <c r="A65" s="1627" t="s">
        <v>1603</v>
      </c>
      <c r="B65" s="1628"/>
      <c r="C65" s="1628"/>
      <c r="D65" s="1628"/>
      <c r="E65" s="1656" t="s">
        <v>2228</v>
      </c>
      <c r="F65" s="1656"/>
      <c r="G65" s="1656"/>
      <c r="H65" s="1656"/>
      <c r="I65" s="1656"/>
      <c r="J65" s="1656"/>
      <c r="K65" s="1656"/>
      <c r="L65" s="1656"/>
      <c r="M65" s="1656"/>
      <c r="N65" s="1656"/>
      <c r="O65" s="1656"/>
      <c r="P65" s="1656"/>
      <c r="Q65" s="1656"/>
      <c r="R65" s="1656"/>
      <c r="S65" s="1656"/>
      <c r="T65" s="1656"/>
      <c r="U65" s="1631"/>
      <c r="V65" s="1631"/>
      <c r="W65" s="1631" t="s">
        <v>1297</v>
      </c>
      <c r="X65" s="1631"/>
      <c r="Y65" s="1631"/>
      <c r="Z65" s="1629">
        <f>SUM(Z66:AF71)</f>
        <v>0</v>
      </c>
      <c r="AA65" s="1629"/>
      <c r="AB65" s="1629"/>
      <c r="AC65" s="1629"/>
      <c r="AD65" s="1629"/>
      <c r="AE65" s="1629"/>
      <c r="AF65" s="1629"/>
      <c r="AG65" s="1629">
        <f>SUM(AG66:AM71)</f>
        <v>0</v>
      </c>
      <c r="AH65" s="1629"/>
      <c r="AI65" s="1629"/>
      <c r="AJ65" s="1629"/>
      <c r="AK65" s="1629"/>
      <c r="AL65" s="1629"/>
      <c r="AM65" s="1629"/>
      <c r="AN65" s="1629">
        <f t="shared" si="1"/>
        <v>0</v>
      </c>
      <c r="AO65" s="1629"/>
      <c r="AP65" s="1629"/>
      <c r="AQ65" s="1629"/>
      <c r="AR65" s="1629"/>
      <c r="AS65" s="1629"/>
      <c r="AT65" s="1629"/>
      <c r="AU65" s="1629">
        <f>SUM(AU66:BA71)</f>
        <v>0</v>
      </c>
      <c r="AV65" s="1629"/>
      <c r="AW65" s="1629"/>
      <c r="AX65" s="1629"/>
      <c r="AY65" s="1629"/>
      <c r="AZ65" s="1629"/>
      <c r="BA65" s="1630"/>
    </row>
    <row r="66" spans="1:53" ht="15.75" customHeight="1">
      <c r="A66" s="1627" t="s">
        <v>1095</v>
      </c>
      <c r="B66" s="1628"/>
      <c r="C66" s="1628"/>
      <c r="D66" s="1628"/>
      <c r="E66" s="1679" t="s">
        <v>1604</v>
      </c>
      <c r="F66" s="1679"/>
      <c r="G66" s="1679"/>
      <c r="H66" s="1679"/>
      <c r="I66" s="1679"/>
      <c r="J66" s="1679"/>
      <c r="K66" s="1679"/>
      <c r="L66" s="1679"/>
      <c r="M66" s="1679"/>
      <c r="N66" s="1679"/>
      <c r="O66" s="1679"/>
      <c r="P66" s="1679"/>
      <c r="Q66" s="1679"/>
      <c r="R66" s="1679"/>
      <c r="S66" s="1679"/>
      <c r="T66" s="1679"/>
      <c r="U66" s="1631"/>
      <c r="V66" s="1631"/>
      <c r="W66" s="1631" t="s">
        <v>1298</v>
      </c>
      <c r="X66" s="1631"/>
      <c r="Y66" s="1631"/>
      <c r="Z66" s="1629">
        <f>SUMIF(unos!E:E,'bilans-stanja'!W66,unos!F:F)</f>
        <v>0</v>
      </c>
      <c r="AA66" s="1629"/>
      <c r="AB66" s="1629"/>
      <c r="AC66" s="1629"/>
      <c r="AD66" s="1629"/>
      <c r="AE66" s="1629"/>
      <c r="AF66" s="1629"/>
      <c r="AG66" s="1629">
        <f>SUMIF(unos!E:E,'bilans-stanja'!W66,unos!G:G)</f>
        <v>0</v>
      </c>
      <c r="AH66" s="1629"/>
      <c r="AI66" s="1629"/>
      <c r="AJ66" s="1629"/>
      <c r="AK66" s="1629"/>
      <c r="AL66" s="1629"/>
      <c r="AM66" s="1629"/>
      <c r="AN66" s="1629">
        <f t="shared" si="1"/>
        <v>0</v>
      </c>
      <c r="AO66" s="1629"/>
      <c r="AP66" s="1629"/>
      <c r="AQ66" s="1629"/>
      <c r="AR66" s="1629"/>
      <c r="AS66" s="1629"/>
      <c r="AT66" s="1629"/>
      <c r="AU66" s="1629">
        <f>SUMIF(unos!E:E,'bilans-stanja'!W66,unos!C:C)-SUMIF(unos!E:E,'bilans-stanja'!W66,unos!D:D)</f>
        <v>0</v>
      </c>
      <c r="AV66" s="1629"/>
      <c r="AW66" s="1629"/>
      <c r="AX66" s="1629"/>
      <c r="AY66" s="1629"/>
      <c r="AZ66" s="1629"/>
      <c r="BA66" s="1630"/>
    </row>
    <row r="67" spans="1:53" ht="15.75" customHeight="1">
      <c r="A67" s="1627" t="s">
        <v>439</v>
      </c>
      <c r="B67" s="1628"/>
      <c r="C67" s="1628"/>
      <c r="D67" s="1628"/>
      <c r="E67" s="1686" t="s">
        <v>1605</v>
      </c>
      <c r="F67" s="1686"/>
      <c r="G67" s="1686"/>
      <c r="H67" s="1686"/>
      <c r="I67" s="1686"/>
      <c r="J67" s="1686"/>
      <c r="K67" s="1686"/>
      <c r="L67" s="1686"/>
      <c r="M67" s="1686"/>
      <c r="N67" s="1686"/>
      <c r="O67" s="1686"/>
      <c r="P67" s="1686"/>
      <c r="Q67" s="1686"/>
      <c r="R67" s="1686"/>
      <c r="S67" s="1686"/>
      <c r="T67" s="1686"/>
      <c r="U67" s="1631"/>
      <c r="V67" s="1631"/>
      <c r="W67" s="1631" t="s">
        <v>1299</v>
      </c>
      <c r="X67" s="1631"/>
      <c r="Y67" s="1631"/>
      <c r="Z67" s="1629">
        <f>SUMIF(unos!E:E,'bilans-stanja'!W67,unos!F:F)</f>
        <v>0</v>
      </c>
      <c r="AA67" s="1629"/>
      <c r="AB67" s="1629"/>
      <c r="AC67" s="1629"/>
      <c r="AD67" s="1629"/>
      <c r="AE67" s="1629"/>
      <c r="AF67" s="1629"/>
      <c r="AG67" s="1629">
        <f>SUMIF(unos!E:E,'bilans-stanja'!W67,unos!G:G)</f>
        <v>0</v>
      </c>
      <c r="AH67" s="1629"/>
      <c r="AI67" s="1629"/>
      <c r="AJ67" s="1629"/>
      <c r="AK67" s="1629"/>
      <c r="AL67" s="1629"/>
      <c r="AM67" s="1629"/>
      <c r="AN67" s="1629">
        <f t="shared" si="1"/>
        <v>0</v>
      </c>
      <c r="AO67" s="1629"/>
      <c r="AP67" s="1629"/>
      <c r="AQ67" s="1629"/>
      <c r="AR67" s="1629"/>
      <c r="AS67" s="1629"/>
      <c r="AT67" s="1629"/>
      <c r="AU67" s="1629">
        <f>SUMIF(unos!E:E,'bilans-stanja'!W67,unos!C:C)-SUMIF(unos!E:E,'bilans-stanja'!W67,unos!D:D)</f>
        <v>0</v>
      </c>
      <c r="AV67" s="1629"/>
      <c r="AW67" s="1629"/>
      <c r="AX67" s="1629"/>
      <c r="AY67" s="1629"/>
      <c r="AZ67" s="1629"/>
      <c r="BA67" s="1630"/>
    </row>
    <row r="68" spans="1:53" ht="15.75" customHeight="1">
      <c r="A68" s="1627" t="s">
        <v>440</v>
      </c>
      <c r="B68" s="1628"/>
      <c r="C68" s="1628"/>
      <c r="D68" s="1628"/>
      <c r="E68" s="1679" t="s">
        <v>1606</v>
      </c>
      <c r="F68" s="1679"/>
      <c r="G68" s="1679"/>
      <c r="H68" s="1679"/>
      <c r="I68" s="1679"/>
      <c r="J68" s="1679"/>
      <c r="K68" s="1679"/>
      <c r="L68" s="1679"/>
      <c r="M68" s="1679"/>
      <c r="N68" s="1679"/>
      <c r="O68" s="1679"/>
      <c r="P68" s="1679"/>
      <c r="Q68" s="1679"/>
      <c r="R68" s="1679"/>
      <c r="S68" s="1679"/>
      <c r="T68" s="1679"/>
      <c r="U68" s="1631"/>
      <c r="V68" s="1631"/>
      <c r="W68" s="1631" t="s">
        <v>1300</v>
      </c>
      <c r="X68" s="1631"/>
      <c r="Y68" s="1631"/>
      <c r="Z68" s="1629">
        <f>SUMIF(unos!E:E,'bilans-stanja'!W68,unos!F:F)</f>
        <v>0</v>
      </c>
      <c r="AA68" s="1629"/>
      <c r="AB68" s="1629"/>
      <c r="AC68" s="1629"/>
      <c r="AD68" s="1629"/>
      <c r="AE68" s="1629"/>
      <c r="AF68" s="1629"/>
      <c r="AG68" s="1629">
        <f>SUMIF(unos!E:E,'bilans-stanja'!W68,unos!G:G)</f>
        <v>0</v>
      </c>
      <c r="AH68" s="1629"/>
      <c r="AI68" s="1629"/>
      <c r="AJ68" s="1629"/>
      <c r="AK68" s="1629"/>
      <c r="AL68" s="1629"/>
      <c r="AM68" s="1629"/>
      <c r="AN68" s="1629">
        <f t="shared" si="1"/>
        <v>0</v>
      </c>
      <c r="AO68" s="1629"/>
      <c r="AP68" s="1629"/>
      <c r="AQ68" s="1629"/>
      <c r="AR68" s="1629"/>
      <c r="AS68" s="1629"/>
      <c r="AT68" s="1629"/>
      <c r="AU68" s="1629">
        <f>SUMIF(unos!E:E,'bilans-stanja'!W68,unos!C:C)-SUMIF(unos!E:E,'bilans-stanja'!W68,unos!D:D)</f>
        <v>0</v>
      </c>
      <c r="AV68" s="1629"/>
      <c r="AW68" s="1629"/>
      <c r="AX68" s="1629"/>
      <c r="AY68" s="1629"/>
      <c r="AZ68" s="1629"/>
      <c r="BA68" s="1630"/>
    </row>
    <row r="69" spans="1:53" ht="15.75" customHeight="1">
      <c r="A69" s="1627" t="s">
        <v>1096</v>
      </c>
      <c r="B69" s="1628"/>
      <c r="C69" s="1628"/>
      <c r="D69" s="1628"/>
      <c r="E69" s="1679" t="s">
        <v>1607</v>
      </c>
      <c r="F69" s="1679"/>
      <c r="G69" s="1679"/>
      <c r="H69" s="1679"/>
      <c r="I69" s="1679"/>
      <c r="J69" s="1679"/>
      <c r="K69" s="1679"/>
      <c r="L69" s="1679"/>
      <c r="M69" s="1679"/>
      <c r="N69" s="1679"/>
      <c r="O69" s="1679"/>
      <c r="P69" s="1679"/>
      <c r="Q69" s="1679"/>
      <c r="R69" s="1679"/>
      <c r="S69" s="1679"/>
      <c r="T69" s="1679"/>
      <c r="U69" s="1631"/>
      <c r="V69" s="1631"/>
      <c r="W69" s="1631" t="s">
        <v>433</v>
      </c>
      <c r="X69" s="1631"/>
      <c r="Y69" s="1631"/>
      <c r="Z69" s="1629">
        <f>SUMIF(unos!E:E,'bilans-stanja'!W69,unos!F:F)</f>
        <v>0</v>
      </c>
      <c r="AA69" s="1629"/>
      <c r="AB69" s="1629"/>
      <c r="AC69" s="1629"/>
      <c r="AD69" s="1629"/>
      <c r="AE69" s="1629"/>
      <c r="AF69" s="1629"/>
      <c r="AG69" s="1629">
        <f>SUMIF(unos!E:E,'bilans-stanja'!W69,unos!G:G)</f>
        <v>0</v>
      </c>
      <c r="AH69" s="1629"/>
      <c r="AI69" s="1629"/>
      <c r="AJ69" s="1629"/>
      <c r="AK69" s="1629"/>
      <c r="AL69" s="1629"/>
      <c r="AM69" s="1629"/>
      <c r="AN69" s="1629">
        <f t="shared" si="1"/>
        <v>0</v>
      </c>
      <c r="AO69" s="1629"/>
      <c r="AP69" s="1629"/>
      <c r="AQ69" s="1629"/>
      <c r="AR69" s="1629"/>
      <c r="AS69" s="1629"/>
      <c r="AT69" s="1629"/>
      <c r="AU69" s="1629">
        <f>SUMIF(unos!E:E,'bilans-stanja'!W69,unos!C:C)-SUMIF(unos!E:E,'bilans-stanja'!W69,unos!D:D)</f>
        <v>0</v>
      </c>
      <c r="AV69" s="1629"/>
      <c r="AW69" s="1629"/>
      <c r="AX69" s="1629"/>
      <c r="AY69" s="1629"/>
      <c r="AZ69" s="1629"/>
      <c r="BA69" s="1630"/>
    </row>
    <row r="70" spans="1:53" ht="15.75" customHeight="1">
      <c r="A70" s="1627" t="s">
        <v>1097</v>
      </c>
      <c r="B70" s="1628"/>
      <c r="C70" s="1628"/>
      <c r="D70" s="1628"/>
      <c r="E70" s="1679" t="s">
        <v>1608</v>
      </c>
      <c r="F70" s="1679"/>
      <c r="G70" s="1679"/>
      <c r="H70" s="1679"/>
      <c r="I70" s="1679"/>
      <c r="J70" s="1679"/>
      <c r="K70" s="1679"/>
      <c r="L70" s="1679"/>
      <c r="M70" s="1679"/>
      <c r="N70" s="1679"/>
      <c r="O70" s="1679"/>
      <c r="P70" s="1679"/>
      <c r="Q70" s="1679"/>
      <c r="R70" s="1679"/>
      <c r="S70" s="1679"/>
      <c r="T70" s="1679"/>
      <c r="U70" s="1631"/>
      <c r="V70" s="1631"/>
      <c r="W70" s="1631" t="s">
        <v>1301</v>
      </c>
      <c r="X70" s="1631"/>
      <c r="Y70" s="1631"/>
      <c r="Z70" s="1629">
        <f>SUMIF(unos!E:E,'bilans-stanja'!W70,unos!F:F)</f>
        <v>0</v>
      </c>
      <c r="AA70" s="1629"/>
      <c r="AB70" s="1629"/>
      <c r="AC70" s="1629"/>
      <c r="AD70" s="1629"/>
      <c r="AE70" s="1629"/>
      <c r="AF70" s="1629"/>
      <c r="AG70" s="1629">
        <f>SUMIF(unos!E:E,'bilans-stanja'!W70,unos!G:G)</f>
        <v>0</v>
      </c>
      <c r="AH70" s="1629"/>
      <c r="AI70" s="1629"/>
      <c r="AJ70" s="1629"/>
      <c r="AK70" s="1629"/>
      <c r="AL70" s="1629"/>
      <c r="AM70" s="1629"/>
      <c r="AN70" s="1629">
        <f t="shared" si="1"/>
        <v>0</v>
      </c>
      <c r="AO70" s="1629"/>
      <c r="AP70" s="1629"/>
      <c r="AQ70" s="1629"/>
      <c r="AR70" s="1629"/>
      <c r="AS70" s="1629"/>
      <c r="AT70" s="1629"/>
      <c r="AU70" s="1629">
        <f>SUMIF(unos!E:E,'bilans-stanja'!W70,unos!C:C)-SUMIF(unos!E:E,'bilans-stanja'!W70,unos!D:D)</f>
        <v>0</v>
      </c>
      <c r="AV70" s="1629"/>
      <c r="AW70" s="1629"/>
      <c r="AX70" s="1629"/>
      <c r="AY70" s="1629"/>
      <c r="AZ70" s="1629"/>
      <c r="BA70" s="1630"/>
    </row>
    <row r="71" spans="1:53" ht="15.75" customHeight="1">
      <c r="A71" s="1627" t="s">
        <v>1098</v>
      </c>
      <c r="B71" s="1628"/>
      <c r="C71" s="1628"/>
      <c r="D71" s="1628"/>
      <c r="E71" s="1679" t="s">
        <v>1609</v>
      </c>
      <c r="F71" s="1679"/>
      <c r="G71" s="1679"/>
      <c r="H71" s="1679"/>
      <c r="I71" s="1679"/>
      <c r="J71" s="1679"/>
      <c r="K71" s="1679"/>
      <c r="L71" s="1679"/>
      <c r="M71" s="1679"/>
      <c r="N71" s="1679"/>
      <c r="O71" s="1679"/>
      <c r="P71" s="1679"/>
      <c r="Q71" s="1679"/>
      <c r="R71" s="1679"/>
      <c r="S71" s="1679"/>
      <c r="T71" s="1679"/>
      <c r="U71" s="1631"/>
      <c r="V71" s="1631"/>
      <c r="W71" s="1631" t="s">
        <v>1302</v>
      </c>
      <c r="X71" s="1631"/>
      <c r="Y71" s="1631"/>
      <c r="Z71" s="1629">
        <f>SUMIF(unos!E:E,'bilans-stanja'!W71,unos!F:F)</f>
        <v>0</v>
      </c>
      <c r="AA71" s="1629"/>
      <c r="AB71" s="1629"/>
      <c r="AC71" s="1629"/>
      <c r="AD71" s="1629"/>
      <c r="AE71" s="1629"/>
      <c r="AF71" s="1629"/>
      <c r="AG71" s="1629">
        <f>SUMIF(unos!E:E,'bilans-stanja'!W71,unos!G:G)</f>
        <v>0</v>
      </c>
      <c r="AH71" s="1629"/>
      <c r="AI71" s="1629"/>
      <c r="AJ71" s="1629"/>
      <c r="AK71" s="1629"/>
      <c r="AL71" s="1629"/>
      <c r="AM71" s="1629"/>
      <c r="AN71" s="1629">
        <f t="shared" si="1"/>
        <v>0</v>
      </c>
      <c r="AO71" s="1629"/>
      <c r="AP71" s="1629"/>
      <c r="AQ71" s="1629"/>
      <c r="AR71" s="1629"/>
      <c r="AS71" s="1629"/>
      <c r="AT71" s="1629"/>
      <c r="AU71" s="1629">
        <f>SUMIF(unos!E:E,'bilans-stanja'!W71,unos!C:C)-SUMIF(unos!E:E,'bilans-stanja'!W71,unos!D:D)</f>
        <v>0</v>
      </c>
      <c r="AV71" s="1629"/>
      <c r="AW71" s="1629"/>
      <c r="AX71" s="1629"/>
      <c r="AY71" s="1629"/>
      <c r="AZ71" s="1629"/>
      <c r="BA71" s="1630"/>
    </row>
    <row r="72" spans="1:53" ht="24" customHeight="1">
      <c r="A72" s="1627"/>
      <c r="B72" s="1628"/>
      <c r="C72" s="1628"/>
      <c r="D72" s="1628"/>
      <c r="E72" s="1683" t="s">
        <v>2227</v>
      </c>
      <c r="F72" s="1684"/>
      <c r="G72" s="1684"/>
      <c r="H72" s="1684"/>
      <c r="I72" s="1684"/>
      <c r="J72" s="1684"/>
      <c r="K72" s="1684"/>
      <c r="L72" s="1684"/>
      <c r="M72" s="1684"/>
      <c r="N72" s="1684"/>
      <c r="O72" s="1684"/>
      <c r="P72" s="1684"/>
      <c r="Q72" s="1684"/>
      <c r="R72" s="1684"/>
      <c r="S72" s="1684"/>
      <c r="T72" s="1685"/>
      <c r="U72" s="1631"/>
      <c r="V72" s="1631"/>
      <c r="W72" s="1631" t="s">
        <v>1303</v>
      </c>
      <c r="X72" s="1631"/>
      <c r="Y72" s="1631"/>
      <c r="Z72" s="1629">
        <f>Z73+Z76+Z86+Z94+Z95</f>
        <v>0</v>
      </c>
      <c r="AA72" s="1629"/>
      <c r="AB72" s="1629"/>
      <c r="AC72" s="1629"/>
      <c r="AD72" s="1629"/>
      <c r="AE72" s="1629"/>
      <c r="AF72" s="1629"/>
      <c r="AG72" s="1629">
        <f>AG73+AG76+AG86+AG94+AG95</f>
        <v>0</v>
      </c>
      <c r="AH72" s="1629"/>
      <c r="AI72" s="1629"/>
      <c r="AJ72" s="1629"/>
      <c r="AK72" s="1629"/>
      <c r="AL72" s="1629"/>
      <c r="AM72" s="1629"/>
      <c r="AN72" s="1629">
        <f t="shared" si="1"/>
        <v>0</v>
      </c>
      <c r="AO72" s="1629"/>
      <c r="AP72" s="1629"/>
      <c r="AQ72" s="1629"/>
      <c r="AR72" s="1629"/>
      <c r="AS72" s="1629"/>
      <c r="AT72" s="1629"/>
      <c r="AU72" s="1629">
        <f>AU73+AU76+AU86+AU94+AU95</f>
        <v>0</v>
      </c>
      <c r="AV72" s="1629"/>
      <c r="AW72" s="1629"/>
      <c r="AX72" s="1629"/>
      <c r="AY72" s="1629"/>
      <c r="AZ72" s="1629"/>
      <c r="BA72" s="1630"/>
    </row>
    <row r="73" spans="1:53" ht="15.75" customHeight="1">
      <c r="A73" s="1627" t="s">
        <v>145</v>
      </c>
      <c r="B73" s="1628"/>
      <c r="C73" s="1628"/>
      <c r="D73" s="1628"/>
      <c r="E73" s="1679" t="s">
        <v>1610</v>
      </c>
      <c r="F73" s="1679"/>
      <c r="G73" s="1679"/>
      <c r="H73" s="1679"/>
      <c r="I73" s="1679"/>
      <c r="J73" s="1679"/>
      <c r="K73" s="1679"/>
      <c r="L73" s="1679"/>
      <c r="M73" s="1679"/>
      <c r="N73" s="1679"/>
      <c r="O73" s="1679"/>
      <c r="P73" s="1679"/>
      <c r="Q73" s="1679"/>
      <c r="R73" s="1679"/>
      <c r="S73" s="1679"/>
      <c r="T73" s="1679"/>
      <c r="U73" s="1631"/>
      <c r="V73" s="1631"/>
      <c r="W73" s="1631" t="s">
        <v>1304</v>
      </c>
      <c r="X73" s="1631"/>
      <c r="Y73" s="1631"/>
      <c r="Z73" s="1629">
        <f>Z74+Z75</f>
        <v>0</v>
      </c>
      <c r="AA73" s="1629"/>
      <c r="AB73" s="1629"/>
      <c r="AC73" s="1629"/>
      <c r="AD73" s="1629"/>
      <c r="AE73" s="1629"/>
      <c r="AF73" s="1629"/>
      <c r="AG73" s="1629">
        <f>AG74+AG75</f>
        <v>0</v>
      </c>
      <c r="AH73" s="1629"/>
      <c r="AI73" s="1629"/>
      <c r="AJ73" s="1629"/>
      <c r="AK73" s="1629"/>
      <c r="AL73" s="1629"/>
      <c r="AM73" s="1629"/>
      <c r="AN73" s="1629">
        <f t="shared" si="1"/>
        <v>0</v>
      </c>
      <c r="AO73" s="1629"/>
      <c r="AP73" s="1629"/>
      <c r="AQ73" s="1629"/>
      <c r="AR73" s="1629"/>
      <c r="AS73" s="1629"/>
      <c r="AT73" s="1629"/>
      <c r="AU73" s="1629">
        <f>AU74+AU75</f>
        <v>0</v>
      </c>
      <c r="AV73" s="1629"/>
      <c r="AW73" s="1629"/>
      <c r="AX73" s="1629"/>
      <c r="AY73" s="1629"/>
      <c r="AZ73" s="1629"/>
      <c r="BA73" s="1630"/>
    </row>
    <row r="74" spans="1:53" ht="15.75" customHeight="1">
      <c r="A74" s="1627" t="s">
        <v>1611</v>
      </c>
      <c r="B74" s="1628"/>
      <c r="C74" s="1628"/>
      <c r="D74" s="1628"/>
      <c r="E74" s="1679" t="s">
        <v>1612</v>
      </c>
      <c r="F74" s="1679"/>
      <c r="G74" s="1679"/>
      <c r="H74" s="1679"/>
      <c r="I74" s="1679"/>
      <c r="J74" s="1679"/>
      <c r="K74" s="1679"/>
      <c r="L74" s="1679"/>
      <c r="M74" s="1679"/>
      <c r="N74" s="1679"/>
      <c r="O74" s="1679"/>
      <c r="P74" s="1679"/>
      <c r="Q74" s="1679"/>
      <c r="R74" s="1679"/>
      <c r="S74" s="1679"/>
      <c r="T74" s="1679"/>
      <c r="U74" s="1631"/>
      <c r="V74" s="1631"/>
      <c r="W74" s="1631" t="s">
        <v>1305</v>
      </c>
      <c r="X74" s="1631"/>
      <c r="Y74" s="1631"/>
      <c r="Z74" s="1629">
        <f>SUMIF(unos!E:E,'bilans-stanja'!W74,unos!F:F)</f>
        <v>0</v>
      </c>
      <c r="AA74" s="1629"/>
      <c r="AB74" s="1629"/>
      <c r="AC74" s="1629"/>
      <c r="AD74" s="1629"/>
      <c r="AE74" s="1629"/>
      <c r="AF74" s="1629"/>
      <c r="AG74" s="1629">
        <f>SUMIF(unos!E:E,'bilans-stanja'!W74,unos!G:G)</f>
        <v>0</v>
      </c>
      <c r="AH74" s="1629"/>
      <c r="AI74" s="1629"/>
      <c r="AJ74" s="1629"/>
      <c r="AK74" s="1629"/>
      <c r="AL74" s="1629"/>
      <c r="AM74" s="1629"/>
      <c r="AN74" s="1629">
        <f t="shared" si="1"/>
        <v>0</v>
      </c>
      <c r="AO74" s="1629"/>
      <c r="AP74" s="1629"/>
      <c r="AQ74" s="1629"/>
      <c r="AR74" s="1629"/>
      <c r="AS74" s="1629"/>
      <c r="AT74" s="1629"/>
      <c r="AU74" s="1629">
        <f>SUMIF(unos!E:E,'bilans-stanja'!W74,unos!C:C)-SUMIF(unos!E:E,'bilans-stanja'!W74,unos!D:D)</f>
        <v>0</v>
      </c>
      <c r="AV74" s="1629"/>
      <c r="AW74" s="1629"/>
      <c r="AX74" s="1629"/>
      <c r="AY74" s="1629"/>
      <c r="AZ74" s="1629"/>
      <c r="BA74" s="1630"/>
    </row>
    <row r="75" spans="1:53" ht="15.75" customHeight="1">
      <c r="A75" s="1627" t="s">
        <v>2321</v>
      </c>
      <c r="B75" s="1628"/>
      <c r="C75" s="1628"/>
      <c r="D75" s="1628"/>
      <c r="E75" s="1679" t="s">
        <v>1613</v>
      </c>
      <c r="F75" s="1679"/>
      <c r="G75" s="1679"/>
      <c r="H75" s="1679"/>
      <c r="I75" s="1679"/>
      <c r="J75" s="1679"/>
      <c r="K75" s="1679"/>
      <c r="L75" s="1679"/>
      <c r="M75" s="1679"/>
      <c r="N75" s="1679"/>
      <c r="O75" s="1679"/>
      <c r="P75" s="1679"/>
      <c r="Q75" s="1679"/>
      <c r="R75" s="1679"/>
      <c r="S75" s="1679"/>
      <c r="T75" s="1679"/>
      <c r="U75" s="1631"/>
      <c r="V75" s="1631"/>
      <c r="W75" s="1631" t="s">
        <v>1306</v>
      </c>
      <c r="X75" s="1631"/>
      <c r="Y75" s="1631"/>
      <c r="Z75" s="1629">
        <f>SUMIF(unos!E:E,'bilans-stanja'!W75,unos!F:F)</f>
        <v>0</v>
      </c>
      <c r="AA75" s="1629"/>
      <c r="AB75" s="1629"/>
      <c r="AC75" s="1629"/>
      <c r="AD75" s="1629"/>
      <c r="AE75" s="1629"/>
      <c r="AF75" s="1629"/>
      <c r="AG75" s="1629">
        <f>SUMIF(unos!E:E,'bilans-stanja'!W75,unos!G:G)</f>
        <v>0</v>
      </c>
      <c r="AH75" s="1629"/>
      <c r="AI75" s="1629"/>
      <c r="AJ75" s="1629"/>
      <c r="AK75" s="1629"/>
      <c r="AL75" s="1629"/>
      <c r="AM75" s="1629"/>
      <c r="AN75" s="1629">
        <f t="shared" si="1"/>
        <v>0</v>
      </c>
      <c r="AO75" s="1629"/>
      <c r="AP75" s="1629"/>
      <c r="AQ75" s="1629"/>
      <c r="AR75" s="1629"/>
      <c r="AS75" s="1629"/>
      <c r="AT75" s="1629"/>
      <c r="AU75" s="1629">
        <f>SUMIF(unos!E:E,'bilans-stanja'!W75,unos!C:C)-SUMIF(unos!E:E,'bilans-stanja'!W75,unos!D:D)</f>
        <v>0</v>
      </c>
      <c r="AV75" s="1629"/>
      <c r="AW75" s="1629"/>
      <c r="AX75" s="1629"/>
      <c r="AY75" s="1629"/>
      <c r="AZ75" s="1629"/>
      <c r="BA75" s="1630"/>
    </row>
    <row r="76" spans="1:53" ht="15.75" customHeight="1">
      <c r="A76" s="1627" t="s">
        <v>1614</v>
      </c>
      <c r="B76" s="1628"/>
      <c r="C76" s="1628"/>
      <c r="D76" s="1628"/>
      <c r="E76" s="1679" t="s">
        <v>1615</v>
      </c>
      <c r="F76" s="1679"/>
      <c r="G76" s="1679"/>
      <c r="H76" s="1679"/>
      <c r="I76" s="1679"/>
      <c r="J76" s="1679"/>
      <c r="K76" s="1679"/>
      <c r="L76" s="1679"/>
      <c r="M76" s="1679"/>
      <c r="N76" s="1679"/>
      <c r="O76" s="1679"/>
      <c r="P76" s="1679"/>
      <c r="Q76" s="1679"/>
      <c r="R76" s="1679"/>
      <c r="S76" s="1679"/>
      <c r="T76" s="1679"/>
      <c r="U76" s="1631"/>
      <c r="V76" s="1631"/>
      <c r="W76" s="1631" t="s">
        <v>1307</v>
      </c>
      <c r="X76" s="1631"/>
      <c r="Y76" s="1631"/>
      <c r="Z76" s="1629">
        <f>SUM(Z77:AF78,Z83:AF85)</f>
        <v>0</v>
      </c>
      <c r="AA76" s="1629"/>
      <c r="AB76" s="1629"/>
      <c r="AC76" s="1629"/>
      <c r="AD76" s="1629"/>
      <c r="AE76" s="1629"/>
      <c r="AF76" s="1629"/>
      <c r="AG76" s="1629">
        <f>SUM(AG77:AM78,AG83:AM85)</f>
        <v>0</v>
      </c>
      <c r="AH76" s="1629"/>
      <c r="AI76" s="1629"/>
      <c r="AJ76" s="1629"/>
      <c r="AK76" s="1629"/>
      <c r="AL76" s="1629"/>
      <c r="AM76" s="1629"/>
      <c r="AN76" s="1629">
        <f t="shared" si="1"/>
        <v>0</v>
      </c>
      <c r="AO76" s="1629"/>
      <c r="AP76" s="1629"/>
      <c r="AQ76" s="1629"/>
      <c r="AR76" s="1629"/>
      <c r="AS76" s="1629"/>
      <c r="AT76" s="1629"/>
      <c r="AU76" s="1629">
        <f>SUM(AU77:AU78,AU83:BA85)</f>
        <v>0</v>
      </c>
      <c r="AV76" s="1629"/>
      <c r="AW76" s="1629"/>
      <c r="AX76" s="1629"/>
      <c r="AY76" s="1629"/>
      <c r="AZ76" s="1629"/>
      <c r="BA76" s="1630"/>
    </row>
    <row r="77" spans="1:53" ht="15.75" customHeight="1">
      <c r="A77" s="1627" t="s">
        <v>2544</v>
      </c>
      <c r="B77" s="1628"/>
      <c r="C77" s="1628"/>
      <c r="D77" s="1628"/>
      <c r="E77" s="1679" t="s">
        <v>1616</v>
      </c>
      <c r="F77" s="1679"/>
      <c r="G77" s="1679"/>
      <c r="H77" s="1679"/>
      <c r="I77" s="1679"/>
      <c r="J77" s="1679"/>
      <c r="K77" s="1679"/>
      <c r="L77" s="1679"/>
      <c r="M77" s="1679"/>
      <c r="N77" s="1679"/>
      <c r="O77" s="1679"/>
      <c r="P77" s="1679"/>
      <c r="Q77" s="1679"/>
      <c r="R77" s="1679"/>
      <c r="S77" s="1679"/>
      <c r="T77" s="1679"/>
      <c r="U77" s="1631"/>
      <c r="V77" s="1631"/>
      <c r="W77" s="1631" t="s">
        <v>2145</v>
      </c>
      <c r="X77" s="1631"/>
      <c r="Y77" s="1631"/>
      <c r="Z77" s="1629">
        <f>SUMIF(unos!E:E,'bilans-stanja'!W77,unos!F:F)</f>
        <v>0</v>
      </c>
      <c r="AA77" s="1629"/>
      <c r="AB77" s="1629"/>
      <c r="AC77" s="1629"/>
      <c r="AD77" s="1629"/>
      <c r="AE77" s="1629"/>
      <c r="AF77" s="1629"/>
      <c r="AG77" s="1629">
        <f>SUMIF(unos!E:E,'bilans-stanja'!W77,unos!G:G)</f>
        <v>0</v>
      </c>
      <c r="AH77" s="1629"/>
      <c r="AI77" s="1629"/>
      <c r="AJ77" s="1629"/>
      <c r="AK77" s="1629"/>
      <c r="AL77" s="1629"/>
      <c r="AM77" s="1629"/>
      <c r="AN77" s="1629">
        <f t="shared" si="1"/>
        <v>0</v>
      </c>
      <c r="AO77" s="1629"/>
      <c r="AP77" s="1629"/>
      <c r="AQ77" s="1629"/>
      <c r="AR77" s="1629"/>
      <c r="AS77" s="1629"/>
      <c r="AT77" s="1629"/>
      <c r="AU77" s="1629">
        <f>SUMIF(unos!E:E,'bilans-stanja'!W77,unos!C:C)-SUMIF(unos!E:E,'bilans-stanja'!W77,unos!D:D)</f>
        <v>0</v>
      </c>
      <c r="AV77" s="1629"/>
      <c r="AW77" s="1629"/>
      <c r="AX77" s="1629"/>
      <c r="AY77" s="1629"/>
      <c r="AZ77" s="1629"/>
      <c r="BA77" s="1630"/>
    </row>
    <row r="78" spans="1:53" ht="15.75" customHeight="1" thickBot="1">
      <c r="A78" s="1650" t="s">
        <v>2545</v>
      </c>
      <c r="B78" s="1651"/>
      <c r="C78" s="1651"/>
      <c r="D78" s="1651"/>
      <c r="E78" s="1680" t="s">
        <v>1617</v>
      </c>
      <c r="F78" s="1680"/>
      <c r="G78" s="1680"/>
      <c r="H78" s="1680"/>
      <c r="I78" s="1680"/>
      <c r="J78" s="1680"/>
      <c r="K78" s="1680"/>
      <c r="L78" s="1680"/>
      <c r="M78" s="1680"/>
      <c r="N78" s="1680"/>
      <c r="O78" s="1680"/>
      <c r="P78" s="1680"/>
      <c r="Q78" s="1680"/>
      <c r="R78" s="1680"/>
      <c r="S78" s="1680"/>
      <c r="T78" s="1680"/>
      <c r="U78" s="1652"/>
      <c r="V78" s="1652"/>
      <c r="W78" s="1652" t="s">
        <v>2146</v>
      </c>
      <c r="X78" s="1652"/>
      <c r="Y78" s="1652"/>
      <c r="Z78" s="1681">
        <f>SUMIF(unos!E:E,'bilans-stanja'!W78,unos!F:F)</f>
        <v>0</v>
      </c>
      <c r="AA78" s="1681"/>
      <c r="AB78" s="1681"/>
      <c r="AC78" s="1681"/>
      <c r="AD78" s="1681"/>
      <c r="AE78" s="1681"/>
      <c r="AF78" s="1681"/>
      <c r="AG78" s="1681">
        <f>SUMIF(unos!E:E,'bilans-stanja'!W78,unos!G:G)</f>
        <v>0</v>
      </c>
      <c r="AH78" s="1681"/>
      <c r="AI78" s="1681"/>
      <c r="AJ78" s="1681"/>
      <c r="AK78" s="1681"/>
      <c r="AL78" s="1681"/>
      <c r="AM78" s="1681"/>
      <c r="AN78" s="1681">
        <f t="shared" si="1"/>
        <v>0</v>
      </c>
      <c r="AO78" s="1681"/>
      <c r="AP78" s="1681"/>
      <c r="AQ78" s="1681"/>
      <c r="AR78" s="1681"/>
      <c r="AS78" s="1681"/>
      <c r="AT78" s="1681"/>
      <c r="AU78" s="1681">
        <f>SUMIF(unos!E:E,'bilans-stanja'!W78,unos!C:C)-SUMIF(unos!E:E,'bilans-stanja'!W78,unos!D:D)</f>
        <v>0</v>
      </c>
      <c r="AV78" s="1681"/>
      <c r="AW78" s="1681"/>
      <c r="AX78" s="1681"/>
      <c r="AY78" s="1681"/>
      <c r="AZ78" s="1681"/>
      <c r="BA78" s="1682"/>
    </row>
    <row r="79" spans="1:53" s="844" customFormat="1" ht="11.25" customHeight="1">
      <c r="A79" s="37"/>
      <c r="B79" s="37"/>
      <c r="C79" s="37"/>
      <c r="D79" s="37"/>
      <c r="E79" s="848"/>
      <c r="F79" s="848"/>
      <c r="G79" s="848"/>
      <c r="H79" s="848"/>
      <c r="I79" s="848"/>
      <c r="J79" s="848"/>
      <c r="K79" s="848"/>
      <c r="L79" s="848"/>
      <c r="M79" s="848"/>
      <c r="N79" s="848"/>
      <c r="O79" s="848"/>
      <c r="P79" s="848"/>
      <c r="Q79" s="848"/>
      <c r="R79" s="848"/>
      <c r="S79" s="848"/>
      <c r="T79" s="848"/>
      <c r="U79" s="849"/>
      <c r="V79" s="849"/>
      <c r="W79" s="849"/>
      <c r="X79" s="849"/>
      <c r="Y79" s="849"/>
      <c r="Z79" s="850"/>
      <c r="AA79" s="850"/>
      <c r="AB79" s="850"/>
      <c r="AC79" s="850"/>
      <c r="AD79" s="850"/>
      <c r="AE79" s="850"/>
      <c r="AF79" s="850"/>
      <c r="AG79" s="850"/>
      <c r="AH79" s="850"/>
      <c r="AI79" s="850"/>
      <c r="AJ79" s="850"/>
      <c r="AK79" s="850"/>
      <c r="AL79" s="850"/>
      <c r="AM79" s="850"/>
      <c r="AN79" s="850"/>
      <c r="AO79" s="850"/>
      <c r="AP79" s="850"/>
      <c r="AQ79" s="850"/>
      <c r="AR79" s="850"/>
      <c r="AS79" s="850"/>
      <c r="AT79" s="850"/>
      <c r="AU79" s="850"/>
      <c r="AV79" s="850"/>
      <c r="AW79" s="850"/>
      <c r="AX79" s="850"/>
      <c r="AY79" s="850"/>
      <c r="AZ79" s="850"/>
      <c r="BA79" s="850"/>
    </row>
    <row r="80" spans="1:53" s="844" customFormat="1" ht="18.75" customHeight="1">
      <c r="A80" s="37"/>
      <c r="B80" s="37"/>
      <c r="C80" s="37"/>
      <c r="D80" s="37"/>
      <c r="E80" s="848"/>
      <c r="F80" s="848"/>
      <c r="G80" s="848"/>
      <c r="H80" s="848"/>
      <c r="I80" s="848"/>
      <c r="J80" s="848"/>
      <c r="K80" s="848"/>
      <c r="L80" s="848"/>
      <c r="M80" s="848"/>
      <c r="N80" s="848"/>
      <c r="O80" s="848"/>
      <c r="P80" s="848"/>
      <c r="Q80" s="848"/>
      <c r="R80" s="848"/>
      <c r="S80" s="848"/>
      <c r="T80" s="848"/>
      <c r="U80" s="849"/>
      <c r="V80" s="849"/>
      <c r="W80" s="849"/>
      <c r="X80" s="849"/>
      <c r="Y80" s="849"/>
      <c r="Z80" s="850"/>
      <c r="AA80" s="850"/>
      <c r="AB80" s="850"/>
      <c r="AC80" s="850"/>
      <c r="AD80" s="850"/>
      <c r="AE80" s="850"/>
      <c r="AF80" s="850"/>
      <c r="AG80" s="850"/>
      <c r="AH80" s="850"/>
      <c r="AI80" s="850"/>
      <c r="AJ80" s="850"/>
      <c r="AK80" s="850"/>
      <c r="AL80" s="850"/>
      <c r="AM80" s="850"/>
      <c r="AN80" s="850"/>
      <c r="AO80" s="850"/>
      <c r="AP80" s="850"/>
      <c r="AQ80" s="850"/>
      <c r="AR80" s="850"/>
      <c r="AS80" s="850"/>
      <c r="AT80" s="850"/>
      <c r="AU80" s="850"/>
      <c r="AV80" s="850"/>
      <c r="AW80" s="850"/>
      <c r="AX80" s="850"/>
      <c r="AY80" s="850"/>
      <c r="AZ80" s="892"/>
      <c r="BA80" s="935" t="s">
        <v>2631</v>
      </c>
    </row>
    <row r="81" spans="1:53" s="844" customFormat="1" ht="11.25" customHeight="1" thickBot="1">
      <c r="A81" s="37"/>
      <c r="B81" s="37"/>
      <c r="C81" s="37"/>
      <c r="D81" s="37"/>
      <c r="E81" s="848"/>
      <c r="F81" s="848"/>
      <c r="G81" s="848"/>
      <c r="H81" s="848"/>
      <c r="I81" s="848"/>
      <c r="J81" s="848"/>
      <c r="K81" s="848"/>
      <c r="L81" s="848"/>
      <c r="M81" s="848"/>
      <c r="N81" s="848"/>
      <c r="O81" s="848"/>
      <c r="P81" s="848"/>
      <c r="Q81" s="848"/>
      <c r="R81" s="848"/>
      <c r="S81" s="848"/>
      <c r="T81" s="848"/>
      <c r="U81" s="849"/>
      <c r="V81" s="849"/>
      <c r="W81" s="849"/>
      <c r="X81" s="849"/>
      <c r="Y81" s="849"/>
      <c r="Z81" s="850"/>
      <c r="AA81" s="850"/>
      <c r="AB81" s="850"/>
      <c r="AC81" s="850"/>
      <c r="AD81" s="850"/>
      <c r="AE81" s="850"/>
      <c r="AF81" s="850"/>
      <c r="AG81" s="850"/>
      <c r="AH81" s="850"/>
      <c r="AI81" s="850"/>
      <c r="AJ81" s="850"/>
      <c r="AK81" s="850"/>
      <c r="AL81" s="850"/>
      <c r="AM81" s="850"/>
      <c r="AN81" s="850"/>
      <c r="AO81" s="850"/>
      <c r="AP81" s="850"/>
      <c r="AQ81" s="850"/>
      <c r="AR81" s="850"/>
      <c r="AS81" s="850"/>
      <c r="AT81" s="850"/>
      <c r="AU81" s="850"/>
      <c r="AV81" s="850"/>
      <c r="AW81" s="850"/>
      <c r="AX81" s="850"/>
      <c r="AY81" s="850"/>
      <c r="AZ81" s="850"/>
      <c r="BA81" s="850"/>
    </row>
    <row r="82" spans="1:53" ht="13.5" customHeight="1" thickBot="1">
      <c r="A82" s="1638" t="s">
        <v>522</v>
      </c>
      <c r="B82" s="1639"/>
      <c r="C82" s="1639"/>
      <c r="D82" s="1639"/>
      <c r="E82" s="1640">
        <v>2</v>
      </c>
      <c r="F82" s="1641"/>
      <c r="G82" s="1641"/>
      <c r="H82" s="1641"/>
      <c r="I82" s="1641"/>
      <c r="J82" s="1641"/>
      <c r="K82" s="1641"/>
      <c r="L82" s="1641"/>
      <c r="M82" s="1641"/>
      <c r="N82" s="1641"/>
      <c r="O82" s="1641"/>
      <c r="P82" s="1641"/>
      <c r="Q82" s="1641"/>
      <c r="R82" s="1641"/>
      <c r="S82" s="1641"/>
      <c r="T82" s="1643"/>
      <c r="U82" s="1640">
        <v>3</v>
      </c>
      <c r="V82" s="1643"/>
      <c r="W82" s="1640">
        <v>4</v>
      </c>
      <c r="X82" s="1641"/>
      <c r="Y82" s="1643"/>
      <c r="Z82" s="1640">
        <v>5</v>
      </c>
      <c r="AA82" s="1641"/>
      <c r="AB82" s="1641"/>
      <c r="AC82" s="1641"/>
      <c r="AD82" s="1641"/>
      <c r="AE82" s="1641"/>
      <c r="AF82" s="1643"/>
      <c r="AG82" s="1640">
        <v>6</v>
      </c>
      <c r="AH82" s="1641"/>
      <c r="AI82" s="1641"/>
      <c r="AJ82" s="1641"/>
      <c r="AK82" s="1641"/>
      <c r="AL82" s="1641"/>
      <c r="AM82" s="1643"/>
      <c r="AN82" s="1640">
        <v>7</v>
      </c>
      <c r="AO82" s="1641"/>
      <c r="AP82" s="1641"/>
      <c r="AQ82" s="1641"/>
      <c r="AR82" s="1641"/>
      <c r="AS82" s="1641"/>
      <c r="AT82" s="1643"/>
      <c r="AU82" s="1640">
        <v>8</v>
      </c>
      <c r="AV82" s="1641"/>
      <c r="AW82" s="1641"/>
      <c r="AX82" s="1641"/>
      <c r="AY82" s="1641"/>
      <c r="AZ82" s="1641"/>
      <c r="BA82" s="1648"/>
    </row>
    <row r="83" spans="1:53" ht="15.75" customHeight="1">
      <c r="A83" s="1627" t="s">
        <v>2546</v>
      </c>
      <c r="B83" s="1628"/>
      <c r="C83" s="1628"/>
      <c r="D83" s="1628"/>
      <c r="E83" s="1679" t="s">
        <v>1618</v>
      </c>
      <c r="F83" s="1679"/>
      <c r="G83" s="1679"/>
      <c r="H83" s="1679"/>
      <c r="I83" s="1679"/>
      <c r="J83" s="1679"/>
      <c r="K83" s="1679"/>
      <c r="L83" s="1679"/>
      <c r="M83" s="1679"/>
      <c r="N83" s="1679"/>
      <c r="O83" s="1679"/>
      <c r="P83" s="1679"/>
      <c r="Q83" s="1679"/>
      <c r="R83" s="1679"/>
      <c r="S83" s="1679"/>
      <c r="T83" s="1679"/>
      <c r="U83" s="1631"/>
      <c r="V83" s="1631"/>
      <c r="W83" s="1631" t="s">
        <v>2147</v>
      </c>
      <c r="X83" s="1631"/>
      <c r="Y83" s="1631"/>
      <c r="Z83" s="1629">
        <f>SUMIF(unos!E:E,'bilans-stanja'!W83,unos!F:F)</f>
        <v>0</v>
      </c>
      <c r="AA83" s="1629"/>
      <c r="AB83" s="1629"/>
      <c r="AC83" s="1629"/>
      <c r="AD83" s="1629"/>
      <c r="AE83" s="1629"/>
      <c r="AF83" s="1629"/>
      <c r="AG83" s="1629">
        <f>SUMIF(unos!E:E,'bilans-stanja'!W83,unos!G:G)</f>
        <v>0</v>
      </c>
      <c r="AH83" s="1629"/>
      <c r="AI83" s="1629"/>
      <c r="AJ83" s="1629"/>
      <c r="AK83" s="1629"/>
      <c r="AL83" s="1629"/>
      <c r="AM83" s="1629"/>
      <c r="AN83" s="1629">
        <f>Z83-AG83</f>
        <v>0</v>
      </c>
      <c r="AO83" s="1629"/>
      <c r="AP83" s="1629"/>
      <c r="AQ83" s="1629"/>
      <c r="AR83" s="1629"/>
      <c r="AS83" s="1629"/>
      <c r="AT83" s="1629"/>
      <c r="AU83" s="1629">
        <f>SUMIF(unos!E:E,'bilans-stanja'!W83,unos!C:C)-SUMIF(unos!E:E,'bilans-stanja'!W83,unos!D:D)</f>
        <v>0</v>
      </c>
      <c r="AV83" s="1629"/>
      <c r="AW83" s="1629"/>
      <c r="AX83" s="1629"/>
      <c r="AY83" s="1629"/>
      <c r="AZ83" s="1629"/>
      <c r="BA83" s="1630"/>
    </row>
    <row r="84" spans="1:53" ht="15.75" customHeight="1">
      <c r="A84" s="1627" t="s">
        <v>1104</v>
      </c>
      <c r="B84" s="1628"/>
      <c r="C84" s="1628"/>
      <c r="D84" s="1628"/>
      <c r="E84" s="1679" t="s">
        <v>1905</v>
      </c>
      <c r="F84" s="1679"/>
      <c r="G84" s="1679"/>
      <c r="H84" s="1679"/>
      <c r="I84" s="1679"/>
      <c r="J84" s="1679"/>
      <c r="K84" s="1679"/>
      <c r="L84" s="1679"/>
      <c r="M84" s="1679"/>
      <c r="N84" s="1679"/>
      <c r="O84" s="1679"/>
      <c r="P84" s="1679"/>
      <c r="Q84" s="1679"/>
      <c r="R84" s="1679"/>
      <c r="S84" s="1679"/>
      <c r="T84" s="1679"/>
      <c r="U84" s="1631"/>
      <c r="V84" s="1631"/>
      <c r="W84" s="1631" t="s">
        <v>2148</v>
      </c>
      <c r="X84" s="1631"/>
      <c r="Y84" s="1631"/>
      <c r="Z84" s="1629">
        <f>SUMIF(unos!E:E,'bilans-stanja'!W84,unos!F:F)</f>
        <v>0</v>
      </c>
      <c r="AA84" s="1629"/>
      <c r="AB84" s="1629"/>
      <c r="AC84" s="1629"/>
      <c r="AD84" s="1629"/>
      <c r="AE84" s="1629"/>
      <c r="AF84" s="1629"/>
      <c r="AG84" s="1629">
        <f>SUMIF(unos!E:E,'bilans-stanja'!W84,unos!G:G)</f>
        <v>0</v>
      </c>
      <c r="AH84" s="1629"/>
      <c r="AI84" s="1629"/>
      <c r="AJ84" s="1629"/>
      <c r="AK84" s="1629"/>
      <c r="AL84" s="1629"/>
      <c r="AM84" s="1629"/>
      <c r="AN84" s="1629">
        <f>Z84-AG84</f>
        <v>0</v>
      </c>
      <c r="AO84" s="1629"/>
      <c r="AP84" s="1629"/>
      <c r="AQ84" s="1629"/>
      <c r="AR84" s="1629"/>
      <c r="AS84" s="1629"/>
      <c r="AT84" s="1629"/>
      <c r="AU84" s="1629">
        <f>SUMIF(unos!E:E,'bilans-stanja'!W84,unos!C:C)-SUMIF(unos!E:E,'bilans-stanja'!W84,unos!D:D)</f>
        <v>0</v>
      </c>
      <c r="AV84" s="1629"/>
      <c r="AW84" s="1629"/>
      <c r="AX84" s="1629"/>
      <c r="AY84" s="1629"/>
      <c r="AZ84" s="1629"/>
      <c r="BA84" s="1630"/>
    </row>
    <row r="85" spans="1:53" ht="15.75" customHeight="1">
      <c r="A85" s="1627" t="s">
        <v>1105</v>
      </c>
      <c r="B85" s="1628"/>
      <c r="C85" s="1628"/>
      <c r="D85" s="1628"/>
      <c r="E85" s="1679" t="s">
        <v>1906</v>
      </c>
      <c r="F85" s="1679"/>
      <c r="G85" s="1679"/>
      <c r="H85" s="1679"/>
      <c r="I85" s="1679"/>
      <c r="J85" s="1679"/>
      <c r="K85" s="1679"/>
      <c r="L85" s="1679"/>
      <c r="M85" s="1679"/>
      <c r="N85" s="1679"/>
      <c r="O85" s="1679"/>
      <c r="P85" s="1679"/>
      <c r="Q85" s="1679"/>
      <c r="R85" s="1679"/>
      <c r="S85" s="1679"/>
      <c r="T85" s="1679"/>
      <c r="U85" s="1631"/>
      <c r="V85" s="1631"/>
      <c r="W85" s="1631" t="s">
        <v>2149</v>
      </c>
      <c r="X85" s="1631"/>
      <c r="Y85" s="1631"/>
      <c r="Z85" s="1629">
        <f>SUMIF(unos!E:E,'bilans-stanja'!W85,unos!F:F)</f>
        <v>0</v>
      </c>
      <c r="AA85" s="1629"/>
      <c r="AB85" s="1629"/>
      <c r="AC85" s="1629"/>
      <c r="AD85" s="1629"/>
      <c r="AE85" s="1629"/>
      <c r="AF85" s="1629"/>
      <c r="AG85" s="1629">
        <f>SUMIF(unos!E:E,'bilans-stanja'!W85,unos!G:G)</f>
        <v>0</v>
      </c>
      <c r="AH85" s="1629"/>
      <c r="AI85" s="1629"/>
      <c r="AJ85" s="1629"/>
      <c r="AK85" s="1629"/>
      <c r="AL85" s="1629"/>
      <c r="AM85" s="1629"/>
      <c r="AN85" s="1629">
        <f t="shared" ref="AN85:AN100" si="2">Z85-AG85</f>
        <v>0</v>
      </c>
      <c r="AO85" s="1629"/>
      <c r="AP85" s="1629"/>
      <c r="AQ85" s="1629"/>
      <c r="AR85" s="1629"/>
      <c r="AS85" s="1629"/>
      <c r="AT85" s="1629"/>
      <c r="AU85" s="1629">
        <f>SUMIF(unos!E:E,'bilans-stanja'!W85,unos!C:C)-SUMIF(unos!E:E,'bilans-stanja'!W85,unos!D:D)</f>
        <v>0</v>
      </c>
      <c r="AV85" s="1629"/>
      <c r="AW85" s="1629"/>
      <c r="AX85" s="1629"/>
      <c r="AY85" s="1629"/>
      <c r="AZ85" s="1629"/>
      <c r="BA85" s="1630"/>
    </row>
    <row r="86" spans="1:53" ht="15.75" customHeight="1">
      <c r="A86" s="1627" t="s">
        <v>817</v>
      </c>
      <c r="B86" s="1628"/>
      <c r="C86" s="1628"/>
      <c r="D86" s="1628"/>
      <c r="E86" s="1679" t="s">
        <v>1907</v>
      </c>
      <c r="F86" s="1679"/>
      <c r="G86" s="1679"/>
      <c r="H86" s="1679"/>
      <c r="I86" s="1679"/>
      <c r="J86" s="1679"/>
      <c r="K86" s="1679"/>
      <c r="L86" s="1679"/>
      <c r="M86" s="1679"/>
      <c r="N86" s="1679"/>
      <c r="O86" s="1679"/>
      <c r="P86" s="1679"/>
      <c r="Q86" s="1679"/>
      <c r="R86" s="1679"/>
      <c r="S86" s="1679"/>
      <c r="T86" s="1679"/>
      <c r="U86" s="1631"/>
      <c r="V86" s="1631"/>
      <c r="W86" s="1631" t="s">
        <v>2150</v>
      </c>
      <c r="X86" s="1631"/>
      <c r="Y86" s="1631"/>
      <c r="Z86" s="1629">
        <f>SUM(Z87:Z93)</f>
        <v>0</v>
      </c>
      <c r="AA86" s="1629"/>
      <c r="AB86" s="1629"/>
      <c r="AC86" s="1629"/>
      <c r="AD86" s="1629"/>
      <c r="AE86" s="1629"/>
      <c r="AF86" s="1629"/>
      <c r="AG86" s="1629">
        <f>SUM(AG87:AG93)</f>
        <v>0</v>
      </c>
      <c r="AH86" s="1629"/>
      <c r="AI86" s="1629"/>
      <c r="AJ86" s="1629"/>
      <c r="AK86" s="1629"/>
      <c r="AL86" s="1629"/>
      <c r="AM86" s="1629"/>
      <c r="AN86" s="1629">
        <f t="shared" si="2"/>
        <v>0</v>
      </c>
      <c r="AO86" s="1629"/>
      <c r="AP86" s="1629"/>
      <c r="AQ86" s="1629"/>
      <c r="AR86" s="1629"/>
      <c r="AS86" s="1629"/>
      <c r="AT86" s="1629"/>
      <c r="AU86" s="1629">
        <f>SUM(AU87:BA91)</f>
        <v>0</v>
      </c>
      <c r="AV86" s="1629"/>
      <c r="AW86" s="1629"/>
      <c r="AX86" s="1629"/>
      <c r="AY86" s="1629"/>
      <c r="AZ86" s="1629"/>
      <c r="BA86" s="1630"/>
    </row>
    <row r="87" spans="1:53" ht="15.75" customHeight="1">
      <c r="A87" s="1627" t="s">
        <v>190</v>
      </c>
      <c r="B87" s="1628"/>
      <c r="C87" s="1628"/>
      <c r="D87" s="1628"/>
      <c r="E87" s="1679" t="s">
        <v>810</v>
      </c>
      <c r="F87" s="1679"/>
      <c r="G87" s="1679"/>
      <c r="H87" s="1679"/>
      <c r="I87" s="1679"/>
      <c r="J87" s="1679"/>
      <c r="K87" s="1679"/>
      <c r="L87" s="1679"/>
      <c r="M87" s="1679"/>
      <c r="N87" s="1679"/>
      <c r="O87" s="1679"/>
      <c r="P87" s="1679"/>
      <c r="Q87" s="1679"/>
      <c r="R87" s="1679"/>
      <c r="S87" s="1679"/>
      <c r="T87" s="1679"/>
      <c r="U87" s="1631"/>
      <c r="V87" s="1631"/>
      <c r="W87" s="1631" t="s">
        <v>2151</v>
      </c>
      <c r="X87" s="1631"/>
      <c r="Y87" s="1631"/>
      <c r="Z87" s="1629">
        <f>SUMIF(unos!E:E,'bilans-stanja'!W87,unos!F:F)</f>
        <v>0</v>
      </c>
      <c r="AA87" s="1629"/>
      <c r="AB87" s="1629"/>
      <c r="AC87" s="1629"/>
      <c r="AD87" s="1629"/>
      <c r="AE87" s="1629"/>
      <c r="AF87" s="1629"/>
      <c r="AG87" s="1629">
        <f>SUMIF(unos!E:E,'bilans-stanja'!W87,unos!G:G)</f>
        <v>0</v>
      </c>
      <c r="AH87" s="1629"/>
      <c r="AI87" s="1629"/>
      <c r="AJ87" s="1629"/>
      <c r="AK87" s="1629"/>
      <c r="AL87" s="1629"/>
      <c r="AM87" s="1629"/>
      <c r="AN87" s="1629">
        <f t="shared" si="2"/>
        <v>0</v>
      </c>
      <c r="AO87" s="1629"/>
      <c r="AP87" s="1629"/>
      <c r="AQ87" s="1629"/>
      <c r="AR87" s="1629"/>
      <c r="AS87" s="1629"/>
      <c r="AT87" s="1629"/>
      <c r="AU87" s="1629">
        <f>SUMIF(unos!E:E,'bilans-stanja'!W87,unos!C:C)-SUMIF(unos!E:E,'bilans-stanja'!W87,unos!D:D)</f>
        <v>0</v>
      </c>
      <c r="AV87" s="1629"/>
      <c r="AW87" s="1629"/>
      <c r="AX87" s="1629"/>
      <c r="AY87" s="1629"/>
      <c r="AZ87" s="1629"/>
      <c r="BA87" s="1630"/>
    </row>
    <row r="88" spans="1:53" ht="15.75" customHeight="1">
      <c r="A88" s="1627" t="s">
        <v>191</v>
      </c>
      <c r="B88" s="1628"/>
      <c r="C88" s="1628"/>
      <c r="D88" s="1628"/>
      <c r="E88" s="1679" t="s">
        <v>811</v>
      </c>
      <c r="F88" s="1679"/>
      <c r="G88" s="1679"/>
      <c r="H88" s="1679"/>
      <c r="I88" s="1679"/>
      <c r="J88" s="1679"/>
      <c r="K88" s="1679"/>
      <c r="L88" s="1679"/>
      <c r="M88" s="1679"/>
      <c r="N88" s="1679"/>
      <c r="O88" s="1679"/>
      <c r="P88" s="1679"/>
      <c r="Q88" s="1679"/>
      <c r="R88" s="1679"/>
      <c r="S88" s="1679"/>
      <c r="T88" s="1679"/>
      <c r="U88" s="1631"/>
      <c r="V88" s="1631"/>
      <c r="W88" s="1631" t="s">
        <v>2152</v>
      </c>
      <c r="X88" s="1631"/>
      <c r="Y88" s="1631"/>
      <c r="Z88" s="1629">
        <f>SUMIF(unos!E:E,'bilans-stanja'!W88,unos!F:F)</f>
        <v>0</v>
      </c>
      <c r="AA88" s="1629"/>
      <c r="AB88" s="1629"/>
      <c r="AC88" s="1629"/>
      <c r="AD88" s="1629"/>
      <c r="AE88" s="1629"/>
      <c r="AF88" s="1629"/>
      <c r="AG88" s="1629">
        <f>SUMIF(unos!E:E,'bilans-stanja'!W88,unos!G:G)</f>
        <v>0</v>
      </c>
      <c r="AH88" s="1629"/>
      <c r="AI88" s="1629"/>
      <c r="AJ88" s="1629"/>
      <c r="AK88" s="1629"/>
      <c r="AL88" s="1629"/>
      <c r="AM88" s="1629"/>
      <c r="AN88" s="1629">
        <f t="shared" si="2"/>
        <v>0</v>
      </c>
      <c r="AO88" s="1629"/>
      <c r="AP88" s="1629"/>
      <c r="AQ88" s="1629"/>
      <c r="AR88" s="1629"/>
      <c r="AS88" s="1629"/>
      <c r="AT88" s="1629"/>
      <c r="AU88" s="1629">
        <f>SUMIF(unos!E:E,'bilans-stanja'!W88,unos!C:C)-SUMIF(unos!E:E,'bilans-stanja'!W88,unos!D:D)</f>
        <v>0</v>
      </c>
      <c r="AV88" s="1629"/>
      <c r="AW88" s="1629"/>
      <c r="AX88" s="1629"/>
      <c r="AY88" s="1629"/>
      <c r="AZ88" s="1629"/>
      <c r="BA88" s="1630"/>
    </row>
    <row r="89" spans="1:53" ht="15.75" customHeight="1">
      <c r="A89" s="1627" t="s">
        <v>192</v>
      </c>
      <c r="B89" s="1628"/>
      <c r="C89" s="1628"/>
      <c r="D89" s="1628"/>
      <c r="E89" s="1679" t="s">
        <v>812</v>
      </c>
      <c r="F89" s="1679"/>
      <c r="G89" s="1679"/>
      <c r="H89" s="1679"/>
      <c r="I89" s="1679"/>
      <c r="J89" s="1679"/>
      <c r="K89" s="1679"/>
      <c r="L89" s="1679"/>
      <c r="M89" s="1679"/>
      <c r="N89" s="1679"/>
      <c r="O89" s="1679"/>
      <c r="P89" s="1679"/>
      <c r="Q89" s="1679"/>
      <c r="R89" s="1679"/>
      <c r="S89" s="1679"/>
      <c r="T89" s="1679"/>
      <c r="U89" s="1631"/>
      <c r="V89" s="1631"/>
      <c r="W89" s="1631" t="s">
        <v>2153</v>
      </c>
      <c r="X89" s="1631"/>
      <c r="Y89" s="1631"/>
      <c r="Z89" s="1629">
        <f>SUMIF(unos!E:E,'bilans-stanja'!W89,unos!F:F)</f>
        <v>0</v>
      </c>
      <c r="AA89" s="1629"/>
      <c r="AB89" s="1629"/>
      <c r="AC89" s="1629"/>
      <c r="AD89" s="1629"/>
      <c r="AE89" s="1629"/>
      <c r="AF89" s="1629"/>
      <c r="AG89" s="1629">
        <f>SUMIF(unos!E:E,'bilans-stanja'!W89,unos!G:G)</f>
        <v>0</v>
      </c>
      <c r="AH89" s="1629"/>
      <c r="AI89" s="1629"/>
      <c r="AJ89" s="1629"/>
      <c r="AK89" s="1629"/>
      <c r="AL89" s="1629"/>
      <c r="AM89" s="1629"/>
      <c r="AN89" s="1629">
        <f t="shared" si="2"/>
        <v>0</v>
      </c>
      <c r="AO89" s="1629"/>
      <c r="AP89" s="1629"/>
      <c r="AQ89" s="1629"/>
      <c r="AR89" s="1629"/>
      <c r="AS89" s="1629"/>
      <c r="AT89" s="1629"/>
      <c r="AU89" s="1629">
        <f>SUMIF(unos!E:E,'bilans-stanja'!W89,unos!C:C)-SUMIF(unos!E:E,'bilans-stanja'!W89,unos!D:D)</f>
        <v>0</v>
      </c>
      <c r="AV89" s="1629"/>
      <c r="AW89" s="1629"/>
      <c r="AX89" s="1629"/>
      <c r="AY89" s="1629"/>
      <c r="AZ89" s="1629"/>
      <c r="BA89" s="1630"/>
    </row>
    <row r="90" spans="1:53" ht="15.75" customHeight="1">
      <c r="A90" s="1627" t="s">
        <v>813</v>
      </c>
      <c r="B90" s="1628"/>
      <c r="C90" s="1628"/>
      <c r="D90" s="1628"/>
      <c r="E90" s="1679" t="s">
        <v>2599</v>
      </c>
      <c r="F90" s="1679"/>
      <c r="G90" s="1679"/>
      <c r="H90" s="1679"/>
      <c r="I90" s="1679"/>
      <c r="J90" s="1679"/>
      <c r="K90" s="1679"/>
      <c r="L90" s="1679"/>
      <c r="M90" s="1679"/>
      <c r="N90" s="1679"/>
      <c r="O90" s="1679"/>
      <c r="P90" s="1679"/>
      <c r="Q90" s="1679"/>
      <c r="R90" s="1679"/>
      <c r="S90" s="1679"/>
      <c r="T90" s="1679"/>
      <c r="U90" s="1631"/>
      <c r="V90" s="1631"/>
      <c r="W90" s="1631" t="s">
        <v>2154</v>
      </c>
      <c r="X90" s="1631"/>
      <c r="Y90" s="1631"/>
      <c r="Z90" s="1629">
        <f>SUMIF(unos!E:E,'bilans-stanja'!W90,unos!F:F)</f>
        <v>0</v>
      </c>
      <c r="AA90" s="1629"/>
      <c r="AB90" s="1629"/>
      <c r="AC90" s="1629"/>
      <c r="AD90" s="1629"/>
      <c r="AE90" s="1629"/>
      <c r="AF90" s="1629"/>
      <c r="AG90" s="1629">
        <f>SUMIF(unos!E:E,'bilans-stanja'!W90,unos!G:G)</f>
        <v>0</v>
      </c>
      <c r="AH90" s="1629"/>
      <c r="AI90" s="1629"/>
      <c r="AJ90" s="1629"/>
      <c r="AK90" s="1629"/>
      <c r="AL90" s="1629"/>
      <c r="AM90" s="1629"/>
      <c r="AN90" s="1629">
        <f t="shared" si="2"/>
        <v>0</v>
      </c>
      <c r="AO90" s="1629"/>
      <c r="AP90" s="1629"/>
      <c r="AQ90" s="1629"/>
      <c r="AR90" s="1629"/>
      <c r="AS90" s="1629"/>
      <c r="AT90" s="1629"/>
      <c r="AU90" s="1629">
        <f>SUMIF(unos!E:E,'bilans-stanja'!W90,unos!C:C)-SUMIF(unos!E:E,'bilans-stanja'!W90,unos!D:D)</f>
        <v>0</v>
      </c>
      <c r="AV90" s="1629"/>
      <c r="AW90" s="1629"/>
      <c r="AX90" s="1629"/>
      <c r="AY90" s="1629"/>
      <c r="AZ90" s="1629"/>
      <c r="BA90" s="1630"/>
    </row>
    <row r="91" spans="1:53" ht="15.75" customHeight="1">
      <c r="A91" s="1627" t="s">
        <v>170</v>
      </c>
      <c r="B91" s="1628"/>
      <c r="C91" s="1628"/>
      <c r="D91" s="1628"/>
      <c r="E91" s="1679" t="s">
        <v>1511</v>
      </c>
      <c r="F91" s="1679"/>
      <c r="G91" s="1679"/>
      <c r="H91" s="1679"/>
      <c r="I91" s="1679"/>
      <c r="J91" s="1679"/>
      <c r="K91" s="1679"/>
      <c r="L91" s="1679"/>
      <c r="M91" s="1679"/>
      <c r="N91" s="1679"/>
      <c r="O91" s="1679"/>
      <c r="P91" s="1679"/>
      <c r="Q91" s="1679"/>
      <c r="R91" s="1679"/>
      <c r="S91" s="1679"/>
      <c r="T91" s="1679"/>
      <c r="U91" s="1631"/>
      <c r="V91" s="1631"/>
      <c r="W91" s="1631" t="s">
        <v>2155</v>
      </c>
      <c r="X91" s="1631"/>
      <c r="Y91" s="1631"/>
      <c r="Z91" s="1629">
        <f>SUMIF(unos!E:E,'bilans-stanja'!W91,unos!F:F)</f>
        <v>0</v>
      </c>
      <c r="AA91" s="1629"/>
      <c r="AB91" s="1629"/>
      <c r="AC91" s="1629"/>
      <c r="AD91" s="1629"/>
      <c r="AE91" s="1629"/>
      <c r="AF91" s="1629"/>
      <c r="AG91" s="1629">
        <f>SUMIF(unos!E:E,'bilans-stanja'!W91,unos!G:G)</f>
        <v>0</v>
      </c>
      <c r="AH91" s="1629"/>
      <c r="AI91" s="1629"/>
      <c r="AJ91" s="1629"/>
      <c r="AK91" s="1629"/>
      <c r="AL91" s="1629"/>
      <c r="AM91" s="1629"/>
      <c r="AN91" s="1629">
        <f t="shared" si="2"/>
        <v>0</v>
      </c>
      <c r="AO91" s="1629"/>
      <c r="AP91" s="1629"/>
      <c r="AQ91" s="1629"/>
      <c r="AR91" s="1629"/>
      <c r="AS91" s="1629"/>
      <c r="AT91" s="1629"/>
      <c r="AU91" s="1629">
        <f>SUMIF(unos!E:E,'bilans-stanja'!W91,unos!C:C)-SUMIF(unos!E:E,'bilans-stanja'!W91,unos!D:D)</f>
        <v>0</v>
      </c>
      <c r="AV91" s="1629"/>
      <c r="AW91" s="1629"/>
      <c r="AX91" s="1629"/>
      <c r="AY91" s="1629"/>
      <c r="AZ91" s="1629"/>
      <c r="BA91" s="1630"/>
    </row>
    <row r="92" spans="1:53" ht="15.75" customHeight="1">
      <c r="A92" s="1627" t="s">
        <v>171</v>
      </c>
      <c r="B92" s="1628"/>
      <c r="C92" s="1628"/>
      <c r="D92" s="1628"/>
      <c r="E92" s="1679" t="s">
        <v>1512</v>
      </c>
      <c r="F92" s="1679"/>
      <c r="G92" s="1679"/>
      <c r="H92" s="1679"/>
      <c r="I92" s="1679"/>
      <c r="J92" s="1679"/>
      <c r="K92" s="1679"/>
      <c r="L92" s="1679"/>
      <c r="M92" s="1679"/>
      <c r="N92" s="1679"/>
      <c r="O92" s="1679"/>
      <c r="P92" s="1679"/>
      <c r="Q92" s="1679"/>
      <c r="R92" s="1679"/>
      <c r="S92" s="1679"/>
      <c r="T92" s="1679"/>
      <c r="U92" s="1631"/>
      <c r="V92" s="1631"/>
      <c r="W92" s="1631" t="s">
        <v>2156</v>
      </c>
      <c r="X92" s="1631"/>
      <c r="Y92" s="1631"/>
      <c r="Z92" s="1629">
        <f>SUMIF(unos!E:E,'bilans-stanja'!W92,unos!F:F)</f>
        <v>0</v>
      </c>
      <c r="AA92" s="1629"/>
      <c r="AB92" s="1629"/>
      <c r="AC92" s="1629"/>
      <c r="AD92" s="1629"/>
      <c r="AE92" s="1629"/>
      <c r="AF92" s="1629"/>
      <c r="AG92" s="1629">
        <f>SUMIF(unos!E:E,'bilans-stanja'!W92,unos!G:G)</f>
        <v>0</v>
      </c>
      <c r="AH92" s="1629"/>
      <c r="AI92" s="1629"/>
      <c r="AJ92" s="1629"/>
      <c r="AK92" s="1629"/>
      <c r="AL92" s="1629"/>
      <c r="AM92" s="1629"/>
      <c r="AN92" s="1629">
        <f t="shared" si="2"/>
        <v>0</v>
      </c>
      <c r="AO92" s="1629"/>
      <c r="AP92" s="1629"/>
      <c r="AQ92" s="1629"/>
      <c r="AR92" s="1629"/>
      <c r="AS92" s="1629"/>
      <c r="AT92" s="1629"/>
      <c r="AU92" s="1629">
        <f>SUMIF(unos!E:E,'bilans-stanja'!W92,unos!C:C)-SUMIF(unos!E:E,'bilans-stanja'!W92,unos!D:D)</f>
        <v>0</v>
      </c>
      <c r="AV92" s="1629"/>
      <c r="AW92" s="1629"/>
      <c r="AX92" s="1629"/>
      <c r="AY92" s="1629"/>
      <c r="AZ92" s="1629"/>
      <c r="BA92" s="1630"/>
    </row>
    <row r="93" spans="1:53" ht="15.75" customHeight="1">
      <c r="A93" s="1627" t="s">
        <v>172</v>
      </c>
      <c r="B93" s="1628"/>
      <c r="C93" s="1628"/>
      <c r="D93" s="1628"/>
      <c r="E93" s="1679" t="s">
        <v>1513</v>
      </c>
      <c r="F93" s="1679"/>
      <c r="G93" s="1679"/>
      <c r="H93" s="1679"/>
      <c r="I93" s="1679"/>
      <c r="J93" s="1679"/>
      <c r="K93" s="1679"/>
      <c r="L93" s="1679"/>
      <c r="M93" s="1679"/>
      <c r="N93" s="1679"/>
      <c r="O93" s="1679"/>
      <c r="P93" s="1679"/>
      <c r="Q93" s="1679"/>
      <c r="R93" s="1679"/>
      <c r="S93" s="1679"/>
      <c r="T93" s="1679"/>
      <c r="U93" s="1631"/>
      <c r="V93" s="1631"/>
      <c r="W93" s="1631" t="s">
        <v>2157</v>
      </c>
      <c r="X93" s="1631"/>
      <c r="Y93" s="1631"/>
      <c r="Z93" s="1629">
        <f>SUMIF(unos!E:E,'bilans-stanja'!W93,unos!F:F)</f>
        <v>0</v>
      </c>
      <c r="AA93" s="1629"/>
      <c r="AB93" s="1629"/>
      <c r="AC93" s="1629"/>
      <c r="AD93" s="1629"/>
      <c r="AE93" s="1629"/>
      <c r="AF93" s="1629"/>
      <c r="AG93" s="1629">
        <f>SUMIF(unos!E:E,'bilans-stanja'!W93,unos!G:G)</f>
        <v>0</v>
      </c>
      <c r="AH93" s="1629"/>
      <c r="AI93" s="1629"/>
      <c r="AJ93" s="1629"/>
      <c r="AK93" s="1629"/>
      <c r="AL93" s="1629"/>
      <c r="AM93" s="1629"/>
      <c r="AN93" s="1629">
        <f t="shared" si="2"/>
        <v>0</v>
      </c>
      <c r="AO93" s="1629"/>
      <c r="AP93" s="1629"/>
      <c r="AQ93" s="1629"/>
      <c r="AR93" s="1629"/>
      <c r="AS93" s="1629"/>
      <c r="AT93" s="1629"/>
      <c r="AU93" s="1629">
        <f>SUMIF(unos!E:E,'bilans-stanja'!W93,unos!C:C)-SUMIF(unos!E:E,'bilans-stanja'!W93,unos!D:D)</f>
        <v>0</v>
      </c>
      <c r="AV93" s="1629"/>
      <c r="AW93" s="1629"/>
      <c r="AX93" s="1629"/>
      <c r="AY93" s="1629"/>
      <c r="AZ93" s="1629"/>
      <c r="BA93" s="1630"/>
    </row>
    <row r="94" spans="1:53" ht="15.75" customHeight="1">
      <c r="A94" s="1627" t="s">
        <v>1108</v>
      </c>
      <c r="B94" s="1628"/>
      <c r="C94" s="1628"/>
      <c r="D94" s="1628"/>
      <c r="E94" s="1679" t="s">
        <v>1514</v>
      </c>
      <c r="F94" s="1679"/>
      <c r="G94" s="1679"/>
      <c r="H94" s="1679"/>
      <c r="I94" s="1679"/>
      <c r="J94" s="1679"/>
      <c r="K94" s="1679"/>
      <c r="L94" s="1679"/>
      <c r="M94" s="1679"/>
      <c r="N94" s="1679"/>
      <c r="O94" s="1679"/>
      <c r="P94" s="1679"/>
      <c r="Q94" s="1679"/>
      <c r="R94" s="1679"/>
      <c r="S94" s="1679"/>
      <c r="T94" s="1679"/>
      <c r="U94" s="1631"/>
      <c r="V94" s="1631"/>
      <c r="W94" s="1631" t="s">
        <v>2158</v>
      </c>
      <c r="X94" s="1631"/>
      <c r="Y94" s="1631"/>
      <c r="Z94" s="1629">
        <f>SUMIF(unos!E:E,'bilans-stanja'!W94,unos!F:F)</f>
        <v>0</v>
      </c>
      <c r="AA94" s="1629"/>
      <c r="AB94" s="1629"/>
      <c r="AC94" s="1629"/>
      <c r="AD94" s="1629"/>
      <c r="AE94" s="1629"/>
      <c r="AF94" s="1629"/>
      <c r="AG94" s="1629">
        <f>SUMIF(unos!E:E,'bilans-stanja'!W94,unos!G:G)</f>
        <v>0</v>
      </c>
      <c r="AH94" s="1629"/>
      <c r="AI94" s="1629"/>
      <c r="AJ94" s="1629"/>
      <c r="AK94" s="1629"/>
      <c r="AL94" s="1629"/>
      <c r="AM94" s="1629"/>
      <c r="AN94" s="1629">
        <f t="shared" si="2"/>
        <v>0</v>
      </c>
      <c r="AO94" s="1629"/>
      <c r="AP94" s="1629"/>
      <c r="AQ94" s="1629"/>
      <c r="AR94" s="1629"/>
      <c r="AS94" s="1629"/>
      <c r="AT94" s="1629"/>
      <c r="AU94" s="1629">
        <f>SUMIF(unos!E:E,'bilans-stanja'!W94,unos!C:C)-SUMIF(unos!E:E,'bilans-stanja'!W94,unos!D:D)</f>
        <v>0</v>
      </c>
      <c r="AV94" s="1629"/>
      <c r="AW94" s="1629"/>
      <c r="AX94" s="1629"/>
      <c r="AY94" s="1629"/>
      <c r="AZ94" s="1629"/>
      <c r="BA94" s="1630"/>
    </row>
    <row r="95" spans="1:53" ht="15.75" customHeight="1">
      <c r="A95" s="1627" t="s">
        <v>1515</v>
      </c>
      <c r="B95" s="1628"/>
      <c r="C95" s="1628"/>
      <c r="D95" s="1628"/>
      <c r="E95" s="1679" t="s">
        <v>1516</v>
      </c>
      <c r="F95" s="1679"/>
      <c r="G95" s="1679"/>
      <c r="H95" s="1679"/>
      <c r="I95" s="1679"/>
      <c r="J95" s="1679"/>
      <c r="K95" s="1679"/>
      <c r="L95" s="1679"/>
      <c r="M95" s="1679"/>
      <c r="N95" s="1679"/>
      <c r="O95" s="1679"/>
      <c r="P95" s="1679"/>
      <c r="Q95" s="1679"/>
      <c r="R95" s="1679"/>
      <c r="S95" s="1679"/>
      <c r="T95" s="1679"/>
      <c r="U95" s="1631"/>
      <c r="V95" s="1631"/>
      <c r="W95" s="1631" t="s">
        <v>2159</v>
      </c>
      <c r="X95" s="1631"/>
      <c r="Y95" s="1631"/>
      <c r="Z95" s="1629">
        <f>SUMIF(unos!E:E,'bilans-stanja'!W95,unos!F:F)</f>
        <v>0</v>
      </c>
      <c r="AA95" s="1629"/>
      <c r="AB95" s="1629"/>
      <c r="AC95" s="1629"/>
      <c r="AD95" s="1629"/>
      <c r="AE95" s="1629"/>
      <c r="AF95" s="1629"/>
      <c r="AG95" s="1629">
        <f>SUMIF(unos!E:E,'bilans-stanja'!W95,unos!G:G)</f>
        <v>0</v>
      </c>
      <c r="AH95" s="1629"/>
      <c r="AI95" s="1629"/>
      <c r="AJ95" s="1629"/>
      <c r="AK95" s="1629"/>
      <c r="AL95" s="1629"/>
      <c r="AM95" s="1629"/>
      <c r="AN95" s="1629">
        <f t="shared" si="2"/>
        <v>0</v>
      </c>
      <c r="AO95" s="1629"/>
      <c r="AP95" s="1629"/>
      <c r="AQ95" s="1629"/>
      <c r="AR95" s="1629"/>
      <c r="AS95" s="1629"/>
      <c r="AT95" s="1629"/>
      <c r="AU95" s="1629">
        <f>SUMIF(unos!E:E,'bilans-stanja'!W95,unos!C:C)-SUMIF(unos!E:E,'bilans-stanja'!W95,unos!D:D)</f>
        <v>0</v>
      </c>
      <c r="AV95" s="1629"/>
      <c r="AW95" s="1629"/>
      <c r="AX95" s="1629"/>
      <c r="AY95" s="1629"/>
      <c r="AZ95" s="1629"/>
      <c r="BA95" s="1630"/>
    </row>
    <row r="96" spans="1:53" ht="15.75" customHeight="1">
      <c r="A96" s="1627" t="s">
        <v>2748</v>
      </c>
      <c r="B96" s="1628"/>
      <c r="C96" s="1628"/>
      <c r="D96" s="1628"/>
      <c r="E96" s="1656" t="s">
        <v>1517</v>
      </c>
      <c r="F96" s="1656"/>
      <c r="G96" s="1656"/>
      <c r="H96" s="1656"/>
      <c r="I96" s="1656"/>
      <c r="J96" s="1656"/>
      <c r="K96" s="1656"/>
      <c r="L96" s="1656"/>
      <c r="M96" s="1656"/>
      <c r="N96" s="1656"/>
      <c r="O96" s="1656"/>
      <c r="P96" s="1656"/>
      <c r="Q96" s="1656"/>
      <c r="R96" s="1656"/>
      <c r="S96" s="1656"/>
      <c r="T96" s="1656"/>
      <c r="U96" s="1631"/>
      <c r="V96" s="1631"/>
      <c r="W96" s="1631" t="s">
        <v>2160</v>
      </c>
      <c r="X96" s="1631"/>
      <c r="Y96" s="1631"/>
      <c r="Z96" s="1629">
        <f>SUMIF(unos!E:E,'bilans-stanja'!W96,unos!F:F)</f>
        <v>0</v>
      </c>
      <c r="AA96" s="1629"/>
      <c r="AB96" s="1629"/>
      <c r="AC96" s="1629"/>
      <c r="AD96" s="1629"/>
      <c r="AE96" s="1629"/>
      <c r="AF96" s="1629"/>
      <c r="AG96" s="1629">
        <f>SUMIF(unos!E:E,'bilans-stanja'!W96,unos!G:G)</f>
        <v>0</v>
      </c>
      <c r="AH96" s="1629"/>
      <c r="AI96" s="1629"/>
      <c r="AJ96" s="1629"/>
      <c r="AK96" s="1629"/>
      <c r="AL96" s="1629"/>
      <c r="AM96" s="1629"/>
      <c r="AN96" s="1629">
        <f t="shared" si="2"/>
        <v>0</v>
      </c>
      <c r="AO96" s="1629"/>
      <c r="AP96" s="1629"/>
      <c r="AQ96" s="1629"/>
      <c r="AR96" s="1629"/>
      <c r="AS96" s="1629"/>
      <c r="AT96" s="1629"/>
      <c r="AU96" s="1629">
        <f>SUMIF(unos!E:E,'bilans-stanja'!W96,unos!C:C)-SUMIF(unos!E:E,'bilans-stanja'!W96,unos!D:D)</f>
        <v>0</v>
      </c>
      <c r="AV96" s="1629"/>
      <c r="AW96" s="1629"/>
      <c r="AX96" s="1629"/>
      <c r="AY96" s="1629"/>
      <c r="AZ96" s="1629"/>
      <c r="BA96" s="1630"/>
    </row>
    <row r="97" spans="1:53" ht="15.75" customHeight="1">
      <c r="A97" s="1627" t="s">
        <v>2750</v>
      </c>
      <c r="B97" s="1628"/>
      <c r="C97" s="1628"/>
      <c r="D97" s="1628"/>
      <c r="E97" s="1656" t="s">
        <v>1518</v>
      </c>
      <c r="F97" s="1656"/>
      <c r="G97" s="1656"/>
      <c r="H97" s="1656"/>
      <c r="I97" s="1656"/>
      <c r="J97" s="1656"/>
      <c r="K97" s="1656"/>
      <c r="L97" s="1656"/>
      <c r="M97" s="1656"/>
      <c r="N97" s="1656"/>
      <c r="O97" s="1656"/>
      <c r="P97" s="1656"/>
      <c r="Q97" s="1656"/>
      <c r="R97" s="1656"/>
      <c r="S97" s="1656"/>
      <c r="T97" s="1656"/>
      <c r="U97" s="1631"/>
      <c r="V97" s="1631"/>
      <c r="W97" s="1631" t="s">
        <v>2161</v>
      </c>
      <c r="X97" s="1631"/>
      <c r="Y97" s="1631"/>
      <c r="Z97" s="1629">
        <f>SUMIF(unos!E:E,'bilans-stanja'!W97,unos!F:F)</f>
        <v>0</v>
      </c>
      <c r="AA97" s="1629"/>
      <c r="AB97" s="1629"/>
      <c r="AC97" s="1629"/>
      <c r="AD97" s="1629"/>
      <c r="AE97" s="1629"/>
      <c r="AF97" s="1629"/>
      <c r="AG97" s="1629">
        <f>SUMIF(unos!E:E,'bilans-stanja'!W97,unos!G:G)</f>
        <v>0</v>
      </c>
      <c r="AH97" s="1629"/>
      <c r="AI97" s="1629"/>
      <c r="AJ97" s="1629"/>
      <c r="AK97" s="1629"/>
      <c r="AL97" s="1629"/>
      <c r="AM97" s="1629"/>
      <c r="AN97" s="1629">
        <f t="shared" si="2"/>
        <v>0</v>
      </c>
      <c r="AO97" s="1629"/>
      <c r="AP97" s="1629"/>
      <c r="AQ97" s="1629"/>
      <c r="AR97" s="1629"/>
      <c r="AS97" s="1629"/>
      <c r="AT97" s="1629"/>
      <c r="AU97" s="1629">
        <f>SUMIF(unos!E:E,'bilans-stanja'!W97,unos!C:C)-SUMIF(unos!E:E,'bilans-stanja'!W97,unos!D:D)</f>
        <v>0</v>
      </c>
      <c r="AV97" s="1629"/>
      <c r="AW97" s="1629"/>
      <c r="AX97" s="1629"/>
      <c r="AY97" s="1629"/>
      <c r="AZ97" s="1629"/>
      <c r="BA97" s="1630"/>
    </row>
    <row r="98" spans="1:53" ht="15.75" customHeight="1">
      <c r="A98" s="1627"/>
      <c r="B98" s="1628"/>
      <c r="C98" s="1628"/>
      <c r="D98" s="1628"/>
      <c r="E98" s="1656" t="s">
        <v>2226</v>
      </c>
      <c r="F98" s="1656"/>
      <c r="G98" s="1656"/>
      <c r="H98" s="1656"/>
      <c r="I98" s="1656"/>
      <c r="J98" s="1656"/>
      <c r="K98" s="1656"/>
      <c r="L98" s="1656"/>
      <c r="M98" s="1656"/>
      <c r="N98" s="1656"/>
      <c r="O98" s="1656"/>
      <c r="P98" s="1656"/>
      <c r="Q98" s="1656"/>
      <c r="R98" s="1656"/>
      <c r="S98" s="1656"/>
      <c r="T98" s="1656"/>
      <c r="U98" s="1631"/>
      <c r="V98" s="1631"/>
      <c r="W98" s="1631" t="s">
        <v>590</v>
      </c>
      <c r="X98" s="1631"/>
      <c r="Y98" s="1631"/>
      <c r="Z98" s="1629">
        <f>Z26+Z63+Z64+Z96+Z97</f>
        <v>0</v>
      </c>
      <c r="AA98" s="1629"/>
      <c r="AB98" s="1629"/>
      <c r="AC98" s="1629"/>
      <c r="AD98" s="1629"/>
      <c r="AE98" s="1629"/>
      <c r="AF98" s="1629"/>
      <c r="AG98" s="1629">
        <f>AG26+AG63+AG64+AG96+AG97</f>
        <v>0</v>
      </c>
      <c r="AH98" s="1629"/>
      <c r="AI98" s="1629"/>
      <c r="AJ98" s="1629"/>
      <c r="AK98" s="1629"/>
      <c r="AL98" s="1629"/>
      <c r="AM98" s="1629"/>
      <c r="AN98" s="1629">
        <f t="shared" si="2"/>
        <v>0</v>
      </c>
      <c r="AO98" s="1629"/>
      <c r="AP98" s="1629"/>
      <c r="AQ98" s="1629"/>
      <c r="AR98" s="1629"/>
      <c r="AS98" s="1629"/>
      <c r="AT98" s="1629"/>
      <c r="AU98" s="1629">
        <f>AU26+AU63+AU64+AU96+AU97</f>
        <v>0</v>
      </c>
      <c r="AV98" s="1629"/>
      <c r="AW98" s="1629"/>
      <c r="AX98" s="1629"/>
      <c r="AY98" s="1629"/>
      <c r="AZ98" s="1629"/>
      <c r="BA98" s="1630"/>
    </row>
    <row r="99" spans="1:53" ht="15.75" customHeight="1">
      <c r="A99" s="1627" t="s">
        <v>1519</v>
      </c>
      <c r="B99" s="1628"/>
      <c r="C99" s="1628"/>
      <c r="D99" s="1628"/>
      <c r="E99" s="1679" t="s">
        <v>1520</v>
      </c>
      <c r="F99" s="1679"/>
      <c r="G99" s="1679"/>
      <c r="H99" s="1679"/>
      <c r="I99" s="1679"/>
      <c r="J99" s="1679"/>
      <c r="K99" s="1679"/>
      <c r="L99" s="1679"/>
      <c r="M99" s="1679"/>
      <c r="N99" s="1679"/>
      <c r="O99" s="1679"/>
      <c r="P99" s="1679"/>
      <c r="Q99" s="1679"/>
      <c r="R99" s="1679"/>
      <c r="S99" s="1679"/>
      <c r="T99" s="1679"/>
      <c r="U99" s="1631"/>
      <c r="V99" s="1631"/>
      <c r="W99" s="1631" t="s">
        <v>591</v>
      </c>
      <c r="X99" s="1631"/>
      <c r="Y99" s="1631"/>
      <c r="Z99" s="1629">
        <f>SUMIF(unos!E:E,'bilans-stanja'!W99,unos!F:F)</f>
        <v>0</v>
      </c>
      <c r="AA99" s="1629"/>
      <c r="AB99" s="1629"/>
      <c r="AC99" s="1629"/>
      <c r="AD99" s="1629"/>
      <c r="AE99" s="1629"/>
      <c r="AF99" s="1629"/>
      <c r="AG99" s="1629">
        <f>SUMIF(unos!E:E,'bilans-stanja'!W99,unos!G:G)</f>
        <v>0</v>
      </c>
      <c r="AH99" s="1629"/>
      <c r="AI99" s="1629"/>
      <c r="AJ99" s="1629"/>
      <c r="AK99" s="1629"/>
      <c r="AL99" s="1629"/>
      <c r="AM99" s="1629"/>
      <c r="AN99" s="1629">
        <f t="shared" si="2"/>
        <v>0</v>
      </c>
      <c r="AO99" s="1629"/>
      <c r="AP99" s="1629"/>
      <c r="AQ99" s="1629"/>
      <c r="AR99" s="1629"/>
      <c r="AS99" s="1629"/>
      <c r="AT99" s="1629"/>
      <c r="AU99" s="1629">
        <f>SUMIF(unos!E:E,'bilans-stanja'!W99,unos!C:C)-SUMIF(unos!E:E,'bilans-stanja'!W99,unos!D:D)</f>
        <v>0</v>
      </c>
      <c r="AV99" s="1629"/>
      <c r="AW99" s="1629"/>
      <c r="AX99" s="1629"/>
      <c r="AY99" s="1629"/>
      <c r="AZ99" s="1629"/>
      <c r="BA99" s="1630"/>
    </row>
    <row r="100" spans="1:53" ht="15.75" customHeight="1" thickBot="1">
      <c r="A100" s="1650"/>
      <c r="B100" s="1651"/>
      <c r="C100" s="1651"/>
      <c r="D100" s="1651"/>
      <c r="E100" s="1680" t="s">
        <v>1521</v>
      </c>
      <c r="F100" s="1680"/>
      <c r="G100" s="1680"/>
      <c r="H100" s="1680"/>
      <c r="I100" s="1680"/>
      <c r="J100" s="1680"/>
      <c r="K100" s="1680"/>
      <c r="L100" s="1680"/>
      <c r="M100" s="1680"/>
      <c r="N100" s="1680"/>
      <c r="O100" s="1680"/>
      <c r="P100" s="1680"/>
      <c r="Q100" s="1680"/>
      <c r="R100" s="1680"/>
      <c r="S100" s="1680"/>
      <c r="T100" s="1680"/>
      <c r="U100" s="1652"/>
      <c r="V100" s="1652"/>
      <c r="W100" s="1652" t="s">
        <v>592</v>
      </c>
      <c r="X100" s="1652"/>
      <c r="Y100" s="1652"/>
      <c r="Z100" s="1681">
        <f>Z98+Z99</f>
        <v>0</v>
      </c>
      <c r="AA100" s="1681"/>
      <c r="AB100" s="1681"/>
      <c r="AC100" s="1681"/>
      <c r="AD100" s="1681"/>
      <c r="AE100" s="1681"/>
      <c r="AF100" s="1681"/>
      <c r="AG100" s="1681">
        <f>AG98+AG99</f>
        <v>0</v>
      </c>
      <c r="AH100" s="1681"/>
      <c r="AI100" s="1681"/>
      <c r="AJ100" s="1681"/>
      <c r="AK100" s="1681"/>
      <c r="AL100" s="1681"/>
      <c r="AM100" s="1681"/>
      <c r="AN100" s="1681">
        <f t="shared" si="2"/>
        <v>0</v>
      </c>
      <c r="AO100" s="1681"/>
      <c r="AP100" s="1681"/>
      <c r="AQ100" s="1681"/>
      <c r="AR100" s="1681"/>
      <c r="AS100" s="1681"/>
      <c r="AT100" s="1681"/>
      <c r="AU100" s="1681">
        <f>AU98+AU99</f>
        <v>0</v>
      </c>
      <c r="AV100" s="1681"/>
      <c r="AW100" s="1681"/>
      <c r="AX100" s="1681"/>
      <c r="AY100" s="1681"/>
      <c r="AZ100" s="1681"/>
      <c r="BA100" s="1682"/>
    </row>
    <row r="101" spans="1:53" s="844" customFormat="1" ht="8.25" customHeight="1" thickBot="1">
      <c r="A101" s="1637"/>
      <c r="B101" s="1637"/>
      <c r="C101" s="1637"/>
      <c r="D101" s="1637"/>
      <c r="E101" s="1678"/>
      <c r="F101" s="1678"/>
      <c r="G101" s="1678"/>
      <c r="H101" s="1678"/>
      <c r="I101" s="1678"/>
      <c r="J101" s="1678"/>
      <c r="K101" s="1678"/>
      <c r="L101" s="1678"/>
      <c r="M101" s="1678"/>
      <c r="N101" s="1678"/>
      <c r="O101" s="1678"/>
      <c r="P101" s="1678"/>
      <c r="Q101" s="1678"/>
      <c r="R101" s="1678"/>
      <c r="S101" s="1678"/>
      <c r="T101" s="1678"/>
      <c r="U101" s="1636"/>
      <c r="V101" s="1636"/>
      <c r="W101" s="1636"/>
      <c r="X101" s="1636"/>
      <c r="Y101" s="1636"/>
      <c r="Z101" s="1647"/>
      <c r="AA101" s="1647"/>
      <c r="AB101" s="1647"/>
      <c r="AC101" s="1647"/>
      <c r="AD101" s="1647"/>
      <c r="AE101" s="1647"/>
      <c r="AF101" s="1647"/>
      <c r="AG101" s="1647"/>
      <c r="AH101" s="1647"/>
      <c r="AI101" s="1647"/>
      <c r="AJ101" s="1647"/>
      <c r="AK101" s="1647"/>
      <c r="AL101" s="1647"/>
      <c r="AM101" s="1647"/>
      <c r="AN101" s="1647"/>
      <c r="AO101" s="1647"/>
      <c r="AP101" s="1647"/>
      <c r="AQ101" s="1647"/>
      <c r="AR101" s="1647"/>
      <c r="AS101" s="1647"/>
      <c r="AT101" s="1647"/>
      <c r="AU101" s="1647"/>
      <c r="AV101" s="1647"/>
      <c r="AW101" s="1647"/>
      <c r="AX101" s="1647"/>
      <c r="AY101" s="1647"/>
      <c r="AZ101" s="1647"/>
      <c r="BA101" s="1647"/>
    </row>
    <row r="102" spans="1:53" ht="19.5" customHeight="1">
      <c r="A102" s="1662" t="s">
        <v>1036</v>
      </c>
      <c r="B102" s="1663"/>
      <c r="C102" s="1663"/>
      <c r="D102" s="1663"/>
      <c r="E102" s="1666" t="s">
        <v>1569</v>
      </c>
      <c r="F102" s="1667"/>
      <c r="G102" s="1667"/>
      <c r="H102" s="1667"/>
      <c r="I102" s="1667"/>
      <c r="J102" s="1667"/>
      <c r="K102" s="1667"/>
      <c r="L102" s="1667"/>
      <c r="M102" s="1667"/>
      <c r="N102" s="1667"/>
      <c r="O102" s="1667"/>
      <c r="P102" s="1667"/>
      <c r="Q102" s="1667"/>
      <c r="R102" s="1667"/>
      <c r="S102" s="1667"/>
      <c r="T102" s="1667"/>
      <c r="U102" s="869"/>
      <c r="V102" s="869"/>
      <c r="W102" s="855"/>
      <c r="X102" s="855"/>
      <c r="Y102" s="855"/>
      <c r="Z102" s="719"/>
      <c r="AA102" s="871"/>
      <c r="AB102" s="1691" t="s">
        <v>495</v>
      </c>
      <c r="AC102" s="1722"/>
      <c r="AD102" s="1692"/>
      <c r="AE102" s="1670" t="s">
        <v>2482</v>
      </c>
      <c r="AF102" s="1671"/>
      <c r="AG102" s="1676"/>
      <c r="AH102" s="1670" t="s">
        <v>1710</v>
      </c>
      <c r="AI102" s="1671"/>
      <c r="AJ102" s="1671"/>
      <c r="AK102" s="1671"/>
      <c r="AL102" s="1671"/>
      <c r="AM102" s="1671"/>
      <c r="AN102" s="1671"/>
      <c r="AO102" s="1671"/>
      <c r="AP102" s="1671"/>
      <c r="AQ102" s="1676"/>
      <c r="AR102" s="1670" t="s">
        <v>277</v>
      </c>
      <c r="AS102" s="1671"/>
      <c r="AT102" s="1671"/>
      <c r="AU102" s="1671"/>
      <c r="AV102" s="1671"/>
      <c r="AW102" s="1671"/>
      <c r="AX102" s="1671"/>
      <c r="AY102" s="1671"/>
      <c r="AZ102" s="1671"/>
      <c r="BA102" s="1672"/>
    </row>
    <row r="103" spans="1:53" ht="20.25" customHeight="1" thickBot="1">
      <c r="A103" s="1664"/>
      <c r="B103" s="1665"/>
      <c r="C103" s="1665"/>
      <c r="D103" s="1665"/>
      <c r="E103" s="1668"/>
      <c r="F103" s="1669"/>
      <c r="G103" s="1669"/>
      <c r="H103" s="1669"/>
      <c r="I103" s="1669"/>
      <c r="J103" s="1669"/>
      <c r="K103" s="1669"/>
      <c r="L103" s="1669"/>
      <c r="M103" s="1669"/>
      <c r="N103" s="1669"/>
      <c r="O103" s="1669"/>
      <c r="P103" s="1669"/>
      <c r="Q103" s="1669"/>
      <c r="R103" s="1669"/>
      <c r="S103" s="1669"/>
      <c r="T103" s="1669"/>
      <c r="U103" s="870"/>
      <c r="V103" s="870"/>
      <c r="W103" s="856"/>
      <c r="X103" s="856"/>
      <c r="Y103" s="856"/>
      <c r="Z103" s="872"/>
      <c r="AA103" s="873"/>
      <c r="AB103" s="1693"/>
      <c r="AC103" s="1723"/>
      <c r="AD103" s="1694"/>
      <c r="AE103" s="1673"/>
      <c r="AF103" s="1674"/>
      <c r="AG103" s="1677"/>
      <c r="AH103" s="1673"/>
      <c r="AI103" s="1674"/>
      <c r="AJ103" s="1674"/>
      <c r="AK103" s="1674"/>
      <c r="AL103" s="1674"/>
      <c r="AM103" s="1674"/>
      <c r="AN103" s="1674"/>
      <c r="AO103" s="1674"/>
      <c r="AP103" s="1674"/>
      <c r="AQ103" s="1677"/>
      <c r="AR103" s="1673"/>
      <c r="AS103" s="1674"/>
      <c r="AT103" s="1674"/>
      <c r="AU103" s="1674"/>
      <c r="AV103" s="1674"/>
      <c r="AW103" s="1674"/>
      <c r="AX103" s="1674"/>
      <c r="AY103" s="1674"/>
      <c r="AZ103" s="1674"/>
      <c r="BA103" s="1675"/>
    </row>
    <row r="104" spans="1:53" ht="13.5" customHeight="1" thickBot="1">
      <c r="A104" s="1638" t="s">
        <v>522</v>
      </c>
      <c r="B104" s="1639"/>
      <c r="C104" s="1639"/>
      <c r="D104" s="1639"/>
      <c r="E104" s="1640">
        <v>2</v>
      </c>
      <c r="F104" s="1641"/>
      <c r="G104" s="1641"/>
      <c r="H104" s="1641"/>
      <c r="I104" s="1641"/>
      <c r="J104" s="1641"/>
      <c r="K104" s="1641"/>
      <c r="L104" s="1641"/>
      <c r="M104" s="1641"/>
      <c r="N104" s="1641"/>
      <c r="O104" s="1641"/>
      <c r="P104" s="1641"/>
      <c r="Q104" s="1641"/>
      <c r="R104" s="1641"/>
      <c r="S104" s="1641"/>
      <c r="T104" s="1641"/>
      <c r="U104" s="857"/>
      <c r="V104" s="857"/>
      <c r="W104" s="857"/>
      <c r="X104" s="857"/>
      <c r="Y104" s="857"/>
      <c r="Z104" s="857"/>
      <c r="AA104" s="858"/>
      <c r="AB104" s="1640">
        <v>3</v>
      </c>
      <c r="AC104" s="1641"/>
      <c r="AD104" s="1643"/>
      <c r="AE104" s="1640">
        <v>4</v>
      </c>
      <c r="AF104" s="1641"/>
      <c r="AG104" s="1643"/>
      <c r="AH104" s="1640">
        <v>5</v>
      </c>
      <c r="AI104" s="1641"/>
      <c r="AJ104" s="1641"/>
      <c r="AK104" s="1641"/>
      <c r="AL104" s="1641"/>
      <c r="AM104" s="1641"/>
      <c r="AN104" s="1641"/>
      <c r="AO104" s="1641"/>
      <c r="AP104" s="1641"/>
      <c r="AQ104" s="1643"/>
      <c r="AR104" s="1640">
        <v>6</v>
      </c>
      <c r="AS104" s="1641"/>
      <c r="AT104" s="1641"/>
      <c r="AU104" s="1641"/>
      <c r="AV104" s="1641"/>
      <c r="AW104" s="1641"/>
      <c r="AX104" s="1641"/>
      <c r="AY104" s="1641"/>
      <c r="AZ104" s="1641"/>
      <c r="BA104" s="1648"/>
    </row>
    <row r="105" spans="1:53" ht="15.75" customHeight="1">
      <c r="A105" s="1657"/>
      <c r="B105" s="1658"/>
      <c r="C105" s="1658"/>
      <c r="D105" s="1658"/>
      <c r="E105" s="877" t="s">
        <v>1522</v>
      </c>
      <c r="F105" s="878"/>
      <c r="G105" s="878"/>
      <c r="H105" s="878"/>
      <c r="I105" s="878"/>
      <c r="J105" s="878"/>
      <c r="K105" s="878"/>
      <c r="L105" s="878"/>
      <c r="M105" s="878"/>
      <c r="N105" s="878"/>
      <c r="O105" s="878"/>
      <c r="P105" s="878"/>
      <c r="Q105" s="878"/>
      <c r="R105" s="878"/>
      <c r="S105" s="878"/>
      <c r="T105" s="878"/>
      <c r="U105" s="874"/>
      <c r="V105" s="874"/>
      <c r="W105" s="874"/>
      <c r="X105" s="874"/>
      <c r="Y105" s="874"/>
      <c r="Z105" s="863"/>
      <c r="AA105" s="864"/>
      <c r="AB105" s="1724"/>
      <c r="AC105" s="1725"/>
      <c r="AD105" s="1726"/>
      <c r="AE105" s="1659"/>
      <c r="AF105" s="1659"/>
      <c r="AG105" s="1659"/>
      <c r="AH105" s="1660"/>
      <c r="AI105" s="1660"/>
      <c r="AJ105" s="1660"/>
      <c r="AK105" s="1660"/>
      <c r="AL105" s="1660"/>
      <c r="AM105" s="1660"/>
      <c r="AN105" s="1660"/>
      <c r="AO105" s="1660"/>
      <c r="AP105" s="1660"/>
      <c r="AQ105" s="1660"/>
      <c r="AR105" s="1660"/>
      <c r="AS105" s="1660"/>
      <c r="AT105" s="1660"/>
      <c r="AU105" s="1660"/>
      <c r="AV105" s="1660"/>
      <c r="AW105" s="1660"/>
      <c r="AX105" s="1660"/>
      <c r="AY105" s="1660"/>
      <c r="AZ105" s="1660"/>
      <c r="BA105" s="1661"/>
    </row>
    <row r="106" spans="1:53" ht="15.75" customHeight="1">
      <c r="A106" s="1627"/>
      <c r="B106" s="1628"/>
      <c r="C106" s="1628"/>
      <c r="D106" s="1628"/>
      <c r="E106" s="875" t="s">
        <v>1523</v>
      </c>
      <c r="F106" s="876"/>
      <c r="G106" s="876"/>
      <c r="H106" s="876"/>
      <c r="I106" s="876"/>
      <c r="J106" s="876"/>
      <c r="K106" s="876"/>
      <c r="L106" s="876"/>
      <c r="M106" s="876"/>
      <c r="N106" s="876"/>
      <c r="O106" s="876"/>
      <c r="P106" s="876"/>
      <c r="Q106" s="876"/>
      <c r="R106" s="876"/>
      <c r="S106" s="876"/>
      <c r="T106" s="876"/>
      <c r="U106" s="868"/>
      <c r="V106" s="868"/>
      <c r="W106" s="868"/>
      <c r="X106" s="868"/>
      <c r="Y106" s="868"/>
      <c r="Z106" s="861"/>
      <c r="AA106" s="862"/>
      <c r="AB106" s="1632"/>
      <c r="AC106" s="1633"/>
      <c r="AD106" s="1634"/>
      <c r="AE106" s="1631" t="s">
        <v>2082</v>
      </c>
      <c r="AF106" s="1631"/>
      <c r="AG106" s="1631"/>
      <c r="AH106" s="1646">
        <f>IF(AH107-AH114+AH115+AH116+AH119+AH123-AH124+AH125-AH130-AH135&lt;0,"GRESKA KAPITAL NEGATIVAN",AH107-AH114+AH115+AH116+AH119+AH123-AH124+AH125-AH130-AH135)</f>
        <v>0</v>
      </c>
      <c r="AI106" s="1646"/>
      <c r="AJ106" s="1646"/>
      <c r="AK106" s="1646"/>
      <c r="AL106" s="1646"/>
      <c r="AM106" s="1646"/>
      <c r="AN106" s="1646"/>
      <c r="AO106" s="1646"/>
      <c r="AP106" s="1646"/>
      <c r="AQ106" s="1646"/>
      <c r="AR106" s="1646">
        <f>IF(AR107-AR114+AR115+AR116+AR119+AR123-AR124+AR125-AR130-AR135&lt;0,"GRESKA KAPITAL NEGATIVAN",AR107-AR114+AR115+AR116+AR119+AR123-AR124+AR125-AR130-AR135)</f>
        <v>0</v>
      </c>
      <c r="AS106" s="1646"/>
      <c r="AT106" s="1646"/>
      <c r="AU106" s="1646"/>
      <c r="AV106" s="1646"/>
      <c r="AW106" s="1646"/>
      <c r="AX106" s="1646"/>
      <c r="AY106" s="1646"/>
      <c r="AZ106" s="1646"/>
      <c r="BA106" s="1649"/>
    </row>
    <row r="107" spans="1:53" ht="15.75" customHeight="1">
      <c r="A107" s="1627" t="s">
        <v>1111</v>
      </c>
      <c r="B107" s="1628"/>
      <c r="C107" s="1628"/>
      <c r="D107" s="1628"/>
      <c r="E107" s="875" t="s">
        <v>2225</v>
      </c>
      <c r="F107" s="876"/>
      <c r="G107" s="876"/>
      <c r="H107" s="876"/>
      <c r="I107" s="876"/>
      <c r="J107" s="876"/>
      <c r="K107" s="876"/>
      <c r="L107" s="876"/>
      <c r="M107" s="876"/>
      <c r="N107" s="876"/>
      <c r="O107" s="876"/>
      <c r="P107" s="876"/>
      <c r="Q107" s="876"/>
      <c r="R107" s="876"/>
      <c r="S107" s="876"/>
      <c r="T107" s="876"/>
      <c r="U107" s="868"/>
      <c r="V107" s="868"/>
      <c r="W107" s="868"/>
      <c r="X107" s="868"/>
      <c r="Y107" s="868"/>
      <c r="Z107" s="861"/>
      <c r="AA107" s="862"/>
      <c r="AB107" s="1632"/>
      <c r="AC107" s="1633"/>
      <c r="AD107" s="1634"/>
      <c r="AE107" s="1631" t="s">
        <v>2083</v>
      </c>
      <c r="AF107" s="1631"/>
      <c r="AG107" s="1631"/>
      <c r="AH107" s="1646">
        <f>SUM(AH108:AQ113)</f>
        <v>0</v>
      </c>
      <c r="AI107" s="1646"/>
      <c r="AJ107" s="1646"/>
      <c r="AK107" s="1646"/>
      <c r="AL107" s="1646"/>
      <c r="AM107" s="1646"/>
      <c r="AN107" s="1646"/>
      <c r="AO107" s="1646"/>
      <c r="AP107" s="1646"/>
      <c r="AQ107" s="1646"/>
      <c r="AR107" s="1646">
        <f>SUM(AR108:BA113)</f>
        <v>0</v>
      </c>
      <c r="AS107" s="1646"/>
      <c r="AT107" s="1646"/>
      <c r="AU107" s="1646"/>
      <c r="AV107" s="1646"/>
      <c r="AW107" s="1646"/>
      <c r="AX107" s="1646"/>
      <c r="AY107" s="1646"/>
      <c r="AZ107" s="1646"/>
      <c r="BA107" s="1649"/>
    </row>
    <row r="108" spans="1:53" ht="15.75" customHeight="1">
      <c r="A108" s="1627" t="s">
        <v>2760</v>
      </c>
      <c r="B108" s="1628"/>
      <c r="C108" s="1628"/>
      <c r="D108" s="1628"/>
      <c r="E108" s="867" t="s">
        <v>1524</v>
      </c>
      <c r="F108" s="868"/>
      <c r="G108" s="868"/>
      <c r="H108" s="868"/>
      <c r="I108" s="868"/>
      <c r="J108" s="868"/>
      <c r="K108" s="868"/>
      <c r="L108" s="868"/>
      <c r="M108" s="868"/>
      <c r="N108" s="868"/>
      <c r="O108" s="868"/>
      <c r="P108" s="868"/>
      <c r="Q108" s="868"/>
      <c r="R108" s="868"/>
      <c r="S108" s="868"/>
      <c r="T108" s="868"/>
      <c r="U108" s="868"/>
      <c r="V108" s="868"/>
      <c r="W108" s="868"/>
      <c r="X108" s="868"/>
      <c r="Y108" s="868"/>
      <c r="Z108" s="861"/>
      <c r="AA108" s="862"/>
      <c r="AB108" s="1632"/>
      <c r="AC108" s="1633"/>
      <c r="AD108" s="1634"/>
      <c r="AE108" s="1631" t="s">
        <v>2084</v>
      </c>
      <c r="AF108" s="1631"/>
      <c r="AG108" s="1631"/>
      <c r="AH108" s="1646">
        <f>SUMIF(unos!E:E,'bilans-stanja'!AE108,unos!F:F)</f>
        <v>0</v>
      </c>
      <c r="AI108" s="1646"/>
      <c r="AJ108" s="1646"/>
      <c r="AK108" s="1646"/>
      <c r="AL108" s="1646"/>
      <c r="AM108" s="1646"/>
      <c r="AN108" s="1646"/>
      <c r="AO108" s="1646"/>
      <c r="AP108" s="1646"/>
      <c r="AQ108" s="1646"/>
      <c r="AR108" s="1646">
        <f>SUMIF(unos!E:E,'bilans-stanja'!AE108,unos!C:C)</f>
        <v>0</v>
      </c>
      <c r="AS108" s="1646"/>
      <c r="AT108" s="1646"/>
      <c r="AU108" s="1646"/>
      <c r="AV108" s="1646"/>
      <c r="AW108" s="1646"/>
      <c r="AX108" s="1646"/>
      <c r="AY108" s="1646"/>
      <c r="AZ108" s="1646"/>
      <c r="BA108" s="1649"/>
    </row>
    <row r="109" spans="1:53" ht="15.75" customHeight="1">
      <c r="A109" s="1627" t="s">
        <v>2762</v>
      </c>
      <c r="B109" s="1628"/>
      <c r="C109" s="1628"/>
      <c r="D109" s="1628"/>
      <c r="E109" s="867" t="s">
        <v>1505</v>
      </c>
      <c r="F109" s="868"/>
      <c r="G109" s="868"/>
      <c r="H109" s="868"/>
      <c r="I109" s="868"/>
      <c r="J109" s="868"/>
      <c r="K109" s="868"/>
      <c r="L109" s="868"/>
      <c r="M109" s="868"/>
      <c r="N109" s="868"/>
      <c r="O109" s="868"/>
      <c r="P109" s="868"/>
      <c r="Q109" s="868"/>
      <c r="R109" s="868"/>
      <c r="S109" s="868"/>
      <c r="T109" s="868"/>
      <c r="U109" s="868"/>
      <c r="V109" s="868"/>
      <c r="W109" s="868"/>
      <c r="X109" s="868"/>
      <c r="Y109" s="868"/>
      <c r="Z109" s="861"/>
      <c r="AA109" s="862"/>
      <c r="AB109" s="1632"/>
      <c r="AC109" s="1633"/>
      <c r="AD109" s="1634"/>
      <c r="AE109" s="1631" t="s">
        <v>2085</v>
      </c>
      <c r="AF109" s="1631"/>
      <c r="AG109" s="1631"/>
      <c r="AH109" s="1646">
        <f>SUMIF(unos!E:E,'bilans-stanja'!AE109,unos!F:F)</f>
        <v>0</v>
      </c>
      <c r="AI109" s="1646"/>
      <c r="AJ109" s="1646"/>
      <c r="AK109" s="1646"/>
      <c r="AL109" s="1646"/>
      <c r="AM109" s="1646"/>
      <c r="AN109" s="1646"/>
      <c r="AO109" s="1646"/>
      <c r="AP109" s="1646"/>
      <c r="AQ109" s="1646"/>
      <c r="AR109" s="1646">
        <f>SUMIF(unos!E:E,'bilans-stanja'!AE109,unos!C:C)</f>
        <v>0</v>
      </c>
      <c r="AS109" s="1646"/>
      <c r="AT109" s="1646"/>
      <c r="AU109" s="1646"/>
      <c r="AV109" s="1646"/>
      <c r="AW109" s="1646"/>
      <c r="AX109" s="1646"/>
      <c r="AY109" s="1646"/>
      <c r="AZ109" s="1646"/>
      <c r="BA109" s="1649"/>
    </row>
    <row r="110" spans="1:53" ht="15.75" customHeight="1">
      <c r="A110" s="1627" t="s">
        <v>2763</v>
      </c>
      <c r="B110" s="1628"/>
      <c r="C110" s="1628"/>
      <c r="D110" s="1628"/>
      <c r="E110" s="867" t="s">
        <v>1506</v>
      </c>
      <c r="F110" s="868"/>
      <c r="G110" s="868"/>
      <c r="H110" s="868"/>
      <c r="I110" s="868"/>
      <c r="J110" s="868"/>
      <c r="K110" s="868"/>
      <c r="L110" s="868"/>
      <c r="M110" s="868"/>
      <c r="N110" s="868"/>
      <c r="O110" s="868"/>
      <c r="P110" s="868"/>
      <c r="Q110" s="868"/>
      <c r="R110" s="868"/>
      <c r="S110" s="868"/>
      <c r="T110" s="868"/>
      <c r="U110" s="868"/>
      <c r="V110" s="868"/>
      <c r="W110" s="868"/>
      <c r="X110" s="868"/>
      <c r="Y110" s="868"/>
      <c r="Z110" s="861"/>
      <c r="AA110" s="862"/>
      <c r="AB110" s="1632"/>
      <c r="AC110" s="1633"/>
      <c r="AD110" s="1634"/>
      <c r="AE110" s="1631" t="s">
        <v>2086</v>
      </c>
      <c r="AF110" s="1631"/>
      <c r="AG110" s="1631"/>
      <c r="AH110" s="1646">
        <f>SUMIF(unos!E:E,'bilans-stanja'!AE110,unos!F:F)</f>
        <v>0</v>
      </c>
      <c r="AI110" s="1646"/>
      <c r="AJ110" s="1646"/>
      <c r="AK110" s="1646"/>
      <c r="AL110" s="1646"/>
      <c r="AM110" s="1646"/>
      <c r="AN110" s="1646"/>
      <c r="AO110" s="1646"/>
      <c r="AP110" s="1646"/>
      <c r="AQ110" s="1646"/>
      <c r="AR110" s="1646">
        <f>SUMIF(unos!E:E,'bilans-stanja'!AE110,unos!C:C)</f>
        <v>0</v>
      </c>
      <c r="AS110" s="1646"/>
      <c r="AT110" s="1646"/>
      <c r="AU110" s="1646"/>
      <c r="AV110" s="1646"/>
      <c r="AW110" s="1646"/>
      <c r="AX110" s="1646"/>
      <c r="AY110" s="1646"/>
      <c r="AZ110" s="1646"/>
      <c r="BA110" s="1649"/>
    </row>
    <row r="111" spans="1:53" ht="15.75" customHeight="1">
      <c r="A111" s="1627" t="s">
        <v>2764</v>
      </c>
      <c r="B111" s="1628"/>
      <c r="C111" s="1628"/>
      <c r="D111" s="1628"/>
      <c r="E111" s="867" t="s">
        <v>1507</v>
      </c>
      <c r="F111" s="868"/>
      <c r="G111" s="868"/>
      <c r="H111" s="868"/>
      <c r="I111" s="868"/>
      <c r="J111" s="868"/>
      <c r="K111" s="868"/>
      <c r="L111" s="868"/>
      <c r="M111" s="868"/>
      <c r="N111" s="868"/>
      <c r="O111" s="868"/>
      <c r="P111" s="868"/>
      <c r="Q111" s="868"/>
      <c r="R111" s="868"/>
      <c r="S111" s="868"/>
      <c r="T111" s="868"/>
      <c r="U111" s="868"/>
      <c r="V111" s="868"/>
      <c r="W111" s="868"/>
      <c r="X111" s="868"/>
      <c r="Y111" s="868"/>
      <c r="Z111" s="861"/>
      <c r="AA111" s="862"/>
      <c r="AB111" s="1632"/>
      <c r="AC111" s="1633"/>
      <c r="AD111" s="1634"/>
      <c r="AE111" s="1631" t="s">
        <v>2087</v>
      </c>
      <c r="AF111" s="1631"/>
      <c r="AG111" s="1631"/>
      <c r="AH111" s="1646">
        <f>SUMIF(unos!E:E,'bilans-stanja'!AE111,unos!F:F)</f>
        <v>0</v>
      </c>
      <c r="AI111" s="1646"/>
      <c r="AJ111" s="1646"/>
      <c r="AK111" s="1646"/>
      <c r="AL111" s="1646"/>
      <c r="AM111" s="1646"/>
      <c r="AN111" s="1646"/>
      <c r="AO111" s="1646"/>
      <c r="AP111" s="1646"/>
      <c r="AQ111" s="1646"/>
      <c r="AR111" s="1646">
        <f>SUMIF(unos!E:E,'bilans-stanja'!AE111,unos!C:C)</f>
        <v>0</v>
      </c>
      <c r="AS111" s="1646"/>
      <c r="AT111" s="1646"/>
      <c r="AU111" s="1646"/>
      <c r="AV111" s="1646"/>
      <c r="AW111" s="1646"/>
      <c r="AX111" s="1646"/>
      <c r="AY111" s="1646"/>
      <c r="AZ111" s="1646"/>
      <c r="BA111" s="1649"/>
    </row>
    <row r="112" spans="1:53" ht="15.75" customHeight="1">
      <c r="A112" s="1627" t="s">
        <v>2765</v>
      </c>
      <c r="B112" s="1628"/>
      <c r="C112" s="1628"/>
      <c r="D112" s="1628"/>
      <c r="E112" s="867" t="s">
        <v>1508</v>
      </c>
      <c r="F112" s="868"/>
      <c r="G112" s="868"/>
      <c r="H112" s="868"/>
      <c r="I112" s="868"/>
      <c r="J112" s="868"/>
      <c r="K112" s="868"/>
      <c r="L112" s="868"/>
      <c r="M112" s="868"/>
      <c r="N112" s="868"/>
      <c r="O112" s="868"/>
      <c r="P112" s="868"/>
      <c r="Q112" s="868"/>
      <c r="R112" s="868"/>
      <c r="S112" s="868"/>
      <c r="T112" s="868"/>
      <c r="U112" s="868"/>
      <c r="V112" s="868"/>
      <c r="W112" s="868"/>
      <c r="X112" s="868"/>
      <c r="Y112" s="868"/>
      <c r="Z112" s="861"/>
      <c r="AA112" s="862"/>
      <c r="AB112" s="1632"/>
      <c r="AC112" s="1633"/>
      <c r="AD112" s="1634"/>
      <c r="AE112" s="1631" t="s">
        <v>2088</v>
      </c>
      <c r="AF112" s="1631"/>
      <c r="AG112" s="1631"/>
      <c r="AH112" s="1646">
        <f>SUMIF(unos!E:E,'bilans-stanja'!AE112,unos!F:F)</f>
        <v>0</v>
      </c>
      <c r="AI112" s="1646"/>
      <c r="AJ112" s="1646"/>
      <c r="AK112" s="1646"/>
      <c r="AL112" s="1646"/>
      <c r="AM112" s="1646"/>
      <c r="AN112" s="1646"/>
      <c r="AO112" s="1646"/>
      <c r="AP112" s="1646"/>
      <c r="AQ112" s="1646"/>
      <c r="AR112" s="1646">
        <f>SUMIF(unos!E:E,'bilans-stanja'!AE112,unos!C:C)</f>
        <v>0</v>
      </c>
      <c r="AS112" s="1646"/>
      <c r="AT112" s="1646"/>
      <c r="AU112" s="1646"/>
      <c r="AV112" s="1646"/>
      <c r="AW112" s="1646"/>
      <c r="AX112" s="1646"/>
      <c r="AY112" s="1646"/>
      <c r="AZ112" s="1646"/>
      <c r="BA112" s="1649"/>
    </row>
    <row r="113" spans="1:53" ht="15.75" customHeight="1">
      <c r="A113" s="1627" t="s">
        <v>1375</v>
      </c>
      <c r="B113" s="1628"/>
      <c r="C113" s="1628"/>
      <c r="D113" s="1628"/>
      <c r="E113" s="867" t="s">
        <v>1509</v>
      </c>
      <c r="F113" s="868"/>
      <c r="G113" s="868"/>
      <c r="H113" s="868"/>
      <c r="I113" s="868"/>
      <c r="J113" s="868"/>
      <c r="K113" s="868"/>
      <c r="L113" s="868"/>
      <c r="M113" s="868"/>
      <c r="N113" s="868"/>
      <c r="O113" s="868"/>
      <c r="P113" s="868"/>
      <c r="Q113" s="868"/>
      <c r="R113" s="868"/>
      <c r="S113" s="868"/>
      <c r="T113" s="868"/>
      <c r="U113" s="868"/>
      <c r="V113" s="868"/>
      <c r="W113" s="868"/>
      <c r="X113" s="868"/>
      <c r="Y113" s="868"/>
      <c r="Z113" s="861"/>
      <c r="AA113" s="862"/>
      <c r="AB113" s="1632"/>
      <c r="AC113" s="1633"/>
      <c r="AD113" s="1634"/>
      <c r="AE113" s="1631" t="s">
        <v>2089</v>
      </c>
      <c r="AF113" s="1631"/>
      <c r="AG113" s="1631"/>
      <c r="AH113" s="1646">
        <f>SUMIF(unos!E:E,'bilans-stanja'!AE113,unos!F:F)</f>
        <v>0</v>
      </c>
      <c r="AI113" s="1646"/>
      <c r="AJ113" s="1646"/>
      <c r="AK113" s="1646"/>
      <c r="AL113" s="1646"/>
      <c r="AM113" s="1646"/>
      <c r="AN113" s="1646"/>
      <c r="AO113" s="1646"/>
      <c r="AP113" s="1646"/>
      <c r="AQ113" s="1646"/>
      <c r="AR113" s="1646">
        <f>SUMIF(unos!E:E,'bilans-stanja'!AE113,unos!C:C)</f>
        <v>0</v>
      </c>
      <c r="AS113" s="1646"/>
      <c r="AT113" s="1646"/>
      <c r="AU113" s="1646"/>
      <c r="AV113" s="1646"/>
      <c r="AW113" s="1646"/>
      <c r="AX113" s="1646"/>
      <c r="AY113" s="1646"/>
      <c r="AZ113" s="1646"/>
      <c r="BA113" s="1649"/>
    </row>
    <row r="114" spans="1:53" ht="15.75" customHeight="1">
      <c r="A114" s="1627" t="s">
        <v>1112</v>
      </c>
      <c r="B114" s="1628"/>
      <c r="C114" s="1628"/>
      <c r="D114" s="1628"/>
      <c r="E114" s="875" t="s">
        <v>1510</v>
      </c>
      <c r="F114" s="876"/>
      <c r="G114" s="876"/>
      <c r="H114" s="876"/>
      <c r="I114" s="876"/>
      <c r="J114" s="876"/>
      <c r="K114" s="876"/>
      <c r="L114" s="876"/>
      <c r="M114" s="876"/>
      <c r="N114" s="876"/>
      <c r="O114" s="876"/>
      <c r="P114" s="876"/>
      <c r="Q114" s="876"/>
      <c r="R114" s="876"/>
      <c r="S114" s="876"/>
      <c r="T114" s="876"/>
      <c r="U114" s="868"/>
      <c r="V114" s="868"/>
      <c r="W114" s="868"/>
      <c r="X114" s="868"/>
      <c r="Y114" s="868"/>
      <c r="Z114" s="861"/>
      <c r="AA114" s="862"/>
      <c r="AB114" s="1632"/>
      <c r="AC114" s="1633"/>
      <c r="AD114" s="1634"/>
      <c r="AE114" s="1631" t="s">
        <v>2090</v>
      </c>
      <c r="AF114" s="1631"/>
      <c r="AG114" s="1631"/>
      <c r="AH114" s="1646">
        <f>SUMIF(unos!E:E,'bilans-stanja'!AE114,unos!F:F)</f>
        <v>0</v>
      </c>
      <c r="AI114" s="1646"/>
      <c r="AJ114" s="1646"/>
      <c r="AK114" s="1646"/>
      <c r="AL114" s="1646"/>
      <c r="AM114" s="1646"/>
      <c r="AN114" s="1646"/>
      <c r="AO114" s="1646"/>
      <c r="AP114" s="1646"/>
      <c r="AQ114" s="1646"/>
      <c r="AR114" s="1646">
        <f>SUMIF(unos!E:E,'bilans-stanja'!AE114,unos!C:C)</f>
        <v>0</v>
      </c>
      <c r="AS114" s="1646"/>
      <c r="AT114" s="1646"/>
      <c r="AU114" s="1646"/>
      <c r="AV114" s="1646"/>
      <c r="AW114" s="1646"/>
      <c r="AX114" s="1646"/>
      <c r="AY114" s="1646"/>
      <c r="AZ114" s="1646"/>
      <c r="BA114" s="1649"/>
    </row>
    <row r="115" spans="1:53" ht="15.75" customHeight="1">
      <c r="A115" s="1627" t="s">
        <v>1386</v>
      </c>
      <c r="B115" s="1628"/>
      <c r="C115" s="1628"/>
      <c r="D115" s="1628"/>
      <c r="E115" s="875" t="s">
        <v>551</v>
      </c>
      <c r="F115" s="876"/>
      <c r="G115" s="876"/>
      <c r="H115" s="876"/>
      <c r="I115" s="876"/>
      <c r="J115" s="876"/>
      <c r="K115" s="876"/>
      <c r="L115" s="876"/>
      <c r="M115" s="876"/>
      <c r="N115" s="876"/>
      <c r="O115" s="876"/>
      <c r="P115" s="876"/>
      <c r="Q115" s="876"/>
      <c r="R115" s="876"/>
      <c r="S115" s="876"/>
      <c r="T115" s="876"/>
      <c r="U115" s="868"/>
      <c r="V115" s="868"/>
      <c r="W115" s="868"/>
      <c r="X115" s="868"/>
      <c r="Y115" s="868"/>
      <c r="Z115" s="861"/>
      <c r="AA115" s="862"/>
      <c r="AB115" s="1632"/>
      <c r="AC115" s="1633"/>
      <c r="AD115" s="1634"/>
      <c r="AE115" s="1631" t="s">
        <v>2091</v>
      </c>
      <c r="AF115" s="1631"/>
      <c r="AG115" s="1631"/>
      <c r="AH115" s="1646">
        <f>SUMIF(unos!E:E,'bilans-stanja'!AE115,unos!F:F)</f>
        <v>0</v>
      </c>
      <c r="AI115" s="1646"/>
      <c r="AJ115" s="1646"/>
      <c r="AK115" s="1646"/>
      <c r="AL115" s="1646"/>
      <c r="AM115" s="1646"/>
      <c r="AN115" s="1646"/>
      <c r="AO115" s="1646"/>
      <c r="AP115" s="1646"/>
      <c r="AQ115" s="1646"/>
      <c r="AR115" s="1646">
        <f>SUMIF(unos!E:E,'bilans-stanja'!AE115,unos!C:C)</f>
        <v>0</v>
      </c>
      <c r="AS115" s="1646"/>
      <c r="AT115" s="1646"/>
      <c r="AU115" s="1646"/>
      <c r="AV115" s="1646"/>
      <c r="AW115" s="1646"/>
      <c r="AX115" s="1646"/>
      <c r="AY115" s="1646"/>
      <c r="AZ115" s="1646"/>
      <c r="BA115" s="1649"/>
    </row>
    <row r="116" spans="1:53" ht="15.75" customHeight="1">
      <c r="A116" s="1627"/>
      <c r="B116" s="1628"/>
      <c r="C116" s="1628"/>
      <c r="D116" s="1628"/>
      <c r="E116" s="875" t="s">
        <v>552</v>
      </c>
      <c r="F116" s="876"/>
      <c r="G116" s="876"/>
      <c r="H116" s="876"/>
      <c r="I116" s="876"/>
      <c r="J116" s="876"/>
      <c r="K116" s="876"/>
      <c r="L116" s="876"/>
      <c r="M116" s="876"/>
      <c r="N116" s="876"/>
      <c r="O116" s="876"/>
      <c r="P116" s="876"/>
      <c r="Q116" s="876"/>
      <c r="R116" s="876"/>
      <c r="S116" s="876"/>
      <c r="T116" s="876"/>
      <c r="U116" s="868"/>
      <c r="V116" s="868"/>
      <c r="W116" s="868"/>
      <c r="X116" s="868"/>
      <c r="Y116" s="868"/>
      <c r="Z116" s="861"/>
      <c r="AA116" s="862"/>
      <c r="AB116" s="1632"/>
      <c r="AC116" s="1633"/>
      <c r="AD116" s="1634"/>
      <c r="AE116" s="1631" t="s">
        <v>2098</v>
      </c>
      <c r="AF116" s="1631"/>
      <c r="AG116" s="1631"/>
      <c r="AH116" s="1646">
        <f>SUM(AH117:AQ118)</f>
        <v>0</v>
      </c>
      <c r="AI116" s="1646"/>
      <c r="AJ116" s="1646"/>
      <c r="AK116" s="1646"/>
      <c r="AL116" s="1646"/>
      <c r="AM116" s="1646"/>
      <c r="AN116" s="1646"/>
      <c r="AO116" s="1646"/>
      <c r="AP116" s="1646"/>
      <c r="AQ116" s="1646"/>
      <c r="AR116" s="1646">
        <f>SUM(AR117:BA118)</f>
        <v>0</v>
      </c>
      <c r="AS116" s="1646"/>
      <c r="AT116" s="1646"/>
      <c r="AU116" s="1646"/>
      <c r="AV116" s="1646"/>
      <c r="AW116" s="1646"/>
      <c r="AX116" s="1646"/>
      <c r="AY116" s="1646"/>
      <c r="AZ116" s="1646"/>
      <c r="BA116" s="1649"/>
    </row>
    <row r="117" spans="1:53" ht="15.75" customHeight="1">
      <c r="A117" s="1627" t="s">
        <v>1387</v>
      </c>
      <c r="B117" s="1628"/>
      <c r="C117" s="1628"/>
      <c r="D117" s="1628"/>
      <c r="E117" s="867" t="s">
        <v>553</v>
      </c>
      <c r="F117" s="868"/>
      <c r="G117" s="868"/>
      <c r="H117" s="868"/>
      <c r="I117" s="868"/>
      <c r="J117" s="868"/>
      <c r="K117" s="868"/>
      <c r="L117" s="868"/>
      <c r="M117" s="868"/>
      <c r="N117" s="868"/>
      <c r="O117" s="868"/>
      <c r="P117" s="868"/>
      <c r="Q117" s="868"/>
      <c r="R117" s="868"/>
      <c r="S117" s="868"/>
      <c r="T117" s="868"/>
      <c r="U117" s="868"/>
      <c r="V117" s="868"/>
      <c r="W117" s="868"/>
      <c r="X117" s="868"/>
      <c r="Y117" s="868"/>
      <c r="Z117" s="861"/>
      <c r="AA117" s="862"/>
      <c r="AB117" s="1632"/>
      <c r="AC117" s="1633"/>
      <c r="AD117" s="1634"/>
      <c r="AE117" s="1631" t="s">
        <v>2099</v>
      </c>
      <c r="AF117" s="1631"/>
      <c r="AG117" s="1631"/>
      <c r="AH117" s="1646">
        <f>SUMIF(unos!E:E,'bilans-stanja'!AE117,unos!F:F)</f>
        <v>0</v>
      </c>
      <c r="AI117" s="1646"/>
      <c r="AJ117" s="1646"/>
      <c r="AK117" s="1646"/>
      <c r="AL117" s="1646"/>
      <c r="AM117" s="1646"/>
      <c r="AN117" s="1646"/>
      <c r="AO117" s="1646"/>
      <c r="AP117" s="1646"/>
      <c r="AQ117" s="1646"/>
      <c r="AR117" s="1646">
        <f>SUMIF(unos!E:E,'bilans-stanja'!AE117,unos!C:C)</f>
        <v>0</v>
      </c>
      <c r="AS117" s="1646"/>
      <c r="AT117" s="1646"/>
      <c r="AU117" s="1646"/>
      <c r="AV117" s="1646"/>
      <c r="AW117" s="1646"/>
      <c r="AX117" s="1646"/>
      <c r="AY117" s="1646"/>
      <c r="AZ117" s="1646"/>
      <c r="BA117" s="1649"/>
    </row>
    <row r="118" spans="1:53" ht="15.75" customHeight="1">
      <c r="A118" s="1627" t="s">
        <v>1388</v>
      </c>
      <c r="B118" s="1628"/>
      <c r="C118" s="1628"/>
      <c r="D118" s="1628"/>
      <c r="E118" s="867" t="s">
        <v>554</v>
      </c>
      <c r="F118" s="868"/>
      <c r="G118" s="868"/>
      <c r="H118" s="868"/>
      <c r="I118" s="868"/>
      <c r="J118" s="868"/>
      <c r="K118" s="868"/>
      <c r="L118" s="868"/>
      <c r="M118" s="868"/>
      <c r="N118" s="868"/>
      <c r="O118" s="868"/>
      <c r="P118" s="868"/>
      <c r="Q118" s="868"/>
      <c r="R118" s="868"/>
      <c r="S118" s="868"/>
      <c r="T118" s="868"/>
      <c r="U118" s="868"/>
      <c r="V118" s="868"/>
      <c r="W118" s="868"/>
      <c r="X118" s="868"/>
      <c r="Y118" s="868"/>
      <c r="Z118" s="861"/>
      <c r="AA118" s="862"/>
      <c r="AB118" s="1632"/>
      <c r="AC118" s="1633"/>
      <c r="AD118" s="1634"/>
      <c r="AE118" s="1631" t="s">
        <v>2100</v>
      </c>
      <c r="AF118" s="1631"/>
      <c r="AG118" s="1631"/>
      <c r="AH118" s="1646">
        <f>SUMIF(unos!E:E,'bilans-stanja'!AE118,unos!F:F)</f>
        <v>0</v>
      </c>
      <c r="AI118" s="1646"/>
      <c r="AJ118" s="1646"/>
      <c r="AK118" s="1646"/>
      <c r="AL118" s="1646"/>
      <c r="AM118" s="1646"/>
      <c r="AN118" s="1646"/>
      <c r="AO118" s="1646"/>
      <c r="AP118" s="1646"/>
      <c r="AQ118" s="1646"/>
      <c r="AR118" s="1646">
        <f>SUMIF(unos!E:E,'bilans-stanja'!AE118,unos!C:C)</f>
        <v>0</v>
      </c>
      <c r="AS118" s="1646"/>
      <c r="AT118" s="1646"/>
      <c r="AU118" s="1646"/>
      <c r="AV118" s="1646"/>
      <c r="AW118" s="1646"/>
      <c r="AX118" s="1646"/>
      <c r="AY118" s="1646"/>
      <c r="AZ118" s="1646"/>
      <c r="BA118" s="1649"/>
    </row>
    <row r="119" spans="1:53" ht="15.75" customHeight="1" thickBot="1">
      <c r="A119" s="1650" t="s">
        <v>555</v>
      </c>
      <c r="B119" s="1651"/>
      <c r="C119" s="1651"/>
      <c r="D119" s="1651"/>
      <c r="E119" s="886" t="s">
        <v>556</v>
      </c>
      <c r="F119" s="883"/>
      <c r="G119" s="883"/>
      <c r="H119" s="883"/>
      <c r="I119" s="883"/>
      <c r="J119" s="883"/>
      <c r="K119" s="883"/>
      <c r="L119" s="883"/>
      <c r="M119" s="883"/>
      <c r="N119" s="883"/>
      <c r="O119" s="883"/>
      <c r="P119" s="883"/>
      <c r="Q119" s="883"/>
      <c r="R119" s="883"/>
      <c r="S119" s="883"/>
      <c r="T119" s="883"/>
      <c r="U119" s="883"/>
      <c r="V119" s="883"/>
      <c r="W119" s="883"/>
      <c r="X119" s="883"/>
      <c r="Y119" s="883"/>
      <c r="Z119" s="884"/>
      <c r="AA119" s="885"/>
      <c r="AB119" s="1653"/>
      <c r="AC119" s="1654"/>
      <c r="AD119" s="1655"/>
      <c r="AE119" s="1652" t="s">
        <v>2101</v>
      </c>
      <c r="AF119" s="1652"/>
      <c r="AG119" s="1652"/>
      <c r="AH119" s="1642">
        <f>SUMIF(unos!E:E,'bilans-stanja'!AE119,unos!F:F)</f>
        <v>0</v>
      </c>
      <c r="AI119" s="1642"/>
      <c r="AJ119" s="1642"/>
      <c r="AK119" s="1642"/>
      <c r="AL119" s="1642"/>
      <c r="AM119" s="1642"/>
      <c r="AN119" s="1642"/>
      <c r="AO119" s="1642"/>
      <c r="AP119" s="1642"/>
      <c r="AQ119" s="1642"/>
      <c r="AR119" s="1642">
        <f>SUMIF(unos!E:E,'bilans-stanja'!AE119,unos!C:C)</f>
        <v>0</v>
      </c>
      <c r="AS119" s="1642"/>
      <c r="AT119" s="1642"/>
      <c r="AU119" s="1642"/>
      <c r="AV119" s="1642"/>
      <c r="AW119" s="1642"/>
      <c r="AX119" s="1642"/>
      <c r="AY119" s="1642"/>
      <c r="AZ119" s="1642"/>
      <c r="BA119" s="1644"/>
    </row>
    <row r="120" spans="1:53" s="844" customFormat="1" ht="15.75" customHeight="1">
      <c r="A120" s="1637"/>
      <c r="B120" s="1637"/>
      <c r="C120" s="1637"/>
      <c r="D120" s="1637"/>
      <c r="E120" s="1635"/>
      <c r="F120" s="1635"/>
      <c r="G120" s="1635"/>
      <c r="H120" s="1635"/>
      <c r="I120" s="1635"/>
      <c r="J120" s="1635"/>
      <c r="K120" s="1635"/>
      <c r="L120" s="1635"/>
      <c r="M120" s="1635"/>
      <c r="N120" s="1635"/>
      <c r="O120" s="1635"/>
      <c r="P120" s="1635"/>
      <c r="Q120" s="1635"/>
      <c r="R120" s="1635"/>
      <c r="S120" s="1635"/>
      <c r="T120" s="1635"/>
      <c r="U120" s="1636"/>
      <c r="V120" s="1636"/>
      <c r="W120" s="1636"/>
      <c r="X120" s="1636"/>
      <c r="Y120" s="1636"/>
      <c r="Z120" s="1647"/>
      <c r="AA120" s="1647"/>
      <c r="AB120" s="1647"/>
      <c r="AC120" s="1647"/>
      <c r="AD120" s="1647"/>
      <c r="AE120" s="1647"/>
      <c r="AF120" s="1647"/>
      <c r="AG120" s="1647"/>
      <c r="AH120" s="1647"/>
      <c r="AI120" s="1647"/>
      <c r="AJ120" s="1647"/>
      <c r="AK120" s="1647"/>
      <c r="AL120" s="1647"/>
      <c r="AM120" s="1647"/>
      <c r="AN120" s="1647"/>
      <c r="AO120" s="1647"/>
      <c r="AP120" s="1647"/>
      <c r="AQ120" s="1647"/>
      <c r="AR120" s="1647"/>
      <c r="AS120" s="1647"/>
      <c r="AT120" s="1647"/>
      <c r="AU120" s="1645" t="s">
        <v>2388</v>
      </c>
      <c r="AV120" s="1645"/>
      <c r="AW120" s="1645"/>
      <c r="AX120" s="1645"/>
      <c r="AY120" s="1645"/>
      <c r="AZ120" s="1645"/>
      <c r="BA120" s="1645"/>
    </row>
    <row r="121" spans="1:53" s="844" customFormat="1" ht="15.75" customHeight="1" thickBot="1">
      <c r="A121" s="37"/>
      <c r="B121" s="37"/>
      <c r="C121" s="37"/>
      <c r="D121" s="37"/>
      <c r="E121" s="854"/>
      <c r="F121" s="854"/>
      <c r="G121" s="854"/>
      <c r="H121" s="854"/>
      <c r="I121" s="854"/>
      <c r="J121" s="854"/>
      <c r="K121" s="854"/>
      <c r="L121" s="854"/>
      <c r="M121" s="854"/>
      <c r="N121" s="854"/>
      <c r="O121" s="854"/>
      <c r="P121" s="854"/>
      <c r="Q121" s="854"/>
      <c r="R121" s="854"/>
      <c r="S121" s="854"/>
      <c r="T121" s="854"/>
      <c r="U121" s="849"/>
      <c r="V121" s="849"/>
      <c r="W121" s="849"/>
      <c r="X121" s="849"/>
      <c r="Y121" s="849"/>
      <c r="Z121" s="850"/>
      <c r="AA121" s="850"/>
      <c r="AB121" s="850"/>
      <c r="AC121" s="850"/>
      <c r="AD121" s="850"/>
      <c r="AE121" s="850"/>
      <c r="AF121" s="850"/>
      <c r="AG121" s="850"/>
      <c r="AH121" s="850"/>
      <c r="AI121" s="850"/>
      <c r="AJ121" s="850"/>
      <c r="AK121" s="850"/>
      <c r="AL121" s="850"/>
      <c r="AM121" s="850"/>
      <c r="AN121" s="850"/>
      <c r="AO121" s="850"/>
      <c r="AP121" s="850"/>
      <c r="AQ121" s="850"/>
      <c r="AR121" s="850"/>
      <c r="AS121" s="850"/>
      <c r="AT121" s="850"/>
      <c r="AU121" s="850"/>
      <c r="AV121" s="850"/>
      <c r="AW121" s="850"/>
      <c r="AX121" s="850"/>
      <c r="AY121" s="850"/>
      <c r="AZ121" s="850"/>
      <c r="BA121" s="850"/>
    </row>
    <row r="122" spans="1:53" ht="13.5" customHeight="1" thickBot="1">
      <c r="A122" s="1638" t="s">
        <v>522</v>
      </c>
      <c r="B122" s="1639"/>
      <c r="C122" s="1639"/>
      <c r="D122" s="1639"/>
      <c r="E122" s="1640">
        <v>2</v>
      </c>
      <c r="F122" s="1641"/>
      <c r="G122" s="1641"/>
      <c r="H122" s="1641"/>
      <c r="I122" s="1641"/>
      <c r="J122" s="1641"/>
      <c r="K122" s="1641"/>
      <c r="L122" s="1641"/>
      <c r="M122" s="1641"/>
      <c r="N122" s="1641"/>
      <c r="O122" s="1641"/>
      <c r="P122" s="1641"/>
      <c r="Q122" s="1641"/>
      <c r="R122" s="1641"/>
      <c r="S122" s="1641"/>
      <c r="T122" s="1641"/>
      <c r="U122" s="857"/>
      <c r="V122" s="857"/>
      <c r="W122" s="857"/>
      <c r="X122" s="857"/>
      <c r="Y122" s="857"/>
      <c r="Z122" s="857"/>
      <c r="AA122" s="858"/>
      <c r="AB122" s="1640">
        <v>3</v>
      </c>
      <c r="AC122" s="1641"/>
      <c r="AD122" s="1643"/>
      <c r="AE122" s="1640">
        <v>4</v>
      </c>
      <c r="AF122" s="1641"/>
      <c r="AG122" s="1643"/>
      <c r="AH122" s="1640">
        <v>5</v>
      </c>
      <c r="AI122" s="1641"/>
      <c r="AJ122" s="1641"/>
      <c r="AK122" s="1641"/>
      <c r="AL122" s="1641"/>
      <c r="AM122" s="1641"/>
      <c r="AN122" s="1641"/>
      <c r="AO122" s="1641"/>
      <c r="AP122" s="1641"/>
      <c r="AQ122" s="1643"/>
      <c r="AR122" s="1640">
        <v>6</v>
      </c>
      <c r="AS122" s="1641"/>
      <c r="AT122" s="1641"/>
      <c r="AU122" s="1641"/>
      <c r="AV122" s="1641"/>
      <c r="AW122" s="1641"/>
      <c r="AX122" s="1641"/>
      <c r="AY122" s="1641"/>
      <c r="AZ122" s="1641"/>
      <c r="BA122" s="1648"/>
    </row>
    <row r="123" spans="1:53" ht="15.75" customHeight="1">
      <c r="A123" s="1627" t="s">
        <v>555</v>
      </c>
      <c r="B123" s="1628"/>
      <c r="C123" s="1628"/>
      <c r="D123" s="1628"/>
      <c r="E123" s="877" t="s">
        <v>557</v>
      </c>
      <c r="F123" s="878"/>
      <c r="G123" s="878"/>
      <c r="H123" s="878"/>
      <c r="I123" s="878"/>
      <c r="J123" s="878"/>
      <c r="K123" s="878"/>
      <c r="L123" s="878"/>
      <c r="M123" s="878"/>
      <c r="N123" s="878"/>
      <c r="O123" s="878"/>
      <c r="P123" s="878"/>
      <c r="Q123" s="878"/>
      <c r="R123" s="878"/>
      <c r="S123" s="878"/>
      <c r="T123" s="878"/>
      <c r="U123" s="866"/>
      <c r="V123" s="866"/>
      <c r="W123" s="866"/>
      <c r="X123" s="866"/>
      <c r="Y123" s="866"/>
      <c r="Z123" s="859"/>
      <c r="AA123" s="860"/>
      <c r="AB123" s="1632"/>
      <c r="AC123" s="1633"/>
      <c r="AD123" s="1634"/>
      <c r="AE123" s="1631" t="s">
        <v>2102</v>
      </c>
      <c r="AF123" s="1631"/>
      <c r="AG123" s="1631"/>
      <c r="AH123" s="1629">
        <f>SUMIF(unos!E:E,'bilans-stanja'!AE123,unos!F:F)</f>
        <v>0</v>
      </c>
      <c r="AI123" s="1629"/>
      <c r="AJ123" s="1629"/>
      <c r="AK123" s="1629"/>
      <c r="AL123" s="1629"/>
      <c r="AM123" s="1629"/>
      <c r="AN123" s="1629"/>
      <c r="AO123" s="1629"/>
      <c r="AP123" s="1629"/>
      <c r="AQ123" s="1629"/>
      <c r="AR123" s="1629">
        <f>SUMIF(unos!E:E,'bilans-stanja'!AE123,unos!C:C)</f>
        <v>0</v>
      </c>
      <c r="AS123" s="1629"/>
      <c r="AT123" s="1629"/>
      <c r="AU123" s="1629"/>
      <c r="AV123" s="1629"/>
      <c r="AW123" s="1629"/>
      <c r="AX123" s="1629"/>
      <c r="AY123" s="1629"/>
      <c r="AZ123" s="1629"/>
      <c r="BA123" s="1630"/>
    </row>
    <row r="124" spans="1:53" ht="15.75" customHeight="1">
      <c r="A124" s="1627" t="s">
        <v>555</v>
      </c>
      <c r="B124" s="1628"/>
      <c r="C124" s="1628"/>
      <c r="D124" s="1628"/>
      <c r="E124" s="875" t="s">
        <v>558</v>
      </c>
      <c r="F124" s="876"/>
      <c r="G124" s="876"/>
      <c r="H124" s="876"/>
      <c r="I124" s="876"/>
      <c r="J124" s="876"/>
      <c r="K124" s="876"/>
      <c r="L124" s="876"/>
      <c r="M124" s="876"/>
      <c r="N124" s="876"/>
      <c r="O124" s="876"/>
      <c r="P124" s="876"/>
      <c r="Q124" s="876"/>
      <c r="R124" s="876"/>
      <c r="S124" s="876"/>
      <c r="T124" s="876"/>
      <c r="U124" s="868"/>
      <c r="V124" s="868"/>
      <c r="W124" s="868"/>
      <c r="X124" s="868"/>
      <c r="Y124" s="868"/>
      <c r="Z124" s="861"/>
      <c r="AA124" s="862"/>
      <c r="AB124" s="1632"/>
      <c r="AC124" s="1633"/>
      <c r="AD124" s="1634"/>
      <c r="AE124" s="1631" t="s">
        <v>2103</v>
      </c>
      <c r="AF124" s="1631"/>
      <c r="AG124" s="1631"/>
      <c r="AH124" s="1629">
        <f>SUMIF(unos!E:E,'bilans-stanja'!AE124,unos!F:F)</f>
        <v>0</v>
      </c>
      <c r="AI124" s="1629"/>
      <c r="AJ124" s="1629"/>
      <c r="AK124" s="1629"/>
      <c r="AL124" s="1629"/>
      <c r="AM124" s="1629"/>
      <c r="AN124" s="1629"/>
      <c r="AO124" s="1629"/>
      <c r="AP124" s="1629"/>
      <c r="AQ124" s="1629"/>
      <c r="AR124" s="1629">
        <f>SUMIF(unos!E:E,'bilans-stanja'!AE124,unos!C:C)</f>
        <v>0</v>
      </c>
      <c r="AS124" s="1629"/>
      <c r="AT124" s="1629"/>
      <c r="AU124" s="1629"/>
      <c r="AV124" s="1629"/>
      <c r="AW124" s="1629"/>
      <c r="AX124" s="1629"/>
      <c r="AY124" s="1629"/>
      <c r="AZ124" s="1629"/>
      <c r="BA124" s="1630"/>
    </row>
    <row r="125" spans="1:53" ht="15.75" customHeight="1">
      <c r="A125" s="1627" t="s">
        <v>1115</v>
      </c>
      <c r="B125" s="1628"/>
      <c r="C125" s="1628"/>
      <c r="D125" s="1628"/>
      <c r="E125" s="875" t="s">
        <v>559</v>
      </c>
      <c r="F125" s="879"/>
      <c r="G125" s="879"/>
      <c r="H125" s="879"/>
      <c r="I125" s="879"/>
      <c r="J125" s="879"/>
      <c r="K125" s="879"/>
      <c r="L125" s="879"/>
      <c r="M125" s="879"/>
      <c r="N125" s="879"/>
      <c r="O125" s="879"/>
      <c r="P125" s="879"/>
      <c r="Q125" s="879"/>
      <c r="R125" s="879"/>
      <c r="S125" s="879"/>
      <c r="T125" s="879"/>
      <c r="U125" s="868"/>
      <c r="V125" s="868"/>
      <c r="W125" s="868"/>
      <c r="X125" s="868"/>
      <c r="Y125" s="868"/>
      <c r="Z125" s="861"/>
      <c r="AA125" s="862"/>
      <c r="AB125" s="1632"/>
      <c r="AC125" s="1633"/>
      <c r="AD125" s="1634"/>
      <c r="AE125" s="1631" t="s">
        <v>423</v>
      </c>
      <c r="AF125" s="1631"/>
      <c r="AG125" s="1631"/>
      <c r="AH125" s="1629">
        <f>SUM(AH126:AQ129)</f>
        <v>0</v>
      </c>
      <c r="AI125" s="1629"/>
      <c r="AJ125" s="1629"/>
      <c r="AK125" s="1629"/>
      <c r="AL125" s="1629"/>
      <c r="AM125" s="1629"/>
      <c r="AN125" s="1629"/>
      <c r="AO125" s="1629"/>
      <c r="AP125" s="1629"/>
      <c r="AQ125" s="1629"/>
      <c r="AR125" s="1629">
        <f>SUM(AR126:BA129)</f>
        <v>0</v>
      </c>
      <c r="AS125" s="1629"/>
      <c r="AT125" s="1629"/>
      <c r="AU125" s="1629"/>
      <c r="AV125" s="1629"/>
      <c r="AW125" s="1629"/>
      <c r="AX125" s="1629"/>
      <c r="AY125" s="1629"/>
      <c r="AZ125" s="1629"/>
      <c r="BA125" s="1630"/>
    </row>
    <row r="126" spans="1:53" ht="15.75" customHeight="1">
      <c r="A126" s="1627" t="s">
        <v>359</v>
      </c>
      <c r="B126" s="1628"/>
      <c r="C126" s="1628"/>
      <c r="D126" s="1628"/>
      <c r="E126" s="867" t="s">
        <v>560</v>
      </c>
      <c r="F126" s="868"/>
      <c r="G126" s="868"/>
      <c r="H126" s="868"/>
      <c r="I126" s="868"/>
      <c r="J126" s="868"/>
      <c r="K126" s="868"/>
      <c r="L126" s="868"/>
      <c r="M126" s="868"/>
      <c r="N126" s="868"/>
      <c r="O126" s="868"/>
      <c r="P126" s="868"/>
      <c r="Q126" s="868"/>
      <c r="R126" s="868"/>
      <c r="S126" s="868"/>
      <c r="T126" s="868"/>
      <c r="U126" s="868"/>
      <c r="V126" s="868"/>
      <c r="W126" s="868"/>
      <c r="X126" s="868"/>
      <c r="Y126" s="868"/>
      <c r="Z126" s="861"/>
      <c r="AA126" s="862"/>
      <c r="AB126" s="1632"/>
      <c r="AC126" s="1633"/>
      <c r="AD126" s="1634"/>
      <c r="AE126" s="1631" t="s">
        <v>424</v>
      </c>
      <c r="AF126" s="1631"/>
      <c r="AG126" s="1631"/>
      <c r="AH126" s="1629">
        <f>SUMIF(unos!E:E,'bilans-stanja'!AE126,unos!F:F)</f>
        <v>0</v>
      </c>
      <c r="AI126" s="1629"/>
      <c r="AJ126" s="1629"/>
      <c r="AK126" s="1629"/>
      <c r="AL126" s="1629"/>
      <c r="AM126" s="1629"/>
      <c r="AN126" s="1629"/>
      <c r="AO126" s="1629"/>
      <c r="AP126" s="1629"/>
      <c r="AQ126" s="1629"/>
      <c r="AR126" s="1629">
        <f>SUMIF(unos!E:E,'bilans-stanja'!AE126,unos!C:C)</f>
        <v>0</v>
      </c>
      <c r="AS126" s="1629"/>
      <c r="AT126" s="1629"/>
      <c r="AU126" s="1629"/>
      <c r="AV126" s="1629"/>
      <c r="AW126" s="1629"/>
      <c r="AX126" s="1629"/>
      <c r="AY126" s="1629"/>
      <c r="AZ126" s="1629"/>
      <c r="BA126" s="1630"/>
    </row>
    <row r="127" spans="1:53" ht="15.75" customHeight="1">
      <c r="A127" s="1627" t="s">
        <v>360</v>
      </c>
      <c r="B127" s="1628"/>
      <c r="C127" s="1628"/>
      <c r="D127" s="1628"/>
      <c r="E127" s="867" t="s">
        <v>561</v>
      </c>
      <c r="F127" s="868"/>
      <c r="G127" s="868"/>
      <c r="H127" s="868"/>
      <c r="I127" s="868"/>
      <c r="J127" s="868"/>
      <c r="K127" s="868"/>
      <c r="L127" s="868"/>
      <c r="M127" s="868"/>
      <c r="N127" s="868"/>
      <c r="O127" s="868"/>
      <c r="P127" s="868"/>
      <c r="Q127" s="868"/>
      <c r="R127" s="868"/>
      <c r="S127" s="868"/>
      <c r="T127" s="868"/>
      <c r="U127" s="868"/>
      <c r="V127" s="868"/>
      <c r="W127" s="868"/>
      <c r="X127" s="868"/>
      <c r="Y127" s="868"/>
      <c r="Z127" s="861"/>
      <c r="AA127" s="862"/>
      <c r="AB127" s="1632"/>
      <c r="AC127" s="1633"/>
      <c r="AD127" s="1634"/>
      <c r="AE127" s="1631" t="s">
        <v>425</v>
      </c>
      <c r="AF127" s="1631"/>
      <c r="AG127" s="1631"/>
      <c r="AH127" s="1629">
        <f>SUMIF(unos!E:E,'bilans-stanja'!AE127,unos!F:F)</f>
        <v>0</v>
      </c>
      <c r="AI127" s="1629"/>
      <c r="AJ127" s="1629"/>
      <c r="AK127" s="1629"/>
      <c r="AL127" s="1629"/>
      <c r="AM127" s="1629"/>
      <c r="AN127" s="1629"/>
      <c r="AO127" s="1629"/>
      <c r="AP127" s="1629"/>
      <c r="AQ127" s="1629"/>
      <c r="AR127" s="1629">
        <f>SUMIF(unos!E:E,'bilans-stanja'!AE127,unos!C:C)</f>
        <v>0</v>
      </c>
      <c r="AS127" s="1629"/>
      <c r="AT127" s="1629"/>
      <c r="AU127" s="1629"/>
      <c r="AV127" s="1629"/>
      <c r="AW127" s="1629"/>
      <c r="AX127" s="1629"/>
      <c r="AY127" s="1629"/>
      <c r="AZ127" s="1629"/>
      <c r="BA127" s="1630"/>
    </row>
    <row r="128" spans="1:53" ht="15.75" customHeight="1">
      <c r="A128" s="1627" t="s">
        <v>361</v>
      </c>
      <c r="B128" s="1628"/>
      <c r="C128" s="1628"/>
      <c r="D128" s="1628"/>
      <c r="E128" s="867" t="s">
        <v>562</v>
      </c>
      <c r="F128" s="868"/>
      <c r="G128" s="868"/>
      <c r="H128" s="868"/>
      <c r="I128" s="868"/>
      <c r="J128" s="868"/>
      <c r="K128" s="868"/>
      <c r="L128" s="868"/>
      <c r="M128" s="868"/>
      <c r="N128" s="868"/>
      <c r="O128" s="868"/>
      <c r="P128" s="868"/>
      <c r="Q128" s="868"/>
      <c r="R128" s="868"/>
      <c r="S128" s="868"/>
      <c r="T128" s="868"/>
      <c r="U128" s="868"/>
      <c r="V128" s="868"/>
      <c r="W128" s="868"/>
      <c r="X128" s="868"/>
      <c r="Y128" s="868"/>
      <c r="Z128" s="861"/>
      <c r="AA128" s="862"/>
      <c r="AB128" s="1632"/>
      <c r="AC128" s="1633"/>
      <c r="AD128" s="1634"/>
      <c r="AE128" s="1631" t="s">
        <v>426</v>
      </c>
      <c r="AF128" s="1631"/>
      <c r="AG128" s="1631"/>
      <c r="AH128" s="1629">
        <f>SUMIF(unos!E:E,'bilans-stanja'!AE128,unos!F:F)</f>
        <v>0</v>
      </c>
      <c r="AI128" s="1629"/>
      <c r="AJ128" s="1629"/>
      <c r="AK128" s="1629"/>
      <c r="AL128" s="1629"/>
      <c r="AM128" s="1629"/>
      <c r="AN128" s="1629"/>
      <c r="AO128" s="1629"/>
      <c r="AP128" s="1629"/>
      <c r="AQ128" s="1629"/>
      <c r="AR128" s="1629">
        <f>SUMIF(unos!E:E,'bilans-stanja'!AE128,unos!C:C)</f>
        <v>0</v>
      </c>
      <c r="AS128" s="1629"/>
      <c r="AT128" s="1629"/>
      <c r="AU128" s="1629"/>
      <c r="AV128" s="1629"/>
      <c r="AW128" s="1629"/>
      <c r="AX128" s="1629"/>
      <c r="AY128" s="1629"/>
      <c r="AZ128" s="1629"/>
      <c r="BA128" s="1630"/>
    </row>
    <row r="129" spans="1:53" ht="15.75" customHeight="1">
      <c r="A129" s="1627" t="s">
        <v>153</v>
      </c>
      <c r="B129" s="1628"/>
      <c r="C129" s="1628"/>
      <c r="D129" s="1628"/>
      <c r="E129" s="867" t="s">
        <v>563</v>
      </c>
      <c r="F129" s="868"/>
      <c r="G129" s="868"/>
      <c r="H129" s="868"/>
      <c r="I129" s="868"/>
      <c r="J129" s="868"/>
      <c r="K129" s="868"/>
      <c r="L129" s="868"/>
      <c r="M129" s="868"/>
      <c r="N129" s="868"/>
      <c r="O129" s="868"/>
      <c r="P129" s="868"/>
      <c r="Q129" s="868"/>
      <c r="R129" s="868"/>
      <c r="S129" s="868"/>
      <c r="T129" s="868"/>
      <c r="U129" s="868"/>
      <c r="V129" s="868"/>
      <c r="W129" s="868"/>
      <c r="X129" s="868"/>
      <c r="Y129" s="868"/>
      <c r="Z129" s="861"/>
      <c r="AA129" s="862"/>
      <c r="AB129" s="1632"/>
      <c r="AC129" s="1633"/>
      <c r="AD129" s="1634"/>
      <c r="AE129" s="1631" t="s">
        <v>427</v>
      </c>
      <c r="AF129" s="1631"/>
      <c r="AG129" s="1631"/>
      <c r="AH129" s="1629">
        <f>SUMIF(unos!E:E,'bilans-stanja'!AE129,unos!F:F)</f>
        <v>0</v>
      </c>
      <c r="AI129" s="1629"/>
      <c r="AJ129" s="1629"/>
      <c r="AK129" s="1629"/>
      <c r="AL129" s="1629"/>
      <c r="AM129" s="1629"/>
      <c r="AN129" s="1629"/>
      <c r="AO129" s="1629"/>
      <c r="AP129" s="1629"/>
      <c r="AQ129" s="1629"/>
      <c r="AR129" s="1629">
        <f>SUMIF(unos!E:E,'bilans-stanja'!AE129,unos!C:C)</f>
        <v>0</v>
      </c>
      <c r="AS129" s="1629"/>
      <c r="AT129" s="1629"/>
      <c r="AU129" s="1629"/>
      <c r="AV129" s="1629"/>
      <c r="AW129" s="1629"/>
      <c r="AX129" s="1629"/>
      <c r="AY129" s="1629"/>
      <c r="AZ129" s="1629"/>
      <c r="BA129" s="1630"/>
    </row>
    <row r="130" spans="1:53" ht="15.75" customHeight="1">
      <c r="A130" s="1627" t="s">
        <v>1116</v>
      </c>
      <c r="B130" s="1628"/>
      <c r="C130" s="1628"/>
      <c r="D130" s="1628"/>
      <c r="E130" s="875" t="s">
        <v>565</v>
      </c>
      <c r="F130" s="876"/>
      <c r="G130" s="876"/>
      <c r="H130" s="876"/>
      <c r="I130" s="876"/>
      <c r="J130" s="876"/>
      <c r="K130" s="876"/>
      <c r="L130" s="876"/>
      <c r="M130" s="876"/>
      <c r="N130" s="876"/>
      <c r="O130" s="876"/>
      <c r="P130" s="876"/>
      <c r="Q130" s="876"/>
      <c r="R130" s="876"/>
      <c r="S130" s="876"/>
      <c r="T130" s="876"/>
      <c r="U130" s="868"/>
      <c r="V130" s="868"/>
      <c r="W130" s="868"/>
      <c r="X130" s="868"/>
      <c r="Y130" s="868"/>
      <c r="Z130" s="861"/>
      <c r="AA130" s="862"/>
      <c r="AB130" s="1632"/>
      <c r="AC130" s="1633"/>
      <c r="AD130" s="1634"/>
      <c r="AE130" s="1631" t="s">
        <v>428</v>
      </c>
      <c r="AF130" s="1631"/>
      <c r="AG130" s="1631"/>
      <c r="AH130" s="1629">
        <f>SUM(AH131:AQ134)</f>
        <v>0</v>
      </c>
      <c r="AI130" s="1629"/>
      <c r="AJ130" s="1629"/>
      <c r="AK130" s="1629"/>
      <c r="AL130" s="1629"/>
      <c r="AM130" s="1629"/>
      <c r="AN130" s="1629"/>
      <c r="AO130" s="1629"/>
      <c r="AP130" s="1629"/>
      <c r="AQ130" s="1629"/>
      <c r="AR130" s="1629">
        <f>SUM(AR131:BA134)</f>
        <v>0</v>
      </c>
      <c r="AS130" s="1629"/>
      <c r="AT130" s="1629"/>
      <c r="AU130" s="1629"/>
      <c r="AV130" s="1629"/>
      <c r="AW130" s="1629"/>
      <c r="AX130" s="1629"/>
      <c r="AY130" s="1629"/>
      <c r="AZ130" s="1629"/>
      <c r="BA130" s="1630"/>
    </row>
    <row r="131" spans="1:53" ht="15.75" customHeight="1">
      <c r="A131" s="1627" t="s">
        <v>2574</v>
      </c>
      <c r="B131" s="1628"/>
      <c r="C131" s="1628"/>
      <c r="D131" s="1628"/>
      <c r="E131" s="867" t="s">
        <v>564</v>
      </c>
      <c r="F131" s="868"/>
      <c r="G131" s="868"/>
      <c r="H131" s="868"/>
      <c r="I131" s="868"/>
      <c r="J131" s="868"/>
      <c r="K131" s="868"/>
      <c r="L131" s="868"/>
      <c r="M131" s="868"/>
      <c r="N131" s="868"/>
      <c r="O131" s="868"/>
      <c r="P131" s="868"/>
      <c r="Q131" s="868"/>
      <c r="R131" s="868"/>
      <c r="S131" s="868"/>
      <c r="T131" s="868"/>
      <c r="U131" s="868"/>
      <c r="V131" s="868"/>
      <c r="W131" s="868"/>
      <c r="X131" s="868"/>
      <c r="Y131" s="868"/>
      <c r="Z131" s="861"/>
      <c r="AA131" s="862"/>
      <c r="AB131" s="1632"/>
      <c r="AC131" s="1633"/>
      <c r="AD131" s="1634"/>
      <c r="AE131" s="1631" t="s">
        <v>429</v>
      </c>
      <c r="AF131" s="1631"/>
      <c r="AG131" s="1631"/>
      <c r="AH131" s="1629">
        <f>SUMIF(unos!E:E,'bilans-stanja'!AE131,unos!F:F)</f>
        <v>0</v>
      </c>
      <c r="AI131" s="1629"/>
      <c r="AJ131" s="1629"/>
      <c r="AK131" s="1629"/>
      <c r="AL131" s="1629"/>
      <c r="AM131" s="1629"/>
      <c r="AN131" s="1629"/>
      <c r="AO131" s="1629"/>
      <c r="AP131" s="1629"/>
      <c r="AQ131" s="1629"/>
      <c r="AR131" s="1629">
        <f>SUMIF(unos!E:E,'bilans-stanja'!AE131,unos!C:C)</f>
        <v>0</v>
      </c>
      <c r="AS131" s="1629"/>
      <c r="AT131" s="1629"/>
      <c r="AU131" s="1629"/>
      <c r="AV131" s="1629"/>
      <c r="AW131" s="1629"/>
      <c r="AX131" s="1629"/>
      <c r="AY131" s="1629"/>
      <c r="AZ131" s="1629"/>
      <c r="BA131" s="1630"/>
    </row>
    <row r="132" spans="1:53" ht="15.75" customHeight="1">
      <c r="A132" s="1627" t="s">
        <v>2575</v>
      </c>
      <c r="B132" s="1628"/>
      <c r="C132" s="1628"/>
      <c r="D132" s="1628"/>
      <c r="E132" s="867" t="s">
        <v>566</v>
      </c>
      <c r="F132" s="868"/>
      <c r="G132" s="868"/>
      <c r="H132" s="868"/>
      <c r="I132" s="868"/>
      <c r="J132" s="868"/>
      <c r="K132" s="868"/>
      <c r="L132" s="868"/>
      <c r="M132" s="868"/>
      <c r="N132" s="868"/>
      <c r="O132" s="868"/>
      <c r="P132" s="868"/>
      <c r="Q132" s="868"/>
      <c r="R132" s="868"/>
      <c r="S132" s="868"/>
      <c r="T132" s="868"/>
      <c r="U132" s="868"/>
      <c r="V132" s="868"/>
      <c r="W132" s="868"/>
      <c r="X132" s="868"/>
      <c r="Y132" s="868"/>
      <c r="Z132" s="861"/>
      <c r="AA132" s="862"/>
      <c r="AB132" s="1632"/>
      <c r="AC132" s="1633"/>
      <c r="AD132" s="1634"/>
      <c r="AE132" s="1631" t="s">
        <v>430</v>
      </c>
      <c r="AF132" s="1631"/>
      <c r="AG132" s="1631"/>
      <c r="AH132" s="1629">
        <f>SUMIF(unos!E:E,'bilans-stanja'!AE132,unos!F:F)</f>
        <v>0</v>
      </c>
      <c r="AI132" s="1629"/>
      <c r="AJ132" s="1629"/>
      <c r="AK132" s="1629"/>
      <c r="AL132" s="1629"/>
      <c r="AM132" s="1629"/>
      <c r="AN132" s="1629"/>
      <c r="AO132" s="1629"/>
      <c r="AP132" s="1629"/>
      <c r="AQ132" s="1629"/>
      <c r="AR132" s="1629">
        <f>SUMIF(unos!E:E,'bilans-stanja'!AE132,unos!C:C)</f>
        <v>0</v>
      </c>
      <c r="AS132" s="1629"/>
      <c r="AT132" s="1629"/>
      <c r="AU132" s="1629"/>
      <c r="AV132" s="1629"/>
      <c r="AW132" s="1629"/>
      <c r="AX132" s="1629"/>
      <c r="AY132" s="1629"/>
      <c r="AZ132" s="1629"/>
      <c r="BA132" s="1630"/>
    </row>
    <row r="133" spans="1:53" ht="15.75" customHeight="1">
      <c r="A133" s="1627" t="s">
        <v>2576</v>
      </c>
      <c r="B133" s="1628"/>
      <c r="C133" s="1628"/>
      <c r="D133" s="1628"/>
      <c r="E133" s="867" t="s">
        <v>567</v>
      </c>
      <c r="F133" s="868"/>
      <c r="G133" s="868"/>
      <c r="H133" s="868"/>
      <c r="I133" s="868"/>
      <c r="J133" s="868"/>
      <c r="K133" s="868"/>
      <c r="L133" s="868"/>
      <c r="M133" s="868"/>
      <c r="N133" s="868"/>
      <c r="O133" s="868"/>
      <c r="P133" s="868"/>
      <c r="Q133" s="868"/>
      <c r="R133" s="868"/>
      <c r="S133" s="868"/>
      <c r="T133" s="868"/>
      <c r="U133" s="868"/>
      <c r="V133" s="868"/>
      <c r="W133" s="868"/>
      <c r="X133" s="868"/>
      <c r="Y133" s="868"/>
      <c r="Z133" s="861"/>
      <c r="AA133" s="862"/>
      <c r="AB133" s="1632"/>
      <c r="AC133" s="1633"/>
      <c r="AD133" s="1634"/>
      <c r="AE133" s="1631" t="s">
        <v>431</v>
      </c>
      <c r="AF133" s="1631"/>
      <c r="AG133" s="1631"/>
      <c r="AH133" s="1629">
        <f>SUMIF(unos!E:E,'bilans-stanja'!AE133,unos!F:F)</f>
        <v>0</v>
      </c>
      <c r="AI133" s="1629"/>
      <c r="AJ133" s="1629"/>
      <c r="AK133" s="1629"/>
      <c r="AL133" s="1629"/>
      <c r="AM133" s="1629"/>
      <c r="AN133" s="1629"/>
      <c r="AO133" s="1629"/>
      <c r="AP133" s="1629"/>
      <c r="AQ133" s="1629"/>
      <c r="AR133" s="1629">
        <f>SUMIF(unos!E:E,'bilans-stanja'!AE133,unos!C:C)</f>
        <v>0</v>
      </c>
      <c r="AS133" s="1629"/>
      <c r="AT133" s="1629"/>
      <c r="AU133" s="1629"/>
      <c r="AV133" s="1629"/>
      <c r="AW133" s="1629"/>
      <c r="AX133" s="1629"/>
      <c r="AY133" s="1629"/>
      <c r="AZ133" s="1629"/>
      <c r="BA133" s="1630"/>
    </row>
    <row r="134" spans="1:53" ht="15.75" customHeight="1">
      <c r="A134" s="1627" t="s">
        <v>2577</v>
      </c>
      <c r="B134" s="1628"/>
      <c r="C134" s="1628"/>
      <c r="D134" s="1628"/>
      <c r="E134" s="867" t="s">
        <v>568</v>
      </c>
      <c r="F134" s="868"/>
      <c r="G134" s="868"/>
      <c r="H134" s="868"/>
      <c r="I134" s="868"/>
      <c r="J134" s="868"/>
      <c r="K134" s="868"/>
      <c r="L134" s="868"/>
      <c r="M134" s="868"/>
      <c r="N134" s="868"/>
      <c r="O134" s="868"/>
      <c r="P134" s="868"/>
      <c r="Q134" s="868"/>
      <c r="R134" s="868"/>
      <c r="S134" s="868"/>
      <c r="T134" s="868"/>
      <c r="U134" s="868"/>
      <c r="V134" s="868"/>
      <c r="W134" s="868"/>
      <c r="X134" s="868"/>
      <c r="Y134" s="868"/>
      <c r="Z134" s="861"/>
      <c r="AA134" s="862"/>
      <c r="AB134" s="1632"/>
      <c r="AC134" s="1633"/>
      <c r="AD134" s="1634"/>
      <c r="AE134" s="1631" t="s">
        <v>435</v>
      </c>
      <c r="AF134" s="1631"/>
      <c r="AG134" s="1631"/>
      <c r="AH134" s="1629">
        <f>SUMIF(unos!E:E,'bilans-stanja'!AE134,unos!F:F)</f>
        <v>0</v>
      </c>
      <c r="AI134" s="1629"/>
      <c r="AJ134" s="1629"/>
      <c r="AK134" s="1629"/>
      <c r="AL134" s="1629"/>
      <c r="AM134" s="1629"/>
      <c r="AN134" s="1629"/>
      <c r="AO134" s="1629"/>
      <c r="AP134" s="1629"/>
      <c r="AQ134" s="1629"/>
      <c r="AR134" s="1629">
        <f>SUMIF(unos!E:E,'bilans-stanja'!AE134,unos!C:C)</f>
        <v>0</v>
      </c>
      <c r="AS134" s="1629"/>
      <c r="AT134" s="1629"/>
      <c r="AU134" s="1629"/>
      <c r="AV134" s="1629"/>
      <c r="AW134" s="1629"/>
      <c r="AX134" s="1629"/>
      <c r="AY134" s="1629"/>
      <c r="AZ134" s="1629"/>
      <c r="BA134" s="1630"/>
    </row>
    <row r="135" spans="1:53" ht="15.75" customHeight="1">
      <c r="A135" s="1627" t="s">
        <v>1401</v>
      </c>
      <c r="B135" s="1628"/>
      <c r="C135" s="1628"/>
      <c r="D135" s="1628"/>
      <c r="E135" s="875" t="s">
        <v>569</v>
      </c>
      <c r="F135" s="876"/>
      <c r="G135" s="876"/>
      <c r="H135" s="876"/>
      <c r="I135" s="876"/>
      <c r="J135" s="876"/>
      <c r="K135" s="876"/>
      <c r="L135" s="876"/>
      <c r="M135" s="876"/>
      <c r="N135" s="876"/>
      <c r="O135" s="876"/>
      <c r="P135" s="876"/>
      <c r="Q135" s="876"/>
      <c r="R135" s="876"/>
      <c r="S135" s="876"/>
      <c r="T135" s="876"/>
      <c r="U135" s="868"/>
      <c r="V135" s="868"/>
      <c r="W135" s="868"/>
      <c r="X135" s="868"/>
      <c r="Y135" s="868"/>
      <c r="Z135" s="861"/>
      <c r="AA135" s="862"/>
      <c r="AB135" s="1632"/>
      <c r="AC135" s="1633"/>
      <c r="AD135" s="1634"/>
      <c r="AE135" s="1631" t="s">
        <v>436</v>
      </c>
      <c r="AF135" s="1631"/>
      <c r="AG135" s="1631"/>
      <c r="AH135" s="1629">
        <f>SUMIF(unos!E:E,'bilans-stanja'!AE135,unos!F:F)</f>
        <v>0</v>
      </c>
      <c r="AI135" s="1629"/>
      <c r="AJ135" s="1629"/>
      <c r="AK135" s="1629"/>
      <c r="AL135" s="1629"/>
      <c r="AM135" s="1629"/>
      <c r="AN135" s="1629"/>
      <c r="AO135" s="1629"/>
      <c r="AP135" s="1629"/>
      <c r="AQ135" s="1629"/>
      <c r="AR135" s="1629">
        <f>SUMIF(unos!E:E,'bilans-stanja'!AE135,unos!C:C)</f>
        <v>0</v>
      </c>
      <c r="AS135" s="1629"/>
      <c r="AT135" s="1629"/>
      <c r="AU135" s="1629"/>
      <c r="AV135" s="1629"/>
      <c r="AW135" s="1629"/>
      <c r="AX135" s="1629"/>
      <c r="AY135" s="1629"/>
      <c r="AZ135" s="1629"/>
      <c r="BA135" s="1630"/>
    </row>
    <row r="136" spans="1:53" ht="15.75" customHeight="1">
      <c r="A136" s="1627" t="s">
        <v>570</v>
      </c>
      <c r="B136" s="1628"/>
      <c r="C136" s="1628"/>
      <c r="D136" s="1628"/>
      <c r="E136" s="875" t="s">
        <v>571</v>
      </c>
      <c r="F136" s="876"/>
      <c r="G136" s="876"/>
      <c r="H136" s="876"/>
      <c r="I136" s="876"/>
      <c r="J136" s="876"/>
      <c r="K136" s="876"/>
      <c r="L136" s="876"/>
      <c r="M136" s="876"/>
      <c r="N136" s="876"/>
      <c r="O136" s="876"/>
      <c r="P136" s="876"/>
      <c r="Q136" s="876"/>
      <c r="R136" s="876"/>
      <c r="S136" s="876"/>
      <c r="T136" s="876"/>
      <c r="U136" s="868"/>
      <c r="V136" s="868"/>
      <c r="W136" s="868"/>
      <c r="X136" s="868"/>
      <c r="Y136" s="868"/>
      <c r="Z136" s="861"/>
      <c r="AA136" s="862"/>
      <c r="AB136" s="1632"/>
      <c r="AC136" s="1633"/>
      <c r="AD136" s="1634"/>
      <c r="AE136" s="1631" t="s">
        <v>438</v>
      </c>
      <c r="AF136" s="1631"/>
      <c r="AG136" s="1631"/>
      <c r="AH136" s="1629">
        <f>SUM(AH137:AQ138)</f>
        <v>0</v>
      </c>
      <c r="AI136" s="1629"/>
      <c r="AJ136" s="1629"/>
      <c r="AK136" s="1629"/>
      <c r="AL136" s="1629"/>
      <c r="AM136" s="1629"/>
      <c r="AN136" s="1629"/>
      <c r="AO136" s="1629"/>
      <c r="AP136" s="1629"/>
      <c r="AQ136" s="1629"/>
      <c r="AR136" s="1629">
        <f>SUM(AR137:BA138)</f>
        <v>0</v>
      </c>
      <c r="AS136" s="1629"/>
      <c r="AT136" s="1629"/>
      <c r="AU136" s="1629"/>
      <c r="AV136" s="1629"/>
      <c r="AW136" s="1629"/>
      <c r="AX136" s="1629"/>
      <c r="AY136" s="1629"/>
      <c r="AZ136" s="1629"/>
      <c r="BA136" s="1630"/>
    </row>
    <row r="137" spans="1:53" ht="15.75" customHeight="1">
      <c r="A137" s="1627" t="s">
        <v>570</v>
      </c>
      <c r="B137" s="1628"/>
      <c r="C137" s="1628"/>
      <c r="D137" s="1628"/>
      <c r="E137" s="867" t="s">
        <v>572</v>
      </c>
      <c r="F137" s="868"/>
      <c r="G137" s="868"/>
      <c r="H137" s="868"/>
      <c r="I137" s="868"/>
      <c r="J137" s="868"/>
      <c r="K137" s="868"/>
      <c r="L137" s="868"/>
      <c r="M137" s="868"/>
      <c r="N137" s="868"/>
      <c r="O137" s="868"/>
      <c r="P137" s="868"/>
      <c r="Q137" s="868"/>
      <c r="R137" s="868"/>
      <c r="S137" s="868"/>
      <c r="T137" s="868"/>
      <c r="U137" s="868"/>
      <c r="V137" s="868"/>
      <c r="W137" s="868"/>
      <c r="X137" s="868"/>
      <c r="Y137" s="868"/>
      <c r="Z137" s="861"/>
      <c r="AA137" s="862"/>
      <c r="AB137" s="1632"/>
      <c r="AC137" s="1633"/>
      <c r="AD137" s="1634"/>
      <c r="AE137" s="1631" t="s">
        <v>779</v>
      </c>
      <c r="AF137" s="1631"/>
      <c r="AG137" s="1631"/>
      <c r="AH137" s="1629">
        <f>SUMIF(unos!E:E,'bilans-stanja'!AE137,unos!F:F)</f>
        <v>0</v>
      </c>
      <c r="AI137" s="1629"/>
      <c r="AJ137" s="1629"/>
      <c r="AK137" s="1629"/>
      <c r="AL137" s="1629"/>
      <c r="AM137" s="1629"/>
      <c r="AN137" s="1629"/>
      <c r="AO137" s="1629"/>
      <c r="AP137" s="1629"/>
      <c r="AQ137" s="1629"/>
      <c r="AR137" s="1629">
        <f>SUMIF(unos!E:E,'bilans-stanja'!AE137,unos!C:C)</f>
        <v>0</v>
      </c>
      <c r="AS137" s="1629"/>
      <c r="AT137" s="1629"/>
      <c r="AU137" s="1629"/>
      <c r="AV137" s="1629"/>
      <c r="AW137" s="1629"/>
      <c r="AX137" s="1629"/>
      <c r="AY137" s="1629"/>
      <c r="AZ137" s="1629"/>
      <c r="BA137" s="1630"/>
    </row>
    <row r="138" spans="1:53" ht="15.75" customHeight="1">
      <c r="A138" s="1627" t="s">
        <v>570</v>
      </c>
      <c r="B138" s="1628"/>
      <c r="C138" s="1628"/>
      <c r="D138" s="1628"/>
      <c r="E138" s="867" t="s">
        <v>573</v>
      </c>
      <c r="F138" s="868"/>
      <c r="G138" s="868"/>
      <c r="H138" s="868"/>
      <c r="I138" s="868"/>
      <c r="J138" s="868"/>
      <c r="K138" s="868"/>
      <c r="L138" s="868"/>
      <c r="M138" s="868"/>
      <c r="N138" s="868"/>
      <c r="O138" s="868"/>
      <c r="P138" s="868"/>
      <c r="Q138" s="868"/>
      <c r="R138" s="868"/>
      <c r="S138" s="868"/>
      <c r="T138" s="868"/>
      <c r="U138" s="868"/>
      <c r="V138" s="868"/>
      <c r="W138" s="868"/>
      <c r="X138" s="868"/>
      <c r="Y138" s="868"/>
      <c r="Z138" s="861"/>
      <c r="AA138" s="862"/>
      <c r="AB138" s="1632"/>
      <c r="AC138" s="1633"/>
      <c r="AD138" s="1634"/>
      <c r="AE138" s="1631" t="s">
        <v>780</v>
      </c>
      <c r="AF138" s="1631"/>
      <c r="AG138" s="1631"/>
      <c r="AH138" s="1629">
        <f>SUMIF(unos!E:E,'bilans-stanja'!AE138,unos!F:F)</f>
        <v>0</v>
      </c>
      <c r="AI138" s="1629"/>
      <c r="AJ138" s="1629"/>
      <c r="AK138" s="1629"/>
      <c r="AL138" s="1629"/>
      <c r="AM138" s="1629"/>
      <c r="AN138" s="1629"/>
      <c r="AO138" s="1629"/>
      <c r="AP138" s="1629"/>
      <c r="AQ138" s="1629"/>
      <c r="AR138" s="1629">
        <f>SUMIF(unos!E:E,'bilans-stanja'!AE138,unos!C:C)</f>
        <v>0</v>
      </c>
      <c r="AS138" s="1629"/>
      <c r="AT138" s="1629"/>
      <c r="AU138" s="1629"/>
      <c r="AV138" s="1629"/>
      <c r="AW138" s="1629"/>
      <c r="AX138" s="1629"/>
      <c r="AY138" s="1629"/>
      <c r="AZ138" s="1629"/>
      <c r="BA138" s="1630"/>
    </row>
    <row r="139" spans="1:53" ht="15.75" customHeight="1">
      <c r="A139" s="1627"/>
      <c r="B139" s="1628"/>
      <c r="C139" s="1628"/>
      <c r="D139" s="1628"/>
      <c r="E139" s="875" t="s">
        <v>574</v>
      </c>
      <c r="F139" s="876"/>
      <c r="G139" s="876"/>
      <c r="H139" s="876"/>
      <c r="I139" s="876"/>
      <c r="J139" s="876"/>
      <c r="K139" s="876"/>
      <c r="L139" s="876"/>
      <c r="M139" s="876"/>
      <c r="N139" s="876"/>
      <c r="O139" s="876"/>
      <c r="P139" s="876"/>
      <c r="Q139" s="876"/>
      <c r="R139" s="876"/>
      <c r="S139" s="876"/>
      <c r="T139" s="876"/>
      <c r="U139" s="868"/>
      <c r="V139" s="868"/>
      <c r="W139" s="868"/>
      <c r="X139" s="868"/>
      <c r="Y139" s="868"/>
      <c r="Z139" s="861"/>
      <c r="AA139" s="862"/>
      <c r="AB139" s="1632"/>
      <c r="AC139" s="1633"/>
      <c r="AD139" s="1634"/>
      <c r="AE139" s="1631" t="s">
        <v>781</v>
      </c>
      <c r="AF139" s="1631"/>
      <c r="AG139" s="1631"/>
      <c r="AH139" s="1629">
        <f>SUM(AH140:AQ146)</f>
        <v>0</v>
      </c>
      <c r="AI139" s="1629"/>
      <c r="AJ139" s="1629"/>
      <c r="AK139" s="1629"/>
      <c r="AL139" s="1629"/>
      <c r="AM139" s="1629"/>
      <c r="AN139" s="1629"/>
      <c r="AO139" s="1629"/>
      <c r="AP139" s="1629"/>
      <c r="AQ139" s="1629"/>
      <c r="AR139" s="1629">
        <f>SUM(AR140:BA146)</f>
        <v>0</v>
      </c>
      <c r="AS139" s="1629"/>
      <c r="AT139" s="1629"/>
      <c r="AU139" s="1629"/>
      <c r="AV139" s="1629"/>
      <c r="AW139" s="1629"/>
      <c r="AX139" s="1629"/>
      <c r="AY139" s="1629"/>
      <c r="AZ139" s="1629"/>
      <c r="BA139" s="1630"/>
    </row>
    <row r="140" spans="1:53" ht="15.75" customHeight="1">
      <c r="A140" s="1627" t="s">
        <v>1532</v>
      </c>
      <c r="B140" s="1628"/>
      <c r="C140" s="1628"/>
      <c r="D140" s="1628"/>
      <c r="E140" s="867" t="s">
        <v>575</v>
      </c>
      <c r="F140" s="868"/>
      <c r="G140" s="868"/>
      <c r="H140" s="868"/>
      <c r="I140" s="868"/>
      <c r="J140" s="868"/>
      <c r="K140" s="868"/>
      <c r="L140" s="868"/>
      <c r="M140" s="868"/>
      <c r="N140" s="868"/>
      <c r="O140" s="868"/>
      <c r="P140" s="868"/>
      <c r="Q140" s="868"/>
      <c r="R140" s="868"/>
      <c r="S140" s="868"/>
      <c r="T140" s="868"/>
      <c r="U140" s="868"/>
      <c r="V140" s="868"/>
      <c r="W140" s="868"/>
      <c r="X140" s="868"/>
      <c r="Y140" s="868"/>
      <c r="Z140" s="861"/>
      <c r="AA140" s="862"/>
      <c r="AB140" s="1632"/>
      <c r="AC140" s="1633"/>
      <c r="AD140" s="1634"/>
      <c r="AE140" s="1631" t="s">
        <v>782</v>
      </c>
      <c r="AF140" s="1631"/>
      <c r="AG140" s="1631"/>
      <c r="AH140" s="1629">
        <f>SUMIF(unos!E:E,'bilans-stanja'!AE140,unos!F:F)</f>
        <v>0</v>
      </c>
      <c r="AI140" s="1629"/>
      <c r="AJ140" s="1629"/>
      <c r="AK140" s="1629"/>
      <c r="AL140" s="1629"/>
      <c r="AM140" s="1629"/>
      <c r="AN140" s="1629"/>
      <c r="AO140" s="1629"/>
      <c r="AP140" s="1629"/>
      <c r="AQ140" s="1629"/>
      <c r="AR140" s="1629">
        <f>SUMIF(unos!E:E,'bilans-stanja'!AE140,unos!C:C)</f>
        <v>0</v>
      </c>
      <c r="AS140" s="1629"/>
      <c r="AT140" s="1629"/>
      <c r="AU140" s="1629"/>
      <c r="AV140" s="1629"/>
      <c r="AW140" s="1629"/>
      <c r="AX140" s="1629"/>
      <c r="AY140" s="1629"/>
      <c r="AZ140" s="1629"/>
      <c r="BA140" s="1630"/>
    </row>
    <row r="141" spans="1:53" ht="15.75" customHeight="1">
      <c r="A141" s="1627" t="s">
        <v>1533</v>
      </c>
      <c r="B141" s="1628"/>
      <c r="C141" s="1628"/>
      <c r="D141" s="1628"/>
      <c r="E141" s="867" t="s">
        <v>576</v>
      </c>
      <c r="F141" s="868"/>
      <c r="G141" s="868"/>
      <c r="H141" s="868"/>
      <c r="I141" s="868"/>
      <c r="J141" s="868"/>
      <c r="K141" s="868"/>
      <c r="L141" s="868"/>
      <c r="M141" s="868"/>
      <c r="N141" s="868"/>
      <c r="O141" s="868"/>
      <c r="P141" s="868"/>
      <c r="Q141" s="868"/>
      <c r="R141" s="868"/>
      <c r="S141" s="868"/>
      <c r="T141" s="868"/>
      <c r="U141" s="868"/>
      <c r="V141" s="868"/>
      <c r="W141" s="868"/>
      <c r="X141" s="868"/>
      <c r="Y141" s="868"/>
      <c r="Z141" s="861"/>
      <c r="AA141" s="862"/>
      <c r="AB141" s="1632"/>
      <c r="AC141" s="1633"/>
      <c r="AD141" s="1634"/>
      <c r="AE141" s="1631" t="s">
        <v>783</v>
      </c>
      <c r="AF141" s="1631"/>
      <c r="AG141" s="1631"/>
      <c r="AH141" s="1629">
        <f>SUMIF(unos!E:E,'bilans-stanja'!AE141,unos!F:F)</f>
        <v>0</v>
      </c>
      <c r="AI141" s="1629"/>
      <c r="AJ141" s="1629"/>
      <c r="AK141" s="1629"/>
      <c r="AL141" s="1629"/>
      <c r="AM141" s="1629"/>
      <c r="AN141" s="1629"/>
      <c r="AO141" s="1629"/>
      <c r="AP141" s="1629"/>
      <c r="AQ141" s="1629"/>
      <c r="AR141" s="1629">
        <f>SUMIF(unos!E:E,'bilans-stanja'!AE141,unos!C:C)</f>
        <v>0</v>
      </c>
      <c r="AS141" s="1629"/>
      <c r="AT141" s="1629"/>
      <c r="AU141" s="1629"/>
      <c r="AV141" s="1629"/>
      <c r="AW141" s="1629"/>
      <c r="AX141" s="1629"/>
      <c r="AY141" s="1629"/>
      <c r="AZ141" s="1629"/>
      <c r="BA141" s="1630"/>
    </row>
    <row r="142" spans="1:53" ht="15.75" customHeight="1">
      <c r="A142" s="1627" t="s">
        <v>1534</v>
      </c>
      <c r="B142" s="1628"/>
      <c r="C142" s="1628"/>
      <c r="D142" s="1628"/>
      <c r="E142" s="867" t="s">
        <v>577</v>
      </c>
      <c r="F142" s="868"/>
      <c r="G142" s="868"/>
      <c r="H142" s="868"/>
      <c r="I142" s="868"/>
      <c r="J142" s="868"/>
      <c r="K142" s="868"/>
      <c r="L142" s="868"/>
      <c r="M142" s="868"/>
      <c r="N142" s="868"/>
      <c r="O142" s="868"/>
      <c r="P142" s="868"/>
      <c r="Q142" s="868"/>
      <c r="R142" s="868"/>
      <c r="S142" s="868"/>
      <c r="T142" s="868"/>
      <c r="U142" s="868"/>
      <c r="V142" s="868"/>
      <c r="W142" s="868"/>
      <c r="X142" s="868"/>
      <c r="Y142" s="868"/>
      <c r="Z142" s="861"/>
      <c r="AA142" s="862"/>
      <c r="AB142" s="1632"/>
      <c r="AC142" s="1633"/>
      <c r="AD142" s="1634"/>
      <c r="AE142" s="1631" t="s">
        <v>784</v>
      </c>
      <c r="AF142" s="1631"/>
      <c r="AG142" s="1631"/>
      <c r="AH142" s="1629">
        <f>SUMIF(unos!E:E,'bilans-stanja'!AE142,unos!F:F)</f>
        <v>0</v>
      </c>
      <c r="AI142" s="1629"/>
      <c r="AJ142" s="1629"/>
      <c r="AK142" s="1629"/>
      <c r="AL142" s="1629"/>
      <c r="AM142" s="1629"/>
      <c r="AN142" s="1629"/>
      <c r="AO142" s="1629"/>
      <c r="AP142" s="1629"/>
      <c r="AQ142" s="1629"/>
      <c r="AR142" s="1629">
        <f>SUMIF(unos!E:E,'bilans-stanja'!AE142,unos!C:C)</f>
        <v>0</v>
      </c>
      <c r="AS142" s="1629"/>
      <c r="AT142" s="1629"/>
      <c r="AU142" s="1629"/>
      <c r="AV142" s="1629"/>
      <c r="AW142" s="1629"/>
      <c r="AX142" s="1629"/>
      <c r="AY142" s="1629"/>
      <c r="AZ142" s="1629"/>
      <c r="BA142" s="1630"/>
    </row>
    <row r="143" spans="1:53" ht="15.75" customHeight="1">
      <c r="A143" s="1627" t="s">
        <v>578</v>
      </c>
      <c r="B143" s="1628"/>
      <c r="C143" s="1628"/>
      <c r="D143" s="1628"/>
      <c r="E143" s="867" t="s">
        <v>665</v>
      </c>
      <c r="F143" s="868"/>
      <c r="G143" s="868"/>
      <c r="H143" s="868"/>
      <c r="I143" s="868"/>
      <c r="J143" s="868"/>
      <c r="K143" s="868"/>
      <c r="L143" s="868"/>
      <c r="M143" s="868"/>
      <c r="N143" s="868"/>
      <c r="O143" s="868"/>
      <c r="P143" s="868"/>
      <c r="Q143" s="868"/>
      <c r="R143" s="868"/>
      <c r="S143" s="868"/>
      <c r="T143" s="868"/>
      <c r="U143" s="868"/>
      <c r="V143" s="868"/>
      <c r="W143" s="868"/>
      <c r="X143" s="868"/>
      <c r="Y143" s="868"/>
      <c r="Z143" s="861"/>
      <c r="AA143" s="862"/>
      <c r="AB143" s="1632"/>
      <c r="AC143" s="1633"/>
      <c r="AD143" s="1634"/>
      <c r="AE143" s="1631" t="s">
        <v>785</v>
      </c>
      <c r="AF143" s="1631"/>
      <c r="AG143" s="1631"/>
      <c r="AH143" s="1629">
        <f>SUMIF(unos!E:E,'bilans-stanja'!AE143,unos!F:F)</f>
        <v>0</v>
      </c>
      <c r="AI143" s="1629"/>
      <c r="AJ143" s="1629"/>
      <c r="AK143" s="1629"/>
      <c r="AL143" s="1629"/>
      <c r="AM143" s="1629"/>
      <c r="AN143" s="1629"/>
      <c r="AO143" s="1629"/>
      <c r="AP143" s="1629"/>
      <c r="AQ143" s="1629"/>
      <c r="AR143" s="1629">
        <f>SUMIF(unos!E:E,'bilans-stanja'!AE143,unos!C:C)</f>
        <v>0</v>
      </c>
      <c r="AS143" s="1629"/>
      <c r="AT143" s="1629"/>
      <c r="AU143" s="1629"/>
      <c r="AV143" s="1629"/>
      <c r="AW143" s="1629"/>
      <c r="AX143" s="1629"/>
      <c r="AY143" s="1629"/>
      <c r="AZ143" s="1629"/>
      <c r="BA143" s="1630"/>
    </row>
    <row r="144" spans="1:53" ht="15.75" customHeight="1">
      <c r="A144" s="1627" t="s">
        <v>666</v>
      </c>
      <c r="B144" s="1628"/>
      <c r="C144" s="1628"/>
      <c r="D144" s="1628"/>
      <c r="E144" s="867" t="s">
        <v>667</v>
      </c>
      <c r="F144" s="868"/>
      <c r="G144" s="868"/>
      <c r="H144" s="868"/>
      <c r="I144" s="868"/>
      <c r="J144" s="868"/>
      <c r="K144" s="868"/>
      <c r="L144" s="868"/>
      <c r="M144" s="868"/>
      <c r="N144" s="868"/>
      <c r="O144" s="868"/>
      <c r="P144" s="868"/>
      <c r="Q144" s="868"/>
      <c r="R144" s="868"/>
      <c r="S144" s="868"/>
      <c r="T144" s="868"/>
      <c r="U144" s="868"/>
      <c r="V144" s="868"/>
      <c r="W144" s="868"/>
      <c r="X144" s="868"/>
      <c r="Y144" s="868"/>
      <c r="Z144" s="861"/>
      <c r="AA144" s="862"/>
      <c r="AB144" s="1632"/>
      <c r="AC144" s="1633"/>
      <c r="AD144" s="1634"/>
      <c r="AE144" s="1631" t="s">
        <v>786</v>
      </c>
      <c r="AF144" s="1631"/>
      <c r="AG144" s="1631"/>
      <c r="AH144" s="1629">
        <f>SUMIF(unos!E:E,'bilans-stanja'!AE144,unos!F:F)</f>
        <v>0</v>
      </c>
      <c r="AI144" s="1629"/>
      <c r="AJ144" s="1629"/>
      <c r="AK144" s="1629"/>
      <c r="AL144" s="1629"/>
      <c r="AM144" s="1629"/>
      <c r="AN144" s="1629"/>
      <c r="AO144" s="1629"/>
      <c r="AP144" s="1629"/>
      <c r="AQ144" s="1629"/>
      <c r="AR144" s="1629">
        <f>SUMIF(unos!E:E,'bilans-stanja'!AE144,unos!C:C)</f>
        <v>0</v>
      </c>
      <c r="AS144" s="1629"/>
      <c r="AT144" s="1629"/>
      <c r="AU144" s="1629"/>
      <c r="AV144" s="1629"/>
      <c r="AW144" s="1629"/>
      <c r="AX144" s="1629"/>
      <c r="AY144" s="1629"/>
      <c r="AZ144" s="1629"/>
      <c r="BA144" s="1630"/>
    </row>
    <row r="145" spans="1:53" ht="15.75" customHeight="1">
      <c r="A145" s="1627" t="s">
        <v>1539</v>
      </c>
      <c r="B145" s="1628"/>
      <c r="C145" s="1628"/>
      <c r="D145" s="1628"/>
      <c r="E145" s="880" t="s">
        <v>668</v>
      </c>
      <c r="F145" s="881"/>
      <c r="G145" s="881"/>
      <c r="H145" s="881"/>
      <c r="I145" s="881"/>
      <c r="J145" s="881"/>
      <c r="K145" s="881"/>
      <c r="L145" s="881"/>
      <c r="M145" s="881"/>
      <c r="N145" s="881"/>
      <c r="O145" s="881"/>
      <c r="P145" s="881"/>
      <c r="Q145" s="881"/>
      <c r="R145" s="881"/>
      <c r="S145" s="881"/>
      <c r="T145" s="881"/>
      <c r="U145" s="868"/>
      <c r="V145" s="868"/>
      <c r="W145" s="868"/>
      <c r="X145" s="868"/>
      <c r="Y145" s="868"/>
      <c r="Z145" s="861"/>
      <c r="AA145" s="862"/>
      <c r="AB145" s="1632"/>
      <c r="AC145" s="1633"/>
      <c r="AD145" s="1634"/>
      <c r="AE145" s="1631" t="s">
        <v>787</v>
      </c>
      <c r="AF145" s="1631"/>
      <c r="AG145" s="1631"/>
      <c r="AH145" s="1629">
        <f>SUMIF(unos!E:E,'bilans-stanja'!AE145,unos!F:F)</f>
        <v>0</v>
      </c>
      <c r="AI145" s="1629"/>
      <c r="AJ145" s="1629"/>
      <c r="AK145" s="1629"/>
      <c r="AL145" s="1629"/>
      <c r="AM145" s="1629"/>
      <c r="AN145" s="1629"/>
      <c r="AO145" s="1629"/>
      <c r="AP145" s="1629"/>
      <c r="AQ145" s="1629"/>
      <c r="AR145" s="1629">
        <f>SUMIF(unos!E:E,'bilans-stanja'!AE145,unos!C:C)</f>
        <v>0</v>
      </c>
      <c r="AS145" s="1629"/>
      <c r="AT145" s="1629"/>
      <c r="AU145" s="1629"/>
      <c r="AV145" s="1629"/>
      <c r="AW145" s="1629"/>
      <c r="AX145" s="1629"/>
      <c r="AY145" s="1629"/>
      <c r="AZ145" s="1629"/>
      <c r="BA145" s="1630"/>
    </row>
    <row r="146" spans="1:53" ht="15.75" customHeight="1">
      <c r="A146" s="1627" t="s">
        <v>1540</v>
      </c>
      <c r="B146" s="1628"/>
      <c r="C146" s="1628"/>
      <c r="D146" s="1628"/>
      <c r="E146" s="867" t="s">
        <v>669</v>
      </c>
      <c r="F146" s="868"/>
      <c r="G146" s="868"/>
      <c r="H146" s="868"/>
      <c r="I146" s="868"/>
      <c r="J146" s="868"/>
      <c r="K146" s="868"/>
      <c r="L146" s="868"/>
      <c r="M146" s="868"/>
      <c r="N146" s="868"/>
      <c r="O146" s="868"/>
      <c r="P146" s="868"/>
      <c r="Q146" s="868"/>
      <c r="R146" s="868"/>
      <c r="S146" s="868"/>
      <c r="T146" s="868"/>
      <c r="U146" s="868"/>
      <c r="V146" s="868"/>
      <c r="W146" s="868"/>
      <c r="X146" s="868"/>
      <c r="Y146" s="868"/>
      <c r="Z146" s="861"/>
      <c r="AA146" s="862"/>
      <c r="AB146" s="1632"/>
      <c r="AC146" s="1633"/>
      <c r="AD146" s="1634"/>
      <c r="AE146" s="1631" t="s">
        <v>788</v>
      </c>
      <c r="AF146" s="1631"/>
      <c r="AG146" s="1631"/>
      <c r="AH146" s="1629">
        <f>SUMIF(unos!E:E,'bilans-stanja'!AE146,unos!F:F)</f>
        <v>0</v>
      </c>
      <c r="AI146" s="1629"/>
      <c r="AJ146" s="1629"/>
      <c r="AK146" s="1629"/>
      <c r="AL146" s="1629"/>
      <c r="AM146" s="1629"/>
      <c r="AN146" s="1629"/>
      <c r="AO146" s="1629"/>
      <c r="AP146" s="1629"/>
      <c r="AQ146" s="1629"/>
      <c r="AR146" s="1629">
        <f>SUMIF(unos!E:E,'bilans-stanja'!AE146,unos!C:C)</f>
        <v>0</v>
      </c>
      <c r="AS146" s="1629"/>
      <c r="AT146" s="1629"/>
      <c r="AU146" s="1629"/>
      <c r="AV146" s="1629"/>
      <c r="AW146" s="1629"/>
      <c r="AX146" s="1629"/>
      <c r="AY146" s="1629"/>
      <c r="AZ146" s="1629"/>
      <c r="BA146" s="1630"/>
    </row>
    <row r="147" spans="1:53" ht="15.75" customHeight="1">
      <c r="A147" s="1627" t="s">
        <v>1530</v>
      </c>
      <c r="B147" s="1628"/>
      <c r="C147" s="1628"/>
      <c r="D147" s="1628"/>
      <c r="E147" s="875" t="s">
        <v>670</v>
      </c>
      <c r="F147" s="876"/>
      <c r="G147" s="876"/>
      <c r="H147" s="876"/>
      <c r="I147" s="876"/>
      <c r="J147" s="876"/>
      <c r="K147" s="876"/>
      <c r="L147" s="876"/>
      <c r="M147" s="876"/>
      <c r="N147" s="876"/>
      <c r="O147" s="876"/>
      <c r="P147" s="876"/>
      <c r="Q147" s="876"/>
      <c r="R147" s="876"/>
      <c r="S147" s="876"/>
      <c r="T147" s="876"/>
      <c r="U147" s="868"/>
      <c r="V147" s="868"/>
      <c r="W147" s="868"/>
      <c r="X147" s="868"/>
      <c r="Y147" s="868"/>
      <c r="Z147" s="861"/>
      <c r="AA147" s="862"/>
      <c r="AB147" s="1632"/>
      <c r="AC147" s="1633"/>
      <c r="AD147" s="1634"/>
      <c r="AE147" s="1631" t="s">
        <v>2542</v>
      </c>
      <c r="AF147" s="1631"/>
      <c r="AG147" s="1631"/>
      <c r="AH147" s="1629">
        <f>SUMIF(unos!E:E,'bilans-stanja'!AE147,unos!F:F)</f>
        <v>0</v>
      </c>
      <c r="AI147" s="1629"/>
      <c r="AJ147" s="1629"/>
      <c r="AK147" s="1629"/>
      <c r="AL147" s="1629"/>
      <c r="AM147" s="1629"/>
      <c r="AN147" s="1629"/>
      <c r="AO147" s="1629"/>
      <c r="AP147" s="1629"/>
      <c r="AQ147" s="1629"/>
      <c r="AR147" s="1629">
        <f>SUMIF(unos!E:E,'bilans-stanja'!AE147,unos!C:C)</f>
        <v>0</v>
      </c>
      <c r="AS147" s="1629"/>
      <c r="AT147" s="1629"/>
      <c r="AU147" s="1629"/>
      <c r="AV147" s="1629"/>
      <c r="AW147" s="1629"/>
      <c r="AX147" s="1629"/>
      <c r="AY147" s="1629"/>
      <c r="AZ147" s="1629"/>
      <c r="BA147" s="1630"/>
    </row>
    <row r="148" spans="1:53" ht="17.25" customHeight="1">
      <c r="A148" s="1627"/>
      <c r="B148" s="1628"/>
      <c r="C148" s="1628"/>
      <c r="D148" s="1628"/>
      <c r="E148" s="875" t="s">
        <v>1649</v>
      </c>
      <c r="F148" s="876"/>
      <c r="G148" s="876"/>
      <c r="H148" s="876"/>
      <c r="I148" s="876"/>
      <c r="J148" s="876"/>
      <c r="K148" s="876"/>
      <c r="L148" s="876"/>
      <c r="M148" s="876"/>
      <c r="N148" s="876"/>
      <c r="O148" s="876"/>
      <c r="P148" s="876"/>
      <c r="Q148" s="876"/>
      <c r="R148" s="876"/>
      <c r="S148" s="876"/>
      <c r="T148" s="876"/>
      <c r="U148" s="868"/>
      <c r="V148" s="868"/>
      <c r="W148" s="868"/>
      <c r="X148" s="868"/>
      <c r="Y148" s="868"/>
      <c r="Z148" s="861"/>
      <c r="AA148" s="862"/>
      <c r="AB148" s="1632"/>
      <c r="AC148" s="1633"/>
      <c r="AD148" s="1634"/>
      <c r="AE148" s="1631" t="s">
        <v>2543</v>
      </c>
      <c r="AF148" s="1631"/>
      <c r="AG148" s="1631"/>
      <c r="AH148" s="1629">
        <f>AH149+AH157+AH166+AH167+AH171+AH172+AH173+AH174</f>
        <v>0</v>
      </c>
      <c r="AI148" s="1629"/>
      <c r="AJ148" s="1629"/>
      <c r="AK148" s="1629"/>
      <c r="AL148" s="1629"/>
      <c r="AM148" s="1629"/>
      <c r="AN148" s="1629"/>
      <c r="AO148" s="1629"/>
      <c r="AP148" s="1629"/>
      <c r="AQ148" s="1629"/>
      <c r="AR148" s="1629">
        <f>SUM(AR149+AR157+AR166+AR167+AR171+AR172+AR173+AR174)</f>
        <v>0</v>
      </c>
      <c r="AS148" s="1629"/>
      <c r="AT148" s="1629"/>
      <c r="AU148" s="1629"/>
      <c r="AV148" s="1629"/>
      <c r="AW148" s="1629"/>
      <c r="AX148" s="1629"/>
      <c r="AY148" s="1629"/>
      <c r="AZ148" s="1629"/>
      <c r="BA148" s="1630"/>
    </row>
    <row r="149" spans="1:53" ht="15.75" customHeight="1">
      <c r="A149" s="1627" t="s">
        <v>452</v>
      </c>
      <c r="B149" s="1628"/>
      <c r="C149" s="1628"/>
      <c r="D149" s="1628"/>
      <c r="E149" s="875" t="s">
        <v>1650</v>
      </c>
      <c r="F149" s="876"/>
      <c r="G149" s="876"/>
      <c r="H149" s="876"/>
      <c r="I149" s="876"/>
      <c r="J149" s="876"/>
      <c r="K149" s="876"/>
      <c r="L149" s="876"/>
      <c r="M149" s="876"/>
      <c r="N149" s="876"/>
      <c r="O149" s="876"/>
      <c r="P149" s="876"/>
      <c r="Q149" s="876"/>
      <c r="R149" s="876"/>
      <c r="S149" s="876"/>
      <c r="T149" s="876"/>
      <c r="U149" s="868"/>
      <c r="V149" s="868"/>
      <c r="W149" s="868"/>
      <c r="X149" s="868"/>
      <c r="Y149" s="868"/>
      <c r="Z149" s="861"/>
      <c r="AA149" s="862"/>
      <c r="AB149" s="1632"/>
      <c r="AC149" s="1633"/>
      <c r="AD149" s="1634"/>
      <c r="AE149" s="1631" t="s">
        <v>1462</v>
      </c>
      <c r="AF149" s="1631"/>
      <c r="AG149" s="1631"/>
      <c r="AH149" s="1629">
        <f>SUM(AH150:AQ156)</f>
        <v>0</v>
      </c>
      <c r="AI149" s="1629"/>
      <c r="AJ149" s="1629"/>
      <c r="AK149" s="1629"/>
      <c r="AL149" s="1629"/>
      <c r="AM149" s="1629"/>
      <c r="AN149" s="1629"/>
      <c r="AO149" s="1629"/>
      <c r="AP149" s="1629"/>
      <c r="AQ149" s="1629"/>
      <c r="AR149" s="1629">
        <f>SUM(AR150:BA156)</f>
        <v>0</v>
      </c>
      <c r="AS149" s="1629"/>
      <c r="AT149" s="1629"/>
      <c r="AU149" s="1629"/>
      <c r="AV149" s="1629"/>
      <c r="AW149" s="1629"/>
      <c r="AX149" s="1629"/>
      <c r="AY149" s="1629"/>
      <c r="AZ149" s="1629"/>
      <c r="BA149" s="1630"/>
    </row>
    <row r="150" spans="1:53" ht="15.75" customHeight="1">
      <c r="A150" s="1627" t="s">
        <v>1541</v>
      </c>
      <c r="B150" s="1628"/>
      <c r="C150" s="1628"/>
      <c r="D150" s="1628"/>
      <c r="E150" s="867" t="s">
        <v>1651</v>
      </c>
      <c r="F150" s="868"/>
      <c r="G150" s="868"/>
      <c r="H150" s="868"/>
      <c r="I150" s="868"/>
      <c r="J150" s="868"/>
      <c r="K150" s="868"/>
      <c r="L150" s="868"/>
      <c r="M150" s="868"/>
      <c r="N150" s="868"/>
      <c r="O150" s="868"/>
      <c r="P150" s="868"/>
      <c r="Q150" s="868"/>
      <c r="R150" s="868"/>
      <c r="S150" s="868"/>
      <c r="T150" s="868"/>
      <c r="U150" s="868"/>
      <c r="V150" s="868"/>
      <c r="W150" s="868"/>
      <c r="X150" s="868"/>
      <c r="Y150" s="868"/>
      <c r="Z150" s="861"/>
      <c r="AA150" s="862"/>
      <c r="AB150" s="1632"/>
      <c r="AC150" s="1633"/>
      <c r="AD150" s="1634"/>
      <c r="AE150" s="1631" t="s">
        <v>1463</v>
      </c>
      <c r="AF150" s="1631"/>
      <c r="AG150" s="1631"/>
      <c r="AH150" s="1629">
        <f>SUMIF(unos!E:E,'bilans-stanja'!AE150,unos!F:F)</f>
        <v>0</v>
      </c>
      <c r="AI150" s="1629"/>
      <c r="AJ150" s="1629"/>
      <c r="AK150" s="1629"/>
      <c r="AL150" s="1629"/>
      <c r="AM150" s="1629"/>
      <c r="AN150" s="1629"/>
      <c r="AO150" s="1629"/>
      <c r="AP150" s="1629"/>
      <c r="AQ150" s="1629"/>
      <c r="AR150" s="1629">
        <f>SUMIF(unos!E:E,'bilans-stanja'!AE150,unos!C:C)</f>
        <v>0</v>
      </c>
      <c r="AS150" s="1629"/>
      <c r="AT150" s="1629"/>
      <c r="AU150" s="1629"/>
      <c r="AV150" s="1629"/>
      <c r="AW150" s="1629"/>
      <c r="AX150" s="1629"/>
      <c r="AY150" s="1629"/>
      <c r="AZ150" s="1629"/>
      <c r="BA150" s="1630"/>
    </row>
    <row r="151" spans="1:53" ht="15.75" customHeight="1">
      <c r="A151" s="1627" t="s">
        <v>1542</v>
      </c>
      <c r="B151" s="1628"/>
      <c r="C151" s="1628"/>
      <c r="D151" s="1628"/>
      <c r="E151" s="867" t="s">
        <v>1652</v>
      </c>
      <c r="F151" s="868"/>
      <c r="G151" s="868"/>
      <c r="H151" s="868"/>
      <c r="I151" s="868"/>
      <c r="J151" s="868"/>
      <c r="K151" s="868"/>
      <c r="L151" s="868"/>
      <c r="M151" s="868"/>
      <c r="N151" s="868"/>
      <c r="O151" s="868"/>
      <c r="P151" s="868"/>
      <c r="Q151" s="868"/>
      <c r="R151" s="868"/>
      <c r="S151" s="868"/>
      <c r="T151" s="868"/>
      <c r="U151" s="868"/>
      <c r="V151" s="868"/>
      <c r="W151" s="868"/>
      <c r="X151" s="868"/>
      <c r="Y151" s="868"/>
      <c r="Z151" s="861"/>
      <c r="AA151" s="862"/>
      <c r="AB151" s="1632"/>
      <c r="AC151" s="1633"/>
      <c r="AD151" s="1634"/>
      <c r="AE151" s="1631" t="s">
        <v>1464</v>
      </c>
      <c r="AF151" s="1631"/>
      <c r="AG151" s="1631"/>
      <c r="AH151" s="1629">
        <f>SUMIF(unos!E:E,'bilans-stanja'!AE151,unos!F:F)</f>
        <v>0</v>
      </c>
      <c r="AI151" s="1629"/>
      <c r="AJ151" s="1629"/>
      <c r="AK151" s="1629"/>
      <c r="AL151" s="1629"/>
      <c r="AM151" s="1629"/>
      <c r="AN151" s="1629"/>
      <c r="AO151" s="1629"/>
      <c r="AP151" s="1629"/>
      <c r="AQ151" s="1629"/>
      <c r="AR151" s="1629">
        <f>SUMIF(unos!E:E,'bilans-stanja'!AE151,unos!C:C)</f>
        <v>0</v>
      </c>
      <c r="AS151" s="1629"/>
      <c r="AT151" s="1629"/>
      <c r="AU151" s="1629"/>
      <c r="AV151" s="1629"/>
      <c r="AW151" s="1629"/>
      <c r="AX151" s="1629"/>
      <c r="AY151" s="1629"/>
      <c r="AZ151" s="1629"/>
      <c r="BA151" s="1630"/>
    </row>
    <row r="152" spans="1:53" ht="15.75" customHeight="1">
      <c r="A152" s="1627" t="s">
        <v>1543</v>
      </c>
      <c r="B152" s="1628"/>
      <c r="C152" s="1628"/>
      <c r="D152" s="1628"/>
      <c r="E152" s="867" t="s">
        <v>1653</v>
      </c>
      <c r="F152" s="868"/>
      <c r="G152" s="868"/>
      <c r="H152" s="868"/>
      <c r="I152" s="868"/>
      <c r="J152" s="868"/>
      <c r="K152" s="868"/>
      <c r="L152" s="868"/>
      <c r="M152" s="868"/>
      <c r="N152" s="868"/>
      <c r="O152" s="868"/>
      <c r="P152" s="868"/>
      <c r="Q152" s="868"/>
      <c r="R152" s="868"/>
      <c r="S152" s="868"/>
      <c r="T152" s="868"/>
      <c r="U152" s="868"/>
      <c r="V152" s="868"/>
      <c r="W152" s="868"/>
      <c r="X152" s="868"/>
      <c r="Y152" s="868"/>
      <c r="Z152" s="861"/>
      <c r="AA152" s="862"/>
      <c r="AB152" s="1632"/>
      <c r="AC152" s="1633"/>
      <c r="AD152" s="1634"/>
      <c r="AE152" s="1631" t="s">
        <v>1465</v>
      </c>
      <c r="AF152" s="1631"/>
      <c r="AG152" s="1631"/>
      <c r="AH152" s="1629">
        <f>SUMIF(unos!E:E,'bilans-stanja'!AE152,unos!F:F)</f>
        <v>0</v>
      </c>
      <c r="AI152" s="1629"/>
      <c r="AJ152" s="1629"/>
      <c r="AK152" s="1629"/>
      <c r="AL152" s="1629"/>
      <c r="AM152" s="1629"/>
      <c r="AN152" s="1629"/>
      <c r="AO152" s="1629"/>
      <c r="AP152" s="1629"/>
      <c r="AQ152" s="1629"/>
      <c r="AR152" s="1629">
        <f>SUMIF(unos!E:E,'bilans-stanja'!AE152,unos!C:C)</f>
        <v>0</v>
      </c>
      <c r="AS152" s="1629"/>
      <c r="AT152" s="1629"/>
      <c r="AU152" s="1629"/>
      <c r="AV152" s="1629"/>
      <c r="AW152" s="1629"/>
      <c r="AX152" s="1629"/>
      <c r="AY152" s="1629"/>
      <c r="AZ152" s="1629"/>
      <c r="BA152" s="1630"/>
    </row>
    <row r="153" spans="1:53" ht="15.75" customHeight="1">
      <c r="A153" s="1627" t="s">
        <v>1544</v>
      </c>
      <c r="B153" s="1628"/>
      <c r="C153" s="1628"/>
      <c r="D153" s="1628"/>
      <c r="E153" s="867" t="s">
        <v>1654</v>
      </c>
      <c r="F153" s="868"/>
      <c r="G153" s="868"/>
      <c r="H153" s="868"/>
      <c r="I153" s="868"/>
      <c r="J153" s="868"/>
      <c r="K153" s="868"/>
      <c r="L153" s="868"/>
      <c r="M153" s="868"/>
      <c r="N153" s="868"/>
      <c r="O153" s="868"/>
      <c r="P153" s="868"/>
      <c r="Q153" s="868"/>
      <c r="R153" s="868"/>
      <c r="S153" s="868"/>
      <c r="T153" s="868"/>
      <c r="U153" s="868"/>
      <c r="V153" s="868"/>
      <c r="W153" s="868"/>
      <c r="X153" s="868"/>
      <c r="Y153" s="868"/>
      <c r="Z153" s="861"/>
      <c r="AA153" s="862"/>
      <c r="AB153" s="1632"/>
      <c r="AC153" s="1633"/>
      <c r="AD153" s="1634"/>
      <c r="AE153" s="1631" t="s">
        <v>1466</v>
      </c>
      <c r="AF153" s="1631"/>
      <c r="AG153" s="1631"/>
      <c r="AH153" s="1629">
        <f>SUMIF(unos!E:E,'bilans-stanja'!AE153,unos!F:F)</f>
        <v>0</v>
      </c>
      <c r="AI153" s="1629"/>
      <c r="AJ153" s="1629"/>
      <c r="AK153" s="1629"/>
      <c r="AL153" s="1629"/>
      <c r="AM153" s="1629"/>
      <c r="AN153" s="1629"/>
      <c r="AO153" s="1629"/>
      <c r="AP153" s="1629"/>
      <c r="AQ153" s="1629"/>
      <c r="AR153" s="1629">
        <f>SUMIF(unos!E:E,'bilans-stanja'!AE153,unos!C:C)</f>
        <v>0</v>
      </c>
      <c r="AS153" s="1629"/>
      <c r="AT153" s="1629"/>
      <c r="AU153" s="1629"/>
      <c r="AV153" s="1629"/>
      <c r="AW153" s="1629"/>
      <c r="AX153" s="1629"/>
      <c r="AY153" s="1629"/>
      <c r="AZ153" s="1629"/>
      <c r="BA153" s="1630"/>
    </row>
    <row r="154" spans="1:53" ht="15.75" customHeight="1">
      <c r="A154" s="1627" t="s">
        <v>1655</v>
      </c>
      <c r="B154" s="1628"/>
      <c r="C154" s="1628"/>
      <c r="D154" s="1628"/>
      <c r="E154" s="867" t="s">
        <v>1656</v>
      </c>
      <c r="F154" s="868"/>
      <c r="G154" s="868"/>
      <c r="H154" s="868"/>
      <c r="I154" s="868"/>
      <c r="J154" s="868"/>
      <c r="K154" s="868"/>
      <c r="L154" s="868"/>
      <c r="M154" s="868"/>
      <c r="N154" s="868"/>
      <c r="O154" s="868"/>
      <c r="P154" s="868"/>
      <c r="Q154" s="868"/>
      <c r="R154" s="868"/>
      <c r="S154" s="868"/>
      <c r="T154" s="868"/>
      <c r="U154" s="868"/>
      <c r="V154" s="868"/>
      <c r="W154" s="868"/>
      <c r="X154" s="868"/>
      <c r="Y154" s="868"/>
      <c r="Z154" s="861"/>
      <c r="AA154" s="862"/>
      <c r="AB154" s="1632"/>
      <c r="AC154" s="1633"/>
      <c r="AD154" s="1634"/>
      <c r="AE154" s="1631" t="s">
        <v>1467</v>
      </c>
      <c r="AF154" s="1631"/>
      <c r="AG154" s="1631"/>
      <c r="AH154" s="1629">
        <f>SUMIF(unos!E:E,'bilans-stanja'!AE154,unos!F:F)</f>
        <v>0</v>
      </c>
      <c r="AI154" s="1629"/>
      <c r="AJ154" s="1629"/>
      <c r="AK154" s="1629"/>
      <c r="AL154" s="1629"/>
      <c r="AM154" s="1629"/>
      <c r="AN154" s="1629"/>
      <c r="AO154" s="1629"/>
      <c r="AP154" s="1629"/>
      <c r="AQ154" s="1629"/>
      <c r="AR154" s="1629">
        <f>SUMIF(unos!E:E,'bilans-stanja'!AE154,unos!C:C)</f>
        <v>0</v>
      </c>
      <c r="AS154" s="1629"/>
      <c r="AT154" s="1629"/>
      <c r="AU154" s="1629"/>
      <c r="AV154" s="1629"/>
      <c r="AW154" s="1629"/>
      <c r="AX154" s="1629"/>
      <c r="AY154" s="1629"/>
      <c r="AZ154" s="1629"/>
      <c r="BA154" s="1630"/>
    </row>
    <row r="155" spans="1:53" ht="15.75" customHeight="1">
      <c r="A155" s="1627" t="s">
        <v>1547</v>
      </c>
      <c r="B155" s="1628"/>
      <c r="C155" s="1628"/>
      <c r="D155" s="1628"/>
      <c r="E155" s="867" t="s">
        <v>1657</v>
      </c>
      <c r="F155" s="868"/>
      <c r="G155" s="868"/>
      <c r="H155" s="868"/>
      <c r="I155" s="868"/>
      <c r="J155" s="868"/>
      <c r="K155" s="868"/>
      <c r="L155" s="868"/>
      <c r="M155" s="868"/>
      <c r="N155" s="868"/>
      <c r="O155" s="868"/>
      <c r="P155" s="868"/>
      <c r="Q155" s="868"/>
      <c r="R155" s="868"/>
      <c r="S155" s="868"/>
      <c r="T155" s="868"/>
      <c r="U155" s="868"/>
      <c r="V155" s="868"/>
      <c r="W155" s="868"/>
      <c r="X155" s="868"/>
      <c r="Y155" s="868"/>
      <c r="Z155" s="861"/>
      <c r="AA155" s="862"/>
      <c r="AB155" s="1632"/>
      <c r="AC155" s="1633"/>
      <c r="AD155" s="1634"/>
      <c r="AE155" s="1631" t="s">
        <v>1468</v>
      </c>
      <c r="AF155" s="1631"/>
      <c r="AG155" s="1631"/>
      <c r="AH155" s="1629">
        <f>SUMIF(unos!E:E,'bilans-stanja'!AE155,unos!F:F)</f>
        <v>0</v>
      </c>
      <c r="AI155" s="1629"/>
      <c r="AJ155" s="1629"/>
      <c r="AK155" s="1629"/>
      <c r="AL155" s="1629"/>
      <c r="AM155" s="1629"/>
      <c r="AN155" s="1629"/>
      <c r="AO155" s="1629"/>
      <c r="AP155" s="1629"/>
      <c r="AQ155" s="1629"/>
      <c r="AR155" s="1629">
        <f>SUMIF(unos!E:E,'bilans-stanja'!AE155,unos!C:C)</f>
        <v>0</v>
      </c>
      <c r="AS155" s="1629"/>
      <c r="AT155" s="1629"/>
      <c r="AU155" s="1629"/>
      <c r="AV155" s="1629"/>
      <c r="AW155" s="1629"/>
      <c r="AX155" s="1629"/>
      <c r="AY155" s="1629"/>
      <c r="AZ155" s="1629"/>
      <c r="BA155" s="1630"/>
    </row>
    <row r="156" spans="1:53" ht="15.75" customHeight="1">
      <c r="A156" s="1627" t="s">
        <v>1548</v>
      </c>
      <c r="B156" s="1628"/>
      <c r="C156" s="1628"/>
      <c r="D156" s="1628"/>
      <c r="E156" s="867" t="s">
        <v>1658</v>
      </c>
      <c r="F156" s="868"/>
      <c r="G156" s="868"/>
      <c r="H156" s="868"/>
      <c r="I156" s="868"/>
      <c r="J156" s="868"/>
      <c r="K156" s="868"/>
      <c r="L156" s="868"/>
      <c r="M156" s="868"/>
      <c r="N156" s="868"/>
      <c r="O156" s="868"/>
      <c r="P156" s="868"/>
      <c r="Q156" s="868"/>
      <c r="R156" s="868"/>
      <c r="S156" s="868"/>
      <c r="T156" s="868"/>
      <c r="U156" s="868"/>
      <c r="V156" s="868"/>
      <c r="W156" s="868"/>
      <c r="X156" s="868"/>
      <c r="Y156" s="868"/>
      <c r="Z156" s="861"/>
      <c r="AA156" s="862"/>
      <c r="AB156" s="1632"/>
      <c r="AC156" s="1633"/>
      <c r="AD156" s="1634"/>
      <c r="AE156" s="1631" t="s">
        <v>1469</v>
      </c>
      <c r="AF156" s="1631"/>
      <c r="AG156" s="1631"/>
      <c r="AH156" s="1629">
        <f>SUMIF(unos!E:E,'bilans-stanja'!AE156,unos!F:F)</f>
        <v>0</v>
      </c>
      <c r="AI156" s="1629"/>
      <c r="AJ156" s="1629"/>
      <c r="AK156" s="1629"/>
      <c r="AL156" s="1629"/>
      <c r="AM156" s="1629"/>
      <c r="AN156" s="1629"/>
      <c r="AO156" s="1629"/>
      <c r="AP156" s="1629"/>
      <c r="AQ156" s="1629"/>
      <c r="AR156" s="1629">
        <f>SUMIF(unos!E:E,'bilans-stanja'!AE156,unos!C:C)</f>
        <v>0</v>
      </c>
      <c r="AS156" s="1629"/>
      <c r="AT156" s="1629"/>
      <c r="AU156" s="1629"/>
      <c r="AV156" s="1629"/>
      <c r="AW156" s="1629"/>
      <c r="AX156" s="1629"/>
      <c r="AY156" s="1629"/>
      <c r="AZ156" s="1629"/>
      <c r="BA156" s="1630"/>
    </row>
    <row r="157" spans="1:53" ht="15.75" customHeight="1">
      <c r="A157" s="1627" t="s">
        <v>453</v>
      </c>
      <c r="B157" s="1628"/>
      <c r="C157" s="1628"/>
      <c r="D157" s="1628"/>
      <c r="E157" s="875" t="s">
        <v>1659</v>
      </c>
      <c r="F157" s="876"/>
      <c r="G157" s="876"/>
      <c r="H157" s="876"/>
      <c r="I157" s="876"/>
      <c r="J157" s="876"/>
      <c r="K157" s="876"/>
      <c r="L157" s="876"/>
      <c r="M157" s="876"/>
      <c r="N157" s="876"/>
      <c r="O157" s="876"/>
      <c r="P157" s="876"/>
      <c r="Q157" s="876"/>
      <c r="R157" s="876"/>
      <c r="S157" s="876"/>
      <c r="T157" s="876"/>
      <c r="U157" s="868"/>
      <c r="V157" s="868"/>
      <c r="W157" s="868"/>
      <c r="X157" s="868"/>
      <c r="Y157" s="868"/>
      <c r="Z157" s="861"/>
      <c r="AA157" s="862"/>
      <c r="AB157" s="1632"/>
      <c r="AC157" s="1633"/>
      <c r="AD157" s="1634"/>
      <c r="AE157" s="1631" t="s">
        <v>1470</v>
      </c>
      <c r="AF157" s="1631"/>
      <c r="AG157" s="1631"/>
      <c r="AH157" s="1629">
        <f>SUM(AH158:AQ159,AH163:AQ165)</f>
        <v>0</v>
      </c>
      <c r="AI157" s="1629"/>
      <c r="AJ157" s="1629"/>
      <c r="AK157" s="1629"/>
      <c r="AL157" s="1629"/>
      <c r="AM157" s="1629"/>
      <c r="AN157" s="1629"/>
      <c r="AO157" s="1629"/>
      <c r="AP157" s="1629"/>
      <c r="AQ157" s="1629"/>
      <c r="AR157" s="1629">
        <f>SUM(AR158:BA159,AR163:BA165)</f>
        <v>0</v>
      </c>
      <c r="AS157" s="1629"/>
      <c r="AT157" s="1629"/>
      <c r="AU157" s="1629"/>
      <c r="AV157" s="1629"/>
      <c r="AW157" s="1629"/>
      <c r="AX157" s="1629"/>
      <c r="AY157" s="1629"/>
      <c r="AZ157" s="1629"/>
      <c r="BA157" s="1630"/>
    </row>
    <row r="158" spans="1:53" ht="15.75" customHeight="1">
      <c r="A158" s="1627" t="s">
        <v>1549</v>
      </c>
      <c r="B158" s="1628"/>
      <c r="C158" s="1628"/>
      <c r="D158" s="1628"/>
      <c r="E158" s="867" t="s">
        <v>1660</v>
      </c>
      <c r="F158" s="868"/>
      <c r="G158" s="868"/>
      <c r="H158" s="868"/>
      <c r="I158" s="868"/>
      <c r="J158" s="868"/>
      <c r="K158" s="868"/>
      <c r="L158" s="868"/>
      <c r="M158" s="868"/>
      <c r="N158" s="868"/>
      <c r="O158" s="868"/>
      <c r="P158" s="868"/>
      <c r="Q158" s="868"/>
      <c r="R158" s="868"/>
      <c r="S158" s="868"/>
      <c r="T158" s="868"/>
      <c r="U158" s="868"/>
      <c r="V158" s="868"/>
      <c r="W158" s="868"/>
      <c r="X158" s="868"/>
      <c r="Y158" s="868"/>
      <c r="Z158" s="861"/>
      <c r="AA158" s="862"/>
      <c r="AB158" s="1632"/>
      <c r="AC158" s="1633"/>
      <c r="AD158" s="1634"/>
      <c r="AE158" s="1631" t="s">
        <v>1471</v>
      </c>
      <c r="AF158" s="1631"/>
      <c r="AG158" s="1631"/>
      <c r="AH158" s="1629">
        <f>SUMIF(unos!E:E,'bilans-stanja'!AE158,unos!F:F)</f>
        <v>0</v>
      </c>
      <c r="AI158" s="1629"/>
      <c r="AJ158" s="1629"/>
      <c r="AK158" s="1629"/>
      <c r="AL158" s="1629"/>
      <c r="AM158" s="1629"/>
      <c r="AN158" s="1629"/>
      <c r="AO158" s="1629"/>
      <c r="AP158" s="1629"/>
      <c r="AQ158" s="1629"/>
      <c r="AR158" s="1629">
        <f>SUMIF(unos!E:E,'bilans-stanja'!AE158,unos!C:C)</f>
        <v>0</v>
      </c>
      <c r="AS158" s="1629"/>
      <c r="AT158" s="1629"/>
      <c r="AU158" s="1629"/>
      <c r="AV158" s="1629"/>
      <c r="AW158" s="1629"/>
      <c r="AX158" s="1629"/>
      <c r="AY158" s="1629"/>
      <c r="AZ158" s="1629"/>
      <c r="BA158" s="1630"/>
    </row>
    <row r="159" spans="1:53" s="844" customFormat="1" ht="15.75" customHeight="1" thickBot="1">
      <c r="A159" s="1650" t="s">
        <v>1550</v>
      </c>
      <c r="B159" s="1651"/>
      <c r="C159" s="1651"/>
      <c r="D159" s="1651"/>
      <c r="E159" s="882" t="s">
        <v>1661</v>
      </c>
      <c r="F159" s="883"/>
      <c r="G159" s="883"/>
      <c r="H159" s="883"/>
      <c r="I159" s="883"/>
      <c r="J159" s="883"/>
      <c r="K159" s="883"/>
      <c r="L159" s="883"/>
      <c r="M159" s="883"/>
      <c r="N159" s="883"/>
      <c r="O159" s="883"/>
      <c r="P159" s="883"/>
      <c r="Q159" s="883"/>
      <c r="R159" s="883"/>
      <c r="S159" s="883"/>
      <c r="T159" s="883"/>
      <c r="U159" s="883"/>
      <c r="V159" s="883"/>
      <c r="W159" s="883"/>
      <c r="X159" s="883"/>
      <c r="Y159" s="883"/>
      <c r="Z159" s="884"/>
      <c r="AA159" s="885"/>
      <c r="AB159" s="1653"/>
      <c r="AC159" s="1654"/>
      <c r="AD159" s="1655"/>
      <c r="AE159" s="1652" t="s">
        <v>1472</v>
      </c>
      <c r="AF159" s="1652"/>
      <c r="AG159" s="1652"/>
      <c r="AH159" s="1681">
        <f>SUMIF(unos!E:E,'bilans-stanja'!AE159,unos!F:F)</f>
        <v>0</v>
      </c>
      <c r="AI159" s="1681"/>
      <c r="AJ159" s="1681"/>
      <c r="AK159" s="1681"/>
      <c r="AL159" s="1681"/>
      <c r="AM159" s="1681"/>
      <c r="AN159" s="1681"/>
      <c r="AO159" s="1681"/>
      <c r="AP159" s="1681"/>
      <c r="AQ159" s="1681"/>
      <c r="AR159" s="1681">
        <f>SUMIF(unos!E:E,'bilans-stanja'!AE159,unos!C:C)</f>
        <v>0</v>
      </c>
      <c r="AS159" s="1681"/>
      <c r="AT159" s="1681"/>
      <c r="AU159" s="1681"/>
      <c r="AV159" s="1681"/>
      <c r="AW159" s="1681"/>
      <c r="AX159" s="1681"/>
      <c r="AY159" s="1681"/>
      <c r="AZ159" s="1681"/>
      <c r="BA159" s="1682"/>
    </row>
    <row r="160" spans="1:53" s="844" customFormat="1" ht="15.75" customHeight="1">
      <c r="A160" s="1637"/>
      <c r="B160" s="1637"/>
      <c r="C160" s="1637"/>
      <c r="D160" s="1637"/>
      <c r="E160" s="1678"/>
      <c r="F160" s="1678"/>
      <c r="G160" s="1678"/>
      <c r="H160" s="1678"/>
      <c r="I160" s="1678"/>
      <c r="J160" s="1678"/>
      <c r="K160" s="1678"/>
      <c r="L160" s="1678"/>
      <c r="M160" s="1678"/>
      <c r="N160" s="1678"/>
      <c r="O160" s="1678"/>
      <c r="P160" s="1678"/>
      <c r="Q160" s="1678"/>
      <c r="R160" s="1678"/>
      <c r="S160" s="1678"/>
      <c r="T160" s="1678"/>
      <c r="U160" s="1636"/>
      <c r="V160" s="1636"/>
      <c r="W160" s="1636"/>
      <c r="X160" s="1636"/>
      <c r="Y160" s="1636"/>
      <c r="Z160" s="1647"/>
      <c r="AA160" s="1647"/>
      <c r="AB160" s="1647"/>
      <c r="AC160" s="1647"/>
      <c r="AD160" s="1647"/>
      <c r="AE160" s="1647"/>
      <c r="AF160" s="1647"/>
      <c r="AG160" s="1647"/>
      <c r="AH160" s="1647"/>
      <c r="AI160" s="1647"/>
      <c r="AJ160" s="1647"/>
      <c r="AK160" s="1647"/>
      <c r="AL160" s="1647"/>
      <c r="AM160" s="1647"/>
      <c r="AN160" s="1647"/>
      <c r="AO160" s="1647"/>
      <c r="AP160" s="1647"/>
      <c r="AQ160" s="1647"/>
      <c r="AR160" s="1647"/>
      <c r="AS160" s="1647"/>
      <c r="AT160" s="1647"/>
      <c r="AU160" s="1727" t="s">
        <v>2582</v>
      </c>
      <c r="AV160" s="1727"/>
      <c r="AW160" s="1727"/>
      <c r="AX160" s="1727"/>
      <c r="AY160" s="1727"/>
      <c r="AZ160" s="1727"/>
      <c r="BA160" s="1727"/>
    </row>
    <row r="161" spans="1:53" s="844" customFormat="1" ht="15.75" customHeight="1" thickBot="1">
      <c r="A161" s="37"/>
      <c r="B161" s="37"/>
      <c r="C161" s="37"/>
      <c r="D161" s="37"/>
      <c r="E161" s="848"/>
      <c r="F161" s="848"/>
      <c r="G161" s="848"/>
      <c r="H161" s="848"/>
      <c r="I161" s="848"/>
      <c r="J161" s="848"/>
      <c r="K161" s="848"/>
      <c r="L161" s="848"/>
      <c r="M161" s="848"/>
      <c r="N161" s="848"/>
      <c r="O161" s="848"/>
      <c r="P161" s="848"/>
      <c r="Q161" s="848"/>
      <c r="R161" s="848"/>
      <c r="S161" s="848"/>
      <c r="T161" s="848"/>
      <c r="U161" s="849"/>
      <c r="V161" s="849"/>
      <c r="W161" s="849"/>
      <c r="X161" s="849"/>
      <c r="Y161" s="849"/>
      <c r="Z161" s="850"/>
      <c r="AA161" s="850"/>
      <c r="AB161" s="850"/>
      <c r="AC161" s="850"/>
      <c r="AD161" s="850"/>
      <c r="AE161" s="850"/>
      <c r="AF161" s="850"/>
      <c r="AG161" s="850"/>
      <c r="AH161" s="850"/>
      <c r="AI161" s="850"/>
      <c r="AJ161" s="850"/>
      <c r="AK161" s="850"/>
      <c r="AL161" s="850"/>
      <c r="AM161" s="850"/>
      <c r="AN161" s="850"/>
      <c r="AO161" s="850"/>
      <c r="AP161" s="850"/>
      <c r="AQ161" s="850"/>
      <c r="AR161" s="850"/>
      <c r="AS161" s="850"/>
      <c r="AT161" s="850"/>
      <c r="AU161" s="850"/>
      <c r="AV161" s="850"/>
      <c r="AW161" s="850"/>
      <c r="AX161" s="850"/>
      <c r="AY161" s="850"/>
      <c r="AZ161" s="850"/>
      <c r="BA161" s="850"/>
    </row>
    <row r="162" spans="1:53" ht="13.5" customHeight="1" thickBot="1">
      <c r="A162" s="1638" t="s">
        <v>522</v>
      </c>
      <c r="B162" s="1639"/>
      <c r="C162" s="1639"/>
      <c r="D162" s="1639"/>
      <c r="E162" s="1640">
        <v>2</v>
      </c>
      <c r="F162" s="1641"/>
      <c r="G162" s="1641"/>
      <c r="H162" s="1641"/>
      <c r="I162" s="1641"/>
      <c r="J162" s="1641"/>
      <c r="K162" s="1641"/>
      <c r="L162" s="1641"/>
      <c r="M162" s="1641"/>
      <c r="N162" s="1641"/>
      <c r="O162" s="1641"/>
      <c r="P162" s="1641"/>
      <c r="Q162" s="1641"/>
      <c r="R162" s="1641"/>
      <c r="S162" s="1641"/>
      <c r="T162" s="1641"/>
      <c r="U162" s="857"/>
      <c r="V162" s="857"/>
      <c r="W162" s="857"/>
      <c r="X162" s="857"/>
      <c r="Y162" s="857"/>
      <c r="Z162" s="857"/>
      <c r="AA162" s="858"/>
      <c r="AB162" s="1640">
        <v>3</v>
      </c>
      <c r="AC162" s="1641"/>
      <c r="AD162" s="1643"/>
      <c r="AE162" s="1640">
        <v>4</v>
      </c>
      <c r="AF162" s="1641"/>
      <c r="AG162" s="1643"/>
      <c r="AH162" s="1640">
        <v>5</v>
      </c>
      <c r="AI162" s="1641"/>
      <c r="AJ162" s="1641"/>
      <c r="AK162" s="1641"/>
      <c r="AL162" s="1641"/>
      <c r="AM162" s="1641"/>
      <c r="AN162" s="1641"/>
      <c r="AO162" s="1641"/>
      <c r="AP162" s="1641"/>
      <c r="AQ162" s="1643"/>
      <c r="AR162" s="1640">
        <v>6</v>
      </c>
      <c r="AS162" s="1641"/>
      <c r="AT162" s="1641"/>
      <c r="AU162" s="1641"/>
      <c r="AV162" s="1641"/>
      <c r="AW162" s="1641"/>
      <c r="AX162" s="1641"/>
      <c r="AY162" s="1641"/>
      <c r="AZ162" s="1641"/>
      <c r="BA162" s="1648"/>
    </row>
    <row r="163" spans="1:53" ht="15.75" customHeight="1">
      <c r="A163" s="1627" t="s">
        <v>1551</v>
      </c>
      <c r="B163" s="1628"/>
      <c r="C163" s="1628"/>
      <c r="D163" s="1628"/>
      <c r="E163" s="865" t="s">
        <v>1662</v>
      </c>
      <c r="F163" s="866"/>
      <c r="G163" s="866"/>
      <c r="H163" s="866"/>
      <c r="I163" s="866"/>
      <c r="J163" s="866"/>
      <c r="K163" s="866"/>
      <c r="L163" s="866"/>
      <c r="M163" s="866"/>
      <c r="N163" s="866"/>
      <c r="O163" s="866"/>
      <c r="P163" s="866"/>
      <c r="Q163" s="866"/>
      <c r="R163" s="866"/>
      <c r="S163" s="866"/>
      <c r="T163" s="866"/>
      <c r="U163" s="866"/>
      <c r="V163" s="866"/>
      <c r="W163" s="866"/>
      <c r="X163" s="866"/>
      <c r="Y163" s="866"/>
      <c r="Z163" s="859"/>
      <c r="AA163" s="860"/>
      <c r="AB163" s="1632"/>
      <c r="AC163" s="1633"/>
      <c r="AD163" s="1634"/>
      <c r="AE163" s="1631" t="s">
        <v>1473</v>
      </c>
      <c r="AF163" s="1631"/>
      <c r="AG163" s="1631"/>
      <c r="AH163" s="1629">
        <f>SUMIF(unos!E:E,'bilans-stanja'!AE163,unos!F:F)</f>
        <v>0</v>
      </c>
      <c r="AI163" s="1629"/>
      <c r="AJ163" s="1629"/>
      <c r="AK163" s="1629"/>
      <c r="AL163" s="1629"/>
      <c r="AM163" s="1629"/>
      <c r="AN163" s="1629"/>
      <c r="AO163" s="1629"/>
      <c r="AP163" s="1629"/>
      <c r="AQ163" s="1629"/>
      <c r="AR163" s="1629">
        <f>SUMIF(unos!E:E,'bilans-stanja'!AE163,unos!C:C)</f>
        <v>0</v>
      </c>
      <c r="AS163" s="1629"/>
      <c r="AT163" s="1629"/>
      <c r="AU163" s="1629"/>
      <c r="AV163" s="1629"/>
      <c r="AW163" s="1629"/>
      <c r="AX163" s="1629"/>
      <c r="AY163" s="1629"/>
      <c r="AZ163" s="1629"/>
      <c r="BA163" s="1630"/>
    </row>
    <row r="164" spans="1:53" ht="15.75" customHeight="1">
      <c r="A164" s="1627" t="s">
        <v>1552</v>
      </c>
      <c r="B164" s="1628"/>
      <c r="C164" s="1628"/>
      <c r="D164" s="1628"/>
      <c r="E164" s="867" t="s">
        <v>1663</v>
      </c>
      <c r="F164" s="868"/>
      <c r="G164" s="868"/>
      <c r="H164" s="868"/>
      <c r="I164" s="868"/>
      <c r="J164" s="868"/>
      <c r="K164" s="868"/>
      <c r="L164" s="868"/>
      <c r="M164" s="868"/>
      <c r="N164" s="868"/>
      <c r="O164" s="868"/>
      <c r="P164" s="868"/>
      <c r="Q164" s="868"/>
      <c r="R164" s="868"/>
      <c r="S164" s="868"/>
      <c r="T164" s="868"/>
      <c r="U164" s="868"/>
      <c r="V164" s="868"/>
      <c r="W164" s="868"/>
      <c r="X164" s="868"/>
      <c r="Y164" s="868"/>
      <c r="Z164" s="861"/>
      <c r="AA164" s="862"/>
      <c r="AB164" s="1632"/>
      <c r="AC164" s="1633"/>
      <c r="AD164" s="1634"/>
      <c r="AE164" s="1631" t="s">
        <v>1474</v>
      </c>
      <c r="AF164" s="1631"/>
      <c r="AG164" s="1631"/>
      <c r="AH164" s="1629">
        <f>SUMIF(unos!E:E,'bilans-stanja'!AE164,unos!F:F)</f>
        <v>0</v>
      </c>
      <c r="AI164" s="1629"/>
      <c r="AJ164" s="1629"/>
      <c r="AK164" s="1629"/>
      <c r="AL164" s="1629"/>
      <c r="AM164" s="1629"/>
      <c r="AN164" s="1629"/>
      <c r="AO164" s="1629"/>
      <c r="AP164" s="1629"/>
      <c r="AQ164" s="1629"/>
      <c r="AR164" s="1629">
        <f>SUMIF(unos!E:E,'bilans-stanja'!AE164,unos!C:C)</f>
        <v>0</v>
      </c>
      <c r="AS164" s="1629"/>
      <c r="AT164" s="1629"/>
      <c r="AU164" s="1629"/>
      <c r="AV164" s="1629"/>
      <c r="AW164" s="1629"/>
      <c r="AX164" s="1629"/>
      <c r="AY164" s="1629"/>
      <c r="AZ164" s="1629"/>
      <c r="BA164" s="1630"/>
    </row>
    <row r="165" spans="1:53" ht="15.75" customHeight="1">
      <c r="A165" s="1627" t="s">
        <v>228</v>
      </c>
      <c r="B165" s="1628"/>
      <c r="C165" s="1628"/>
      <c r="D165" s="1628"/>
      <c r="E165" s="867" t="s">
        <v>1664</v>
      </c>
      <c r="F165" s="868"/>
      <c r="G165" s="868"/>
      <c r="H165" s="868"/>
      <c r="I165" s="868"/>
      <c r="J165" s="868"/>
      <c r="K165" s="868"/>
      <c r="L165" s="868"/>
      <c r="M165" s="868"/>
      <c r="N165" s="868"/>
      <c r="O165" s="868"/>
      <c r="P165" s="868"/>
      <c r="Q165" s="868"/>
      <c r="R165" s="868"/>
      <c r="S165" s="868"/>
      <c r="T165" s="868"/>
      <c r="U165" s="868"/>
      <c r="V165" s="868"/>
      <c r="W165" s="868"/>
      <c r="X165" s="868"/>
      <c r="Y165" s="868"/>
      <c r="Z165" s="861"/>
      <c r="AA165" s="862"/>
      <c r="AB165" s="1632"/>
      <c r="AC165" s="1633"/>
      <c r="AD165" s="1634"/>
      <c r="AE165" s="1631" t="s">
        <v>1475</v>
      </c>
      <c r="AF165" s="1631"/>
      <c r="AG165" s="1631"/>
      <c r="AH165" s="1629">
        <f>SUMIF(unos!E:E,'bilans-stanja'!AE165,unos!F:F)</f>
        <v>0</v>
      </c>
      <c r="AI165" s="1629"/>
      <c r="AJ165" s="1629"/>
      <c r="AK165" s="1629"/>
      <c r="AL165" s="1629"/>
      <c r="AM165" s="1629"/>
      <c r="AN165" s="1629"/>
      <c r="AO165" s="1629"/>
      <c r="AP165" s="1629"/>
      <c r="AQ165" s="1629"/>
      <c r="AR165" s="1629">
        <f>SUMIF(unos!E:E,'bilans-stanja'!AE165,unos!C:C)</f>
        <v>0</v>
      </c>
      <c r="AS165" s="1629"/>
      <c r="AT165" s="1629"/>
      <c r="AU165" s="1629"/>
      <c r="AV165" s="1629"/>
      <c r="AW165" s="1629"/>
      <c r="AX165" s="1629"/>
      <c r="AY165" s="1629"/>
      <c r="AZ165" s="1629"/>
      <c r="BA165" s="1630"/>
    </row>
    <row r="166" spans="1:53" ht="15.75" customHeight="1">
      <c r="A166" s="1627" t="s">
        <v>1665</v>
      </c>
      <c r="B166" s="1628"/>
      <c r="C166" s="1628"/>
      <c r="D166" s="1628"/>
      <c r="E166" s="875" t="s">
        <v>1666</v>
      </c>
      <c r="F166" s="876"/>
      <c r="G166" s="876"/>
      <c r="H166" s="876"/>
      <c r="I166" s="876"/>
      <c r="J166" s="876"/>
      <c r="K166" s="876"/>
      <c r="L166" s="876"/>
      <c r="M166" s="876"/>
      <c r="N166" s="876"/>
      <c r="O166" s="876"/>
      <c r="P166" s="876"/>
      <c r="Q166" s="876"/>
      <c r="R166" s="876"/>
      <c r="S166" s="876"/>
      <c r="T166" s="876"/>
      <c r="U166" s="868"/>
      <c r="V166" s="868"/>
      <c r="W166" s="868"/>
      <c r="X166" s="868"/>
      <c r="Y166" s="868"/>
      <c r="Z166" s="861"/>
      <c r="AA166" s="862"/>
      <c r="AB166" s="1632"/>
      <c r="AC166" s="1633"/>
      <c r="AD166" s="1634"/>
      <c r="AE166" s="1631" t="s">
        <v>2633</v>
      </c>
      <c r="AF166" s="1631"/>
      <c r="AG166" s="1631"/>
      <c r="AH166" s="1629">
        <f>SUMIF(unos!E:E,'bilans-stanja'!AE166,unos!F:F)</f>
        <v>0</v>
      </c>
      <c r="AI166" s="1629"/>
      <c r="AJ166" s="1629"/>
      <c r="AK166" s="1629"/>
      <c r="AL166" s="1629"/>
      <c r="AM166" s="1629"/>
      <c r="AN166" s="1629"/>
      <c r="AO166" s="1629"/>
      <c r="AP166" s="1629"/>
      <c r="AQ166" s="1629"/>
      <c r="AR166" s="1629">
        <f>SUMIF(unos!E:E,'bilans-stanja'!AE166,unos!C:C)</f>
        <v>0</v>
      </c>
      <c r="AS166" s="1629"/>
      <c r="AT166" s="1629"/>
      <c r="AU166" s="1629"/>
      <c r="AV166" s="1629"/>
      <c r="AW166" s="1629"/>
      <c r="AX166" s="1629"/>
      <c r="AY166" s="1629"/>
      <c r="AZ166" s="1629"/>
      <c r="BA166" s="1630"/>
    </row>
    <row r="167" spans="1:53" ht="27" customHeight="1">
      <c r="A167" s="1627" t="s">
        <v>1667</v>
      </c>
      <c r="B167" s="1628"/>
      <c r="C167" s="1628"/>
      <c r="D167" s="1628"/>
      <c r="E167" s="1683" t="s">
        <v>1711</v>
      </c>
      <c r="F167" s="1684"/>
      <c r="G167" s="1684"/>
      <c r="H167" s="1684"/>
      <c r="I167" s="1684"/>
      <c r="J167" s="1684"/>
      <c r="K167" s="1684"/>
      <c r="L167" s="1684"/>
      <c r="M167" s="1684"/>
      <c r="N167" s="1684"/>
      <c r="O167" s="1684"/>
      <c r="P167" s="1684"/>
      <c r="Q167" s="1684"/>
      <c r="R167" s="1684"/>
      <c r="S167" s="1684"/>
      <c r="T167" s="1684"/>
      <c r="U167" s="1684"/>
      <c r="V167" s="1684"/>
      <c r="W167" s="1684"/>
      <c r="X167" s="1684"/>
      <c r="Y167" s="1684"/>
      <c r="Z167" s="1684"/>
      <c r="AA167" s="1685"/>
      <c r="AB167" s="1632"/>
      <c r="AC167" s="1633"/>
      <c r="AD167" s="1634"/>
      <c r="AE167" s="1631" t="s">
        <v>2634</v>
      </c>
      <c r="AF167" s="1631"/>
      <c r="AG167" s="1631"/>
      <c r="AH167" s="1629">
        <f>SUM(AH168:AQ170)</f>
        <v>0</v>
      </c>
      <c r="AI167" s="1629"/>
      <c r="AJ167" s="1629"/>
      <c r="AK167" s="1629"/>
      <c r="AL167" s="1629"/>
      <c r="AM167" s="1629"/>
      <c r="AN167" s="1629"/>
      <c r="AO167" s="1629"/>
      <c r="AP167" s="1629"/>
      <c r="AQ167" s="1629"/>
      <c r="AR167" s="1629">
        <f>SUM(AR168:BA170)</f>
        <v>0</v>
      </c>
      <c r="AS167" s="1629"/>
      <c r="AT167" s="1629"/>
      <c r="AU167" s="1629"/>
      <c r="AV167" s="1629"/>
      <c r="AW167" s="1629"/>
      <c r="AX167" s="1629"/>
      <c r="AY167" s="1629"/>
      <c r="AZ167" s="1629"/>
      <c r="BA167" s="1630"/>
    </row>
    <row r="168" spans="1:53" ht="15.75" customHeight="1">
      <c r="A168" s="1627" t="s">
        <v>1668</v>
      </c>
      <c r="B168" s="1628"/>
      <c r="C168" s="1628"/>
      <c r="D168" s="1628"/>
      <c r="E168" s="867" t="s">
        <v>1669</v>
      </c>
      <c r="F168" s="868"/>
      <c r="G168" s="868"/>
      <c r="H168" s="868"/>
      <c r="I168" s="868"/>
      <c r="J168" s="868"/>
      <c r="K168" s="868"/>
      <c r="L168" s="868"/>
      <c r="M168" s="868"/>
      <c r="N168" s="868"/>
      <c r="O168" s="868"/>
      <c r="P168" s="868"/>
      <c r="Q168" s="868"/>
      <c r="R168" s="868"/>
      <c r="S168" s="868"/>
      <c r="T168" s="868"/>
      <c r="U168" s="868"/>
      <c r="V168" s="868"/>
      <c r="W168" s="868"/>
      <c r="X168" s="868"/>
      <c r="Y168" s="868"/>
      <c r="Z168" s="861"/>
      <c r="AA168" s="862"/>
      <c r="AB168" s="1632"/>
      <c r="AC168" s="1633"/>
      <c r="AD168" s="1634"/>
      <c r="AE168" s="1631" t="s">
        <v>1199</v>
      </c>
      <c r="AF168" s="1631"/>
      <c r="AG168" s="1631"/>
      <c r="AH168" s="1629">
        <f>SUMIF(unos!E:E,'bilans-stanja'!AE168,unos!F:F)</f>
        <v>0</v>
      </c>
      <c r="AI168" s="1629"/>
      <c r="AJ168" s="1629"/>
      <c r="AK168" s="1629"/>
      <c r="AL168" s="1629"/>
      <c r="AM168" s="1629"/>
      <c r="AN168" s="1629"/>
      <c r="AO168" s="1629"/>
      <c r="AP168" s="1629"/>
      <c r="AQ168" s="1629"/>
      <c r="AR168" s="1629">
        <f>SUMIF(unos!E:E,'bilans-stanja'!AE168,unos!C:C)</f>
        <v>0</v>
      </c>
      <c r="AS168" s="1629"/>
      <c r="AT168" s="1629"/>
      <c r="AU168" s="1629"/>
      <c r="AV168" s="1629"/>
      <c r="AW168" s="1629"/>
      <c r="AX168" s="1629"/>
      <c r="AY168" s="1629"/>
      <c r="AZ168" s="1629"/>
      <c r="BA168" s="1630"/>
    </row>
    <row r="169" spans="1:53" ht="15.75" customHeight="1">
      <c r="A169" s="1627" t="s">
        <v>1670</v>
      </c>
      <c r="B169" s="1628"/>
      <c r="C169" s="1628"/>
      <c r="D169" s="1628"/>
      <c r="E169" s="867" t="s">
        <v>262</v>
      </c>
      <c r="F169" s="868"/>
      <c r="G169" s="868"/>
      <c r="H169" s="868"/>
      <c r="I169" s="868"/>
      <c r="J169" s="868"/>
      <c r="K169" s="868"/>
      <c r="L169" s="868"/>
      <c r="M169" s="868"/>
      <c r="N169" s="868"/>
      <c r="O169" s="868"/>
      <c r="P169" s="868"/>
      <c r="Q169" s="868"/>
      <c r="R169" s="868"/>
      <c r="S169" s="868"/>
      <c r="T169" s="868"/>
      <c r="U169" s="868"/>
      <c r="V169" s="868"/>
      <c r="W169" s="868"/>
      <c r="X169" s="868"/>
      <c r="Y169" s="868"/>
      <c r="Z169" s="861"/>
      <c r="AA169" s="862"/>
      <c r="AB169" s="1632"/>
      <c r="AC169" s="1633"/>
      <c r="AD169" s="1634"/>
      <c r="AE169" s="1631" t="s">
        <v>1200</v>
      </c>
      <c r="AF169" s="1631"/>
      <c r="AG169" s="1631"/>
      <c r="AH169" s="1629">
        <f>SUMIF(unos!E:E,'bilans-stanja'!AE169,unos!F:F)</f>
        <v>0</v>
      </c>
      <c r="AI169" s="1629"/>
      <c r="AJ169" s="1629"/>
      <c r="AK169" s="1629"/>
      <c r="AL169" s="1629"/>
      <c r="AM169" s="1629"/>
      <c r="AN169" s="1629"/>
      <c r="AO169" s="1629"/>
      <c r="AP169" s="1629"/>
      <c r="AQ169" s="1629"/>
      <c r="AR169" s="1629">
        <f>SUMIF(unos!E:E,'bilans-stanja'!AE169,unos!C:C)</f>
        <v>0</v>
      </c>
      <c r="AS169" s="1629"/>
      <c r="AT169" s="1629"/>
      <c r="AU169" s="1629"/>
      <c r="AV169" s="1629"/>
      <c r="AW169" s="1629"/>
      <c r="AX169" s="1629"/>
      <c r="AY169" s="1629"/>
      <c r="AZ169" s="1629"/>
      <c r="BA169" s="1630"/>
    </row>
    <row r="170" spans="1:53" ht="15.75" customHeight="1">
      <c r="A170" s="1627" t="s">
        <v>263</v>
      </c>
      <c r="B170" s="1628"/>
      <c r="C170" s="1628"/>
      <c r="D170" s="1628"/>
      <c r="E170" s="867" t="s">
        <v>264</v>
      </c>
      <c r="F170" s="868"/>
      <c r="G170" s="868"/>
      <c r="H170" s="868"/>
      <c r="I170" s="868"/>
      <c r="J170" s="868"/>
      <c r="K170" s="868"/>
      <c r="L170" s="868"/>
      <c r="M170" s="868"/>
      <c r="N170" s="868"/>
      <c r="O170" s="868"/>
      <c r="P170" s="868"/>
      <c r="Q170" s="868"/>
      <c r="R170" s="868"/>
      <c r="S170" s="868"/>
      <c r="T170" s="868"/>
      <c r="U170" s="868"/>
      <c r="V170" s="868"/>
      <c r="W170" s="868"/>
      <c r="X170" s="868"/>
      <c r="Y170" s="868"/>
      <c r="Z170" s="861"/>
      <c r="AA170" s="862"/>
      <c r="AB170" s="1632"/>
      <c r="AC170" s="1633"/>
      <c r="AD170" s="1634"/>
      <c r="AE170" s="1631" t="s">
        <v>1201</v>
      </c>
      <c r="AF170" s="1631"/>
      <c r="AG170" s="1631"/>
      <c r="AH170" s="1629">
        <f>SUMIF(unos!E:E,'bilans-stanja'!AE170,unos!F:F)</f>
        <v>0</v>
      </c>
      <c r="AI170" s="1629"/>
      <c r="AJ170" s="1629"/>
      <c r="AK170" s="1629"/>
      <c r="AL170" s="1629"/>
      <c r="AM170" s="1629"/>
      <c r="AN170" s="1629"/>
      <c r="AO170" s="1629"/>
      <c r="AP170" s="1629"/>
      <c r="AQ170" s="1629"/>
      <c r="AR170" s="1629">
        <f>SUMIF(unos!E:E,'bilans-stanja'!AE170,unos!C:C)</f>
        <v>0</v>
      </c>
      <c r="AS170" s="1629"/>
      <c r="AT170" s="1629"/>
      <c r="AU170" s="1629"/>
      <c r="AV170" s="1629"/>
      <c r="AW170" s="1629"/>
      <c r="AX170" s="1629"/>
      <c r="AY170" s="1629"/>
      <c r="AZ170" s="1629"/>
      <c r="BA170" s="1630"/>
    </row>
    <row r="171" spans="1:53" ht="15.75" customHeight="1">
      <c r="A171" s="1627" t="s">
        <v>2306</v>
      </c>
      <c r="B171" s="1628"/>
      <c r="C171" s="1628"/>
      <c r="D171" s="1628"/>
      <c r="E171" s="875" t="s">
        <v>265</v>
      </c>
      <c r="F171" s="876"/>
      <c r="G171" s="876"/>
      <c r="H171" s="876"/>
      <c r="I171" s="876"/>
      <c r="J171" s="876"/>
      <c r="K171" s="876"/>
      <c r="L171" s="876"/>
      <c r="M171" s="876"/>
      <c r="N171" s="876"/>
      <c r="O171" s="876"/>
      <c r="P171" s="876"/>
      <c r="Q171" s="876"/>
      <c r="R171" s="876"/>
      <c r="S171" s="876"/>
      <c r="T171" s="876"/>
      <c r="U171" s="868"/>
      <c r="V171" s="868"/>
      <c r="W171" s="868"/>
      <c r="X171" s="868"/>
      <c r="Y171" s="868"/>
      <c r="Z171" s="861"/>
      <c r="AA171" s="862"/>
      <c r="AB171" s="1632"/>
      <c r="AC171" s="1633"/>
      <c r="AD171" s="1634"/>
      <c r="AE171" s="1631" t="s">
        <v>1202</v>
      </c>
      <c r="AF171" s="1631"/>
      <c r="AG171" s="1631"/>
      <c r="AH171" s="1629">
        <f>SUMIF(unos!E:E,'bilans-stanja'!AE171,unos!F:F)</f>
        <v>0</v>
      </c>
      <c r="AI171" s="1629"/>
      <c r="AJ171" s="1629"/>
      <c r="AK171" s="1629"/>
      <c r="AL171" s="1629"/>
      <c r="AM171" s="1629"/>
      <c r="AN171" s="1629"/>
      <c r="AO171" s="1629"/>
      <c r="AP171" s="1629"/>
      <c r="AQ171" s="1629"/>
      <c r="AR171" s="1629">
        <f>SUMIF(unos!E:E,'bilans-stanja'!AE171,unos!C:C)</f>
        <v>0</v>
      </c>
      <c r="AS171" s="1629"/>
      <c r="AT171" s="1629"/>
      <c r="AU171" s="1629"/>
      <c r="AV171" s="1629"/>
      <c r="AW171" s="1629"/>
      <c r="AX171" s="1629"/>
      <c r="AY171" s="1629"/>
      <c r="AZ171" s="1629"/>
      <c r="BA171" s="1630"/>
    </row>
    <row r="172" spans="1:53" ht="15.75" customHeight="1">
      <c r="A172" s="1627" t="s">
        <v>454</v>
      </c>
      <c r="B172" s="1628"/>
      <c r="C172" s="1628"/>
      <c r="D172" s="1628"/>
      <c r="E172" s="875" t="s">
        <v>266</v>
      </c>
      <c r="F172" s="876"/>
      <c r="G172" s="876"/>
      <c r="H172" s="876"/>
      <c r="I172" s="876"/>
      <c r="J172" s="876"/>
      <c r="K172" s="876"/>
      <c r="L172" s="876"/>
      <c r="M172" s="876"/>
      <c r="N172" s="876"/>
      <c r="O172" s="876"/>
      <c r="P172" s="876"/>
      <c r="Q172" s="876"/>
      <c r="R172" s="876"/>
      <c r="S172" s="876"/>
      <c r="T172" s="876"/>
      <c r="U172" s="868"/>
      <c r="V172" s="868"/>
      <c r="W172" s="868"/>
      <c r="X172" s="868"/>
      <c r="Y172" s="868"/>
      <c r="Z172" s="861"/>
      <c r="AA172" s="862"/>
      <c r="AB172" s="1632"/>
      <c r="AC172" s="1633"/>
      <c r="AD172" s="1634"/>
      <c r="AE172" s="1631" t="s">
        <v>1203</v>
      </c>
      <c r="AF172" s="1631"/>
      <c r="AG172" s="1631"/>
      <c r="AH172" s="1629">
        <f>SUMIF(unos!E:E,'bilans-stanja'!AE172,unos!F:F)</f>
        <v>0</v>
      </c>
      <c r="AI172" s="1629"/>
      <c r="AJ172" s="1629"/>
      <c r="AK172" s="1629"/>
      <c r="AL172" s="1629"/>
      <c r="AM172" s="1629"/>
      <c r="AN172" s="1629"/>
      <c r="AO172" s="1629"/>
      <c r="AP172" s="1629"/>
      <c r="AQ172" s="1629"/>
      <c r="AR172" s="1629">
        <f>SUMIF(unos!E:E,'bilans-stanja'!AE172,unos!C:C)</f>
        <v>0</v>
      </c>
      <c r="AS172" s="1629"/>
      <c r="AT172" s="1629"/>
      <c r="AU172" s="1629"/>
      <c r="AV172" s="1629"/>
      <c r="AW172" s="1629"/>
      <c r="AX172" s="1629"/>
      <c r="AY172" s="1629"/>
      <c r="AZ172" s="1629"/>
      <c r="BA172" s="1630"/>
    </row>
    <row r="173" spans="1:53" ht="15.75" customHeight="1">
      <c r="A173" s="1627" t="s">
        <v>267</v>
      </c>
      <c r="B173" s="1628"/>
      <c r="C173" s="1628"/>
      <c r="D173" s="1628"/>
      <c r="E173" s="875" t="s">
        <v>268</v>
      </c>
      <c r="F173" s="876"/>
      <c r="G173" s="876"/>
      <c r="H173" s="876"/>
      <c r="I173" s="876"/>
      <c r="J173" s="876"/>
      <c r="K173" s="876"/>
      <c r="L173" s="876"/>
      <c r="M173" s="876"/>
      <c r="N173" s="876"/>
      <c r="O173" s="876"/>
      <c r="P173" s="876"/>
      <c r="Q173" s="876"/>
      <c r="R173" s="876"/>
      <c r="S173" s="876"/>
      <c r="T173" s="876"/>
      <c r="U173" s="868"/>
      <c r="V173" s="868"/>
      <c r="W173" s="868"/>
      <c r="X173" s="868"/>
      <c r="Y173" s="868"/>
      <c r="Z173" s="861"/>
      <c r="AA173" s="862"/>
      <c r="AB173" s="1632"/>
      <c r="AC173" s="1633"/>
      <c r="AD173" s="1634"/>
      <c r="AE173" s="1631" t="s">
        <v>1204</v>
      </c>
      <c r="AF173" s="1631"/>
      <c r="AG173" s="1631"/>
      <c r="AH173" s="1629">
        <f>SUMIF(unos!E:E,'bilans-stanja'!AE173,unos!F:F)</f>
        <v>0</v>
      </c>
      <c r="AI173" s="1629"/>
      <c r="AJ173" s="1629"/>
      <c r="AK173" s="1629"/>
      <c r="AL173" s="1629"/>
      <c r="AM173" s="1629"/>
      <c r="AN173" s="1629"/>
      <c r="AO173" s="1629"/>
      <c r="AP173" s="1629"/>
      <c r="AQ173" s="1629"/>
      <c r="AR173" s="1629">
        <f>SUMIF(unos!E:E,'bilans-stanja'!AE173,unos!C:C)</f>
        <v>0</v>
      </c>
      <c r="AS173" s="1629"/>
      <c r="AT173" s="1629"/>
      <c r="AU173" s="1629"/>
      <c r="AV173" s="1629"/>
      <c r="AW173" s="1629"/>
      <c r="AX173" s="1629"/>
      <c r="AY173" s="1629"/>
      <c r="AZ173" s="1629"/>
      <c r="BA173" s="1630"/>
    </row>
    <row r="174" spans="1:53" ht="15.75" customHeight="1">
      <c r="A174" s="1627" t="s">
        <v>2402</v>
      </c>
      <c r="B174" s="1628"/>
      <c r="C174" s="1628"/>
      <c r="D174" s="1628"/>
      <c r="E174" s="875" t="s">
        <v>270</v>
      </c>
      <c r="F174" s="876"/>
      <c r="G174" s="876"/>
      <c r="H174" s="876"/>
      <c r="I174" s="876"/>
      <c r="J174" s="876"/>
      <c r="K174" s="876"/>
      <c r="L174" s="876"/>
      <c r="M174" s="876"/>
      <c r="N174" s="876"/>
      <c r="O174" s="876"/>
      <c r="P174" s="876"/>
      <c r="Q174" s="876"/>
      <c r="R174" s="876"/>
      <c r="S174" s="876"/>
      <c r="T174" s="876"/>
      <c r="U174" s="868"/>
      <c r="V174" s="868"/>
      <c r="W174" s="868"/>
      <c r="X174" s="868"/>
      <c r="Y174" s="868"/>
      <c r="Z174" s="861"/>
      <c r="AA174" s="862"/>
      <c r="AB174" s="1632"/>
      <c r="AC174" s="1633"/>
      <c r="AD174" s="1634"/>
      <c r="AE174" s="1631" t="s">
        <v>1205</v>
      </c>
      <c r="AF174" s="1631"/>
      <c r="AG174" s="1631"/>
      <c r="AH174" s="1629">
        <f>SUMIF(unos!E:E,'bilans-stanja'!AE174,unos!F:F)</f>
        <v>0</v>
      </c>
      <c r="AI174" s="1629"/>
      <c r="AJ174" s="1629"/>
      <c r="AK174" s="1629"/>
      <c r="AL174" s="1629"/>
      <c r="AM174" s="1629"/>
      <c r="AN174" s="1629"/>
      <c r="AO174" s="1629"/>
      <c r="AP174" s="1629"/>
      <c r="AQ174" s="1629"/>
      <c r="AR174" s="1629">
        <f>SUMIF(unos!E:E,'bilans-stanja'!AE174,unos!C:C)</f>
        <v>0</v>
      </c>
      <c r="AS174" s="1629"/>
      <c r="AT174" s="1629"/>
      <c r="AU174" s="1629"/>
      <c r="AV174" s="1629"/>
      <c r="AW174" s="1629"/>
      <c r="AX174" s="1629"/>
      <c r="AY174" s="1629"/>
      <c r="AZ174" s="1629"/>
      <c r="BA174" s="1630"/>
    </row>
    <row r="175" spans="1:53" ht="15.75" customHeight="1">
      <c r="A175" s="1627" t="s">
        <v>269</v>
      </c>
      <c r="B175" s="1628"/>
      <c r="C175" s="1628"/>
      <c r="D175" s="1628"/>
      <c r="E175" s="875" t="s">
        <v>271</v>
      </c>
      <c r="F175" s="876"/>
      <c r="G175" s="876"/>
      <c r="H175" s="876"/>
      <c r="I175" s="876"/>
      <c r="J175" s="876"/>
      <c r="K175" s="876"/>
      <c r="L175" s="876"/>
      <c r="M175" s="876"/>
      <c r="N175" s="876"/>
      <c r="O175" s="876"/>
      <c r="P175" s="876"/>
      <c r="Q175" s="876"/>
      <c r="R175" s="876"/>
      <c r="S175" s="876"/>
      <c r="T175" s="876"/>
      <c r="U175" s="868"/>
      <c r="V175" s="868"/>
      <c r="W175" s="868"/>
      <c r="X175" s="868"/>
      <c r="Y175" s="868"/>
      <c r="Z175" s="861"/>
      <c r="AA175" s="862"/>
      <c r="AB175" s="1632"/>
      <c r="AC175" s="1633"/>
      <c r="AD175" s="1634"/>
      <c r="AE175" s="1631" t="s">
        <v>1185</v>
      </c>
      <c r="AF175" s="1631"/>
      <c r="AG175" s="1631"/>
      <c r="AH175" s="1629">
        <f>SUMIF(unos!E:E,'bilans-stanja'!AE175,unos!F:F)</f>
        <v>0</v>
      </c>
      <c r="AI175" s="1629"/>
      <c r="AJ175" s="1629"/>
      <c r="AK175" s="1629"/>
      <c r="AL175" s="1629"/>
      <c r="AM175" s="1629"/>
      <c r="AN175" s="1629"/>
      <c r="AO175" s="1629"/>
      <c r="AP175" s="1629"/>
      <c r="AQ175" s="1629"/>
      <c r="AR175" s="1629">
        <f>SUMIF(unos!E:E,'bilans-stanja'!AE175,unos!C:C)</f>
        <v>0</v>
      </c>
      <c r="AS175" s="1629"/>
      <c r="AT175" s="1629"/>
      <c r="AU175" s="1629"/>
      <c r="AV175" s="1629"/>
      <c r="AW175" s="1629"/>
      <c r="AX175" s="1629"/>
      <c r="AY175" s="1629"/>
      <c r="AZ175" s="1629"/>
      <c r="BA175" s="1630"/>
    </row>
    <row r="176" spans="1:53" ht="15.75" customHeight="1">
      <c r="A176" s="1627" t="s">
        <v>2411</v>
      </c>
      <c r="B176" s="1628"/>
      <c r="C176" s="1628"/>
      <c r="D176" s="1628"/>
      <c r="E176" s="875" t="s">
        <v>272</v>
      </c>
      <c r="F176" s="876"/>
      <c r="G176" s="876"/>
      <c r="H176" s="876"/>
      <c r="I176" s="876"/>
      <c r="J176" s="876"/>
      <c r="K176" s="876"/>
      <c r="L176" s="876"/>
      <c r="M176" s="876"/>
      <c r="N176" s="876"/>
      <c r="O176" s="876"/>
      <c r="P176" s="876"/>
      <c r="Q176" s="876"/>
      <c r="R176" s="876"/>
      <c r="S176" s="876"/>
      <c r="T176" s="876"/>
      <c r="U176" s="868"/>
      <c r="V176" s="868"/>
      <c r="W176" s="868"/>
      <c r="X176" s="868"/>
      <c r="Y176" s="868"/>
      <c r="Z176" s="861"/>
      <c r="AA176" s="862"/>
      <c r="AB176" s="1632"/>
      <c r="AC176" s="1633"/>
      <c r="AD176" s="1634"/>
      <c r="AE176" s="1631" t="s">
        <v>1186</v>
      </c>
      <c r="AF176" s="1631"/>
      <c r="AG176" s="1631"/>
      <c r="AH176" s="1629">
        <f>SUMIF(unos!E:E,'bilans-stanja'!AE176,unos!F:F)</f>
        <v>0</v>
      </c>
      <c r="AI176" s="1629"/>
      <c r="AJ176" s="1629"/>
      <c r="AK176" s="1629"/>
      <c r="AL176" s="1629"/>
      <c r="AM176" s="1629"/>
      <c r="AN176" s="1629"/>
      <c r="AO176" s="1629"/>
      <c r="AP176" s="1629"/>
      <c r="AQ176" s="1629"/>
      <c r="AR176" s="1629">
        <f>SUMIF(unos!E:E,'bilans-stanja'!AE176,unos!C:C)</f>
        <v>0</v>
      </c>
      <c r="AS176" s="1629"/>
      <c r="AT176" s="1629"/>
      <c r="AU176" s="1629"/>
      <c r="AV176" s="1629"/>
      <c r="AW176" s="1629"/>
      <c r="AX176" s="1629"/>
      <c r="AY176" s="1629"/>
      <c r="AZ176" s="1629"/>
      <c r="BA176" s="1630"/>
    </row>
    <row r="177" spans="1:53" ht="15.75" customHeight="1">
      <c r="A177" s="1627"/>
      <c r="B177" s="1628"/>
      <c r="C177" s="1628"/>
      <c r="D177" s="1628"/>
      <c r="E177" s="875" t="s">
        <v>273</v>
      </c>
      <c r="F177" s="876"/>
      <c r="G177" s="876"/>
      <c r="H177" s="876"/>
      <c r="I177" s="876"/>
      <c r="J177" s="876"/>
      <c r="K177" s="876"/>
      <c r="L177" s="876"/>
      <c r="M177" s="876"/>
      <c r="N177" s="876"/>
      <c r="O177" s="876"/>
      <c r="P177" s="876"/>
      <c r="Q177" s="876"/>
      <c r="R177" s="876"/>
      <c r="S177" s="876"/>
      <c r="T177" s="876"/>
      <c r="U177" s="868"/>
      <c r="V177" s="868"/>
      <c r="W177" s="868"/>
      <c r="X177" s="868"/>
      <c r="Y177" s="868"/>
      <c r="Z177" s="861"/>
      <c r="AA177" s="862"/>
      <c r="AB177" s="1632"/>
      <c r="AC177" s="1633"/>
      <c r="AD177" s="1634"/>
      <c r="AE177" s="1631" t="s">
        <v>1187</v>
      </c>
      <c r="AF177" s="1631"/>
      <c r="AG177" s="1631"/>
      <c r="AH177" s="1629">
        <f>AH106+AH136+AH139+AH147+AH148+AH175+AH176</f>
        <v>0</v>
      </c>
      <c r="AI177" s="1629"/>
      <c r="AJ177" s="1629"/>
      <c r="AK177" s="1629"/>
      <c r="AL177" s="1629"/>
      <c r="AM177" s="1629"/>
      <c r="AN177" s="1629"/>
      <c r="AO177" s="1629"/>
      <c r="AP177" s="1629"/>
      <c r="AQ177" s="1629"/>
      <c r="AR177" s="1629">
        <f>AR106+AR136+AR139+AR147+AR148+AR175+AR176</f>
        <v>0</v>
      </c>
      <c r="AS177" s="1629"/>
      <c r="AT177" s="1629"/>
      <c r="AU177" s="1629"/>
      <c r="AV177" s="1629"/>
      <c r="AW177" s="1629"/>
      <c r="AX177" s="1629"/>
      <c r="AY177" s="1629"/>
      <c r="AZ177" s="1629"/>
      <c r="BA177" s="1630"/>
    </row>
    <row r="178" spans="1:53" ht="15.75" customHeight="1">
      <c r="A178" s="1627" t="s">
        <v>274</v>
      </c>
      <c r="B178" s="1628"/>
      <c r="C178" s="1628"/>
      <c r="D178" s="1628"/>
      <c r="E178" s="867" t="s">
        <v>275</v>
      </c>
      <c r="F178" s="868"/>
      <c r="G178" s="868"/>
      <c r="H178" s="868"/>
      <c r="I178" s="868"/>
      <c r="J178" s="868"/>
      <c r="K178" s="868"/>
      <c r="L178" s="868"/>
      <c r="M178" s="868"/>
      <c r="N178" s="868"/>
      <c r="O178" s="868"/>
      <c r="P178" s="868"/>
      <c r="Q178" s="868"/>
      <c r="R178" s="868"/>
      <c r="S178" s="868"/>
      <c r="T178" s="868"/>
      <c r="U178" s="868"/>
      <c r="V178" s="868"/>
      <c r="W178" s="868"/>
      <c r="X178" s="868"/>
      <c r="Y178" s="868"/>
      <c r="Z178" s="861"/>
      <c r="AA178" s="862"/>
      <c r="AB178" s="1632"/>
      <c r="AC178" s="1633"/>
      <c r="AD178" s="1634"/>
      <c r="AE178" s="1631" t="s">
        <v>1188</v>
      </c>
      <c r="AF178" s="1631"/>
      <c r="AG178" s="1631"/>
      <c r="AH178" s="1629">
        <f>SUMIF(unos!E:E,'bilans-stanja'!AE178,unos!F:F)</f>
        <v>0</v>
      </c>
      <c r="AI178" s="1629"/>
      <c r="AJ178" s="1629"/>
      <c r="AK178" s="1629"/>
      <c r="AL178" s="1629"/>
      <c r="AM178" s="1629"/>
      <c r="AN178" s="1629"/>
      <c r="AO178" s="1629"/>
      <c r="AP178" s="1629"/>
      <c r="AQ178" s="1629"/>
      <c r="AR178" s="1629">
        <f>SUMIF(unos!E:E,'bilans-stanja'!AE178,unos!C:C)</f>
        <v>0</v>
      </c>
      <c r="AS178" s="1629"/>
      <c r="AT178" s="1629"/>
      <c r="AU178" s="1629"/>
      <c r="AV178" s="1629"/>
      <c r="AW178" s="1629"/>
      <c r="AX178" s="1629"/>
      <c r="AY178" s="1629"/>
      <c r="AZ178" s="1629"/>
      <c r="BA178" s="1630"/>
    </row>
    <row r="179" spans="1:53" ht="15.75" customHeight="1" thickBot="1">
      <c r="A179" s="1650"/>
      <c r="B179" s="1651"/>
      <c r="C179" s="1651"/>
      <c r="D179" s="1651"/>
      <c r="E179" s="882" t="s">
        <v>276</v>
      </c>
      <c r="F179" s="883"/>
      <c r="G179" s="883"/>
      <c r="H179" s="883"/>
      <c r="I179" s="883"/>
      <c r="J179" s="883"/>
      <c r="K179" s="883"/>
      <c r="L179" s="883"/>
      <c r="M179" s="883"/>
      <c r="N179" s="883"/>
      <c r="O179" s="883"/>
      <c r="P179" s="883"/>
      <c r="Q179" s="883"/>
      <c r="R179" s="883"/>
      <c r="S179" s="883"/>
      <c r="T179" s="883"/>
      <c r="U179" s="883"/>
      <c r="V179" s="883"/>
      <c r="W179" s="883"/>
      <c r="X179" s="883"/>
      <c r="Y179" s="883"/>
      <c r="Z179" s="884"/>
      <c r="AA179" s="885"/>
      <c r="AB179" s="1653"/>
      <c r="AC179" s="1654"/>
      <c r="AD179" s="1655"/>
      <c r="AE179" s="1652" t="s">
        <v>1189</v>
      </c>
      <c r="AF179" s="1652"/>
      <c r="AG179" s="1652"/>
      <c r="AH179" s="1681">
        <f>AH177+AH178</f>
        <v>0</v>
      </c>
      <c r="AI179" s="1681"/>
      <c r="AJ179" s="1681"/>
      <c r="AK179" s="1681"/>
      <c r="AL179" s="1681"/>
      <c r="AM179" s="1681"/>
      <c r="AN179" s="1681"/>
      <c r="AO179" s="1681"/>
      <c r="AP179" s="1681"/>
      <c r="AQ179" s="1681"/>
      <c r="AR179" s="1681">
        <f>AR177+AR178</f>
        <v>0</v>
      </c>
      <c r="AS179" s="1681"/>
      <c r="AT179" s="1681"/>
      <c r="AU179" s="1681"/>
      <c r="AV179" s="1681"/>
      <c r="AW179" s="1681"/>
      <c r="AX179" s="1681"/>
      <c r="AY179" s="1681"/>
      <c r="AZ179" s="1681"/>
      <c r="BA179" s="1682"/>
    </row>
    <row r="180" spans="1:53" s="844" customFormat="1" ht="15.75" customHeight="1">
      <c r="A180" s="1637"/>
      <c r="B180" s="1637"/>
      <c r="C180" s="1637"/>
      <c r="D180" s="1637"/>
      <c r="E180" s="1678"/>
      <c r="F180" s="1678"/>
      <c r="G180" s="1678"/>
      <c r="H180" s="1678"/>
      <c r="I180" s="1678"/>
      <c r="J180" s="1678"/>
      <c r="K180" s="1678"/>
      <c r="L180" s="1678"/>
      <c r="M180" s="1678"/>
      <c r="N180" s="1678"/>
      <c r="O180" s="1678"/>
      <c r="P180" s="1678"/>
      <c r="Q180" s="1678"/>
      <c r="R180" s="1678"/>
      <c r="S180" s="1678"/>
      <c r="T180" s="1678"/>
      <c r="U180" s="1636"/>
      <c r="V180" s="1636"/>
      <c r="W180" s="1636"/>
      <c r="X180" s="1636"/>
      <c r="Y180" s="1636"/>
      <c r="Z180" s="1647"/>
      <c r="AA180" s="1647"/>
      <c r="AB180" s="1647"/>
      <c r="AC180" s="1647"/>
      <c r="AD180" s="1647"/>
      <c r="AE180" s="1647"/>
      <c r="AF180" s="1647"/>
      <c r="AG180" s="890"/>
      <c r="AH180" s="1731">
        <f>IF(AN100-AH179&lt;&gt;0,"GREŠKA",AN100-AH179)</f>
        <v>0</v>
      </c>
      <c r="AI180" s="1731"/>
      <c r="AJ180" s="1731"/>
      <c r="AK180" s="1731"/>
      <c r="AL180" s="1731"/>
      <c r="AM180" s="1731"/>
      <c r="AN180" s="1731"/>
      <c r="AO180" s="1731"/>
      <c r="AP180" s="1731"/>
      <c r="AQ180" s="1731"/>
      <c r="AR180" s="1730">
        <f>IF(AU100-AR179&lt;&gt;0,"GREŠKA",AU100-AR179)</f>
        <v>0</v>
      </c>
      <c r="AS180" s="1730"/>
      <c r="AT180" s="1730"/>
      <c r="AU180" s="1730"/>
      <c r="AV180" s="1730"/>
      <c r="AW180" s="1730"/>
      <c r="AX180" s="1730"/>
      <c r="AY180" s="1730"/>
      <c r="AZ180" s="1730"/>
      <c r="BA180" s="1730"/>
    </row>
    <row r="181" spans="1:53" s="844" customFormat="1" ht="15.75" customHeight="1">
      <c r="A181" s="1732" t="s">
        <v>2437</v>
      </c>
      <c r="B181" s="1732"/>
      <c r="C181" s="1732"/>
      <c r="D181" s="1732"/>
      <c r="E181" s="874"/>
      <c r="F181" s="874">
        <f>FirmaSjediste</f>
        <v>0</v>
      </c>
      <c r="G181" s="874"/>
      <c r="H181" s="874"/>
      <c r="I181" s="874"/>
      <c r="J181" s="874"/>
      <c r="K181" s="874"/>
      <c r="L181" s="874"/>
      <c r="M181" s="874"/>
      <c r="N181" s="874"/>
      <c r="O181" s="887"/>
      <c r="P181" s="887"/>
      <c r="Q181" s="887"/>
      <c r="R181" s="887" t="s">
        <v>2628</v>
      </c>
      <c r="S181" s="887"/>
      <c r="T181" s="887"/>
      <c r="U181" s="887"/>
      <c r="V181" s="887"/>
      <c r="W181" s="887"/>
      <c r="X181" s="887"/>
      <c r="Y181" s="887"/>
      <c r="Z181" s="888"/>
      <c r="AA181" s="888"/>
      <c r="AB181" s="888"/>
      <c r="AC181" s="888"/>
      <c r="AD181" s="888"/>
      <c r="AE181" s="888"/>
      <c r="AF181" s="888"/>
      <c r="AG181" s="888"/>
      <c r="AH181" s="888"/>
      <c r="AI181" s="888"/>
      <c r="AJ181" s="888"/>
      <c r="AK181" s="888"/>
      <c r="AL181" s="888"/>
      <c r="AM181" s="888"/>
      <c r="AN181" s="888"/>
      <c r="AO181" s="888"/>
      <c r="AP181" s="888"/>
      <c r="AQ181" s="888"/>
      <c r="AR181" s="888"/>
      <c r="AS181" s="888" t="s">
        <v>845</v>
      </c>
      <c r="AT181" s="888"/>
      <c r="AU181" s="888"/>
      <c r="AV181" s="888"/>
      <c r="AW181" s="888"/>
      <c r="AX181" s="888"/>
      <c r="AY181" s="888"/>
      <c r="AZ181" s="888"/>
      <c r="BA181" s="888"/>
    </row>
    <row r="182" spans="1:53" s="844" customFormat="1" ht="15.75" customHeight="1">
      <c r="A182" s="1729" t="s">
        <v>2224</v>
      </c>
      <c r="B182" s="1729"/>
      <c r="C182" s="1729"/>
      <c r="D182" s="1729"/>
      <c r="E182" s="868"/>
      <c r="F182" s="868" t="str">
        <f>ObracunPredaja</f>
        <v>28.2.2012.</v>
      </c>
      <c r="G182" s="868"/>
      <c r="H182" s="868"/>
      <c r="I182" s="868"/>
      <c r="J182" s="868"/>
      <c r="K182" s="868"/>
      <c r="L182" s="868"/>
      <c r="M182" s="868"/>
      <c r="N182" s="868"/>
      <c r="O182" s="887"/>
      <c r="P182" s="887"/>
      <c r="Q182" s="887"/>
      <c r="R182" s="887"/>
      <c r="S182" s="887"/>
      <c r="T182" s="887"/>
      <c r="U182" s="887"/>
      <c r="V182" s="887"/>
      <c r="W182" s="887"/>
      <c r="X182" s="887"/>
      <c r="Y182" s="887"/>
      <c r="Z182" s="888"/>
      <c r="AA182" s="888"/>
      <c r="AB182" s="888"/>
      <c r="AC182" s="888"/>
      <c r="AD182" s="888"/>
      <c r="AE182" s="888"/>
      <c r="AF182" s="888"/>
      <c r="AG182" s="888"/>
      <c r="AH182" s="888"/>
      <c r="AI182" s="888"/>
      <c r="AJ182" s="888"/>
      <c r="AK182" s="888"/>
      <c r="AL182" s="888"/>
      <c r="AM182" s="888"/>
      <c r="AN182" s="888"/>
      <c r="AO182" s="888"/>
      <c r="AP182" s="888"/>
      <c r="AQ182" s="888"/>
      <c r="AR182" s="888"/>
      <c r="AS182" s="888"/>
      <c r="AT182" s="888"/>
      <c r="AU182" s="888"/>
      <c r="AV182" s="888"/>
      <c r="AW182" s="888"/>
      <c r="AX182" s="888"/>
      <c r="AY182" s="888"/>
      <c r="AZ182" s="888"/>
      <c r="BA182" s="888"/>
    </row>
    <row r="183" spans="1:53" s="844" customFormat="1" ht="15.75" customHeight="1">
      <c r="A183" s="1637"/>
      <c r="B183" s="1637"/>
      <c r="C183" s="1637"/>
      <c r="D183" s="1637"/>
      <c r="E183" s="887"/>
      <c r="F183" s="887"/>
      <c r="G183" s="887"/>
      <c r="H183" s="887"/>
      <c r="I183" s="887"/>
      <c r="J183" s="887"/>
      <c r="K183" s="887"/>
      <c r="L183" s="887"/>
      <c r="M183" s="887"/>
      <c r="N183" s="887"/>
      <c r="O183" s="887"/>
      <c r="P183" s="887"/>
      <c r="Q183" s="887"/>
      <c r="R183" s="874"/>
      <c r="S183" s="874"/>
      <c r="T183" s="874"/>
      <c r="U183" s="874"/>
      <c r="V183" s="874"/>
      <c r="W183" s="874"/>
      <c r="X183" s="874"/>
      <c r="Y183" s="874"/>
      <c r="Z183" s="863"/>
      <c r="AA183" s="888"/>
      <c r="AB183" s="888"/>
      <c r="AC183" s="888"/>
      <c r="AD183" s="888"/>
      <c r="AE183" s="888"/>
      <c r="AF183" s="888"/>
      <c r="AG183" s="888"/>
      <c r="AH183" s="888"/>
      <c r="AI183" s="888"/>
      <c r="AJ183" s="888"/>
      <c r="AK183" s="888"/>
      <c r="AL183" s="888"/>
      <c r="AM183" s="888"/>
      <c r="AN183" s="888"/>
      <c r="AO183" s="888"/>
      <c r="AP183" s="888"/>
      <c r="AQ183" s="863"/>
      <c r="AR183" s="863"/>
      <c r="AS183" s="863"/>
      <c r="AT183" s="863"/>
      <c r="AU183" s="863"/>
      <c r="AV183" s="863"/>
      <c r="AW183" s="863"/>
      <c r="AX183" s="863"/>
      <c r="AY183" s="888"/>
      <c r="AZ183" s="888"/>
      <c r="BA183" s="888"/>
    </row>
    <row r="184" spans="1:53" s="844" customFormat="1" ht="15.75" customHeight="1">
      <c r="A184" s="1637"/>
      <c r="B184" s="1637"/>
      <c r="C184" s="1637"/>
      <c r="D184" s="1637"/>
      <c r="E184" s="887"/>
      <c r="F184" s="887"/>
      <c r="G184" s="887"/>
      <c r="H184" s="887"/>
      <c r="I184" s="887"/>
      <c r="J184" s="887"/>
      <c r="K184" s="887"/>
      <c r="L184" s="887"/>
      <c r="M184" s="887"/>
      <c r="N184" s="887"/>
      <c r="O184" s="887"/>
      <c r="P184" s="887"/>
      <c r="Q184" s="887"/>
      <c r="R184" s="887"/>
      <c r="S184" s="887"/>
      <c r="T184" s="887"/>
      <c r="U184" s="889">
        <f>RacunovodjaIme</f>
        <v>0</v>
      </c>
      <c r="V184" s="887"/>
      <c r="W184" s="887"/>
      <c r="X184" s="887"/>
      <c r="Y184" s="887"/>
      <c r="Z184" s="888"/>
      <c r="AA184" s="888"/>
      <c r="AB184" s="888"/>
      <c r="AC184" s="888"/>
      <c r="AD184" s="888"/>
      <c r="AE184" s="888"/>
      <c r="AF184" s="888"/>
      <c r="AG184" s="888"/>
      <c r="AH184" s="888"/>
      <c r="AI184" s="888"/>
      <c r="AJ184" s="888"/>
      <c r="AK184" s="888"/>
      <c r="AL184" s="888"/>
      <c r="AM184" s="888"/>
      <c r="AN184" s="888"/>
      <c r="AO184" s="888"/>
      <c r="AP184" s="888"/>
      <c r="AQ184" s="888"/>
      <c r="AR184" s="888"/>
      <c r="AS184" s="888"/>
      <c r="AT184" s="889">
        <f>FirmaDirekor</f>
        <v>0</v>
      </c>
      <c r="AU184" s="888"/>
      <c r="AV184" s="888"/>
      <c r="AW184" s="888"/>
      <c r="AX184" s="888"/>
      <c r="AY184" s="888"/>
      <c r="AZ184" s="888"/>
      <c r="BA184" s="888"/>
    </row>
    <row r="185" spans="1:53" s="844" customFormat="1" ht="15.75" customHeight="1">
      <c r="A185" s="1637"/>
      <c r="B185" s="1637"/>
      <c r="C185" s="1637"/>
      <c r="D185" s="1637"/>
      <c r="E185" s="887"/>
      <c r="F185" s="887"/>
      <c r="G185" s="887"/>
      <c r="H185" s="887"/>
      <c r="I185" s="887"/>
      <c r="J185" s="887"/>
      <c r="K185" s="887"/>
      <c r="L185" s="887"/>
      <c r="M185" s="887"/>
      <c r="N185" s="887"/>
      <c r="O185" s="887"/>
      <c r="P185" s="887"/>
      <c r="Q185" s="887"/>
      <c r="R185" s="887" t="s">
        <v>844</v>
      </c>
      <c r="S185" s="887"/>
      <c r="T185" s="887"/>
      <c r="U185" s="887"/>
      <c r="V185" s="1728">
        <f>RacunovodjaLicenca</f>
        <v>0</v>
      </c>
      <c r="W185" s="1728"/>
      <c r="X185" s="1728"/>
      <c r="Y185" s="1728"/>
      <c r="Z185" s="1728"/>
      <c r="AA185" s="888"/>
      <c r="AB185" s="888"/>
      <c r="AC185" s="888"/>
      <c r="AD185" s="888"/>
      <c r="AE185" s="888"/>
      <c r="AF185" s="888"/>
      <c r="AG185" s="888"/>
      <c r="AH185" s="888"/>
      <c r="AI185" s="888"/>
      <c r="AJ185" s="888"/>
      <c r="AK185" s="888"/>
      <c r="AL185" s="888"/>
      <c r="AM185" s="888"/>
      <c r="AN185" s="888"/>
      <c r="AO185" s="888"/>
      <c r="AP185" s="888"/>
      <c r="AQ185" s="888"/>
      <c r="AR185" s="888"/>
      <c r="AS185" s="888"/>
      <c r="AT185" s="888"/>
      <c r="AU185" s="888"/>
      <c r="AV185" s="888"/>
      <c r="AW185" s="888"/>
      <c r="AX185" s="888"/>
      <c r="AY185" s="888"/>
      <c r="AZ185" s="888"/>
      <c r="BA185" s="888"/>
    </row>
    <row r="186" spans="1:53" s="844" customFormat="1" ht="15.75" customHeight="1">
      <c r="A186" s="1637"/>
      <c r="B186" s="1637"/>
      <c r="C186" s="1637"/>
      <c r="D186" s="1637"/>
      <c r="E186" s="887"/>
      <c r="F186" s="887"/>
      <c r="G186" s="887"/>
      <c r="H186" s="887"/>
      <c r="I186" s="887"/>
      <c r="J186" s="887"/>
      <c r="K186" s="887"/>
      <c r="L186" s="887"/>
      <c r="M186" s="887"/>
      <c r="N186" s="887"/>
      <c r="O186" s="887"/>
      <c r="P186" s="887"/>
      <c r="Q186" s="887"/>
      <c r="R186" s="887"/>
      <c r="S186" s="887"/>
      <c r="T186" s="887"/>
      <c r="U186" s="887"/>
      <c r="V186" s="887"/>
      <c r="W186" s="887"/>
      <c r="X186" s="887"/>
      <c r="Y186" s="887"/>
      <c r="Z186" s="888"/>
      <c r="AA186" s="888"/>
      <c r="AB186" s="888"/>
      <c r="AC186" s="888"/>
      <c r="AD186" s="888"/>
      <c r="AE186" s="888"/>
      <c r="AF186" s="888"/>
      <c r="AG186" s="888"/>
      <c r="AH186" s="888"/>
      <c r="AI186" s="888"/>
      <c r="AJ186" s="888"/>
      <c r="AK186" s="888"/>
      <c r="AL186" s="888"/>
      <c r="AM186" s="888"/>
      <c r="AN186" s="888"/>
      <c r="AO186" s="888"/>
      <c r="AP186" s="888"/>
      <c r="AQ186" s="888"/>
      <c r="AR186" s="888"/>
      <c r="AS186" s="888"/>
      <c r="AT186" s="888"/>
      <c r="AU186" s="888"/>
      <c r="AV186" s="888"/>
      <c r="AW186" s="888"/>
      <c r="AX186" s="888"/>
      <c r="AY186" s="888"/>
      <c r="AZ186" s="888"/>
      <c r="BA186" s="893"/>
    </row>
    <row r="197" spans="53:53" ht="15.75" customHeight="1">
      <c r="BA197" s="332" t="s">
        <v>922</v>
      </c>
    </row>
  </sheetData>
  <mergeCells count="1001">
    <mergeCell ref="A186:D186"/>
    <mergeCell ref="V185:Z185"/>
    <mergeCell ref="A185:D185"/>
    <mergeCell ref="A184:D184"/>
    <mergeCell ref="A183:D183"/>
    <mergeCell ref="A182:D182"/>
    <mergeCell ref="AR180:BA180"/>
    <mergeCell ref="AH180:AQ180"/>
    <mergeCell ref="A181:D181"/>
    <mergeCell ref="Z180:AF180"/>
    <mergeCell ref="A180:D180"/>
    <mergeCell ref="E180:T180"/>
    <mergeCell ref="U180:V180"/>
    <mergeCell ref="W180:Y180"/>
    <mergeCell ref="A177:D177"/>
    <mergeCell ref="AH176:AQ176"/>
    <mergeCell ref="AR176:BA176"/>
    <mergeCell ref="AE176:AG176"/>
    <mergeCell ref="AB176:AD176"/>
    <mergeCell ref="A176:D176"/>
    <mergeCell ref="AH177:AQ177"/>
    <mergeCell ref="AR177:BA177"/>
    <mergeCell ref="AE177:AG177"/>
    <mergeCell ref="AB177:AD177"/>
    <mergeCell ref="A179:D179"/>
    <mergeCell ref="AH178:AQ178"/>
    <mergeCell ref="AR178:BA178"/>
    <mergeCell ref="AE178:AG178"/>
    <mergeCell ref="AB178:AD178"/>
    <mergeCell ref="A178:D178"/>
    <mergeCell ref="AH179:AQ179"/>
    <mergeCell ref="AR179:BA179"/>
    <mergeCell ref="AE179:AG179"/>
    <mergeCell ref="AB179:AD179"/>
    <mergeCell ref="A173:D173"/>
    <mergeCell ref="AH172:AQ172"/>
    <mergeCell ref="AR172:BA172"/>
    <mergeCell ref="AE172:AG172"/>
    <mergeCell ref="AB172:AD172"/>
    <mergeCell ref="A172:D172"/>
    <mergeCell ref="AH173:AQ173"/>
    <mergeCell ref="AR173:BA173"/>
    <mergeCell ref="AE173:AG173"/>
    <mergeCell ref="AB173:AD173"/>
    <mergeCell ref="A175:D175"/>
    <mergeCell ref="AH174:AQ174"/>
    <mergeCell ref="AR174:BA174"/>
    <mergeCell ref="AE174:AG174"/>
    <mergeCell ref="AB174:AD174"/>
    <mergeCell ref="A174:D174"/>
    <mergeCell ref="AH175:AQ175"/>
    <mergeCell ref="AR175:BA175"/>
    <mergeCell ref="AE175:AG175"/>
    <mergeCell ref="AB175:AD175"/>
    <mergeCell ref="A169:D169"/>
    <mergeCell ref="AH168:AQ168"/>
    <mergeCell ref="AR168:BA168"/>
    <mergeCell ref="AE168:AG168"/>
    <mergeCell ref="AB168:AD168"/>
    <mergeCell ref="A168:D168"/>
    <mergeCell ref="AH169:AQ169"/>
    <mergeCell ref="AR169:BA169"/>
    <mergeCell ref="AE169:AG169"/>
    <mergeCell ref="AB169:AD169"/>
    <mergeCell ref="A171:D171"/>
    <mergeCell ref="AH170:AQ170"/>
    <mergeCell ref="AR170:BA170"/>
    <mergeCell ref="AE170:AG170"/>
    <mergeCell ref="AB170:AD170"/>
    <mergeCell ref="A170:D170"/>
    <mergeCell ref="AH171:AQ171"/>
    <mergeCell ref="AR171:BA171"/>
    <mergeCell ref="AE171:AG171"/>
    <mergeCell ref="AB171:AD171"/>
    <mergeCell ref="AB167:AD167"/>
    <mergeCell ref="AR163:BA163"/>
    <mergeCell ref="AE163:AG163"/>
    <mergeCell ref="AB163:AD163"/>
    <mergeCell ref="A165:D165"/>
    <mergeCell ref="AH164:AQ164"/>
    <mergeCell ref="AR164:BA164"/>
    <mergeCell ref="AE164:AG164"/>
    <mergeCell ref="AB164:AD164"/>
    <mergeCell ref="A164:D164"/>
    <mergeCell ref="A167:D167"/>
    <mergeCell ref="AH166:AQ166"/>
    <mergeCell ref="AR166:BA166"/>
    <mergeCell ref="AE166:AG166"/>
    <mergeCell ref="AB166:AD166"/>
    <mergeCell ref="A166:D166"/>
    <mergeCell ref="AH167:AQ167"/>
    <mergeCell ref="E167:AA167"/>
    <mergeCell ref="AR167:BA167"/>
    <mergeCell ref="AE167:AG167"/>
    <mergeCell ref="A162:D162"/>
    <mergeCell ref="E162:T162"/>
    <mergeCell ref="Z160:AF160"/>
    <mergeCell ref="AG160:AM160"/>
    <mergeCell ref="AN160:AT160"/>
    <mergeCell ref="AU160:BA160"/>
    <mergeCell ref="A160:D160"/>
    <mergeCell ref="E160:T160"/>
    <mergeCell ref="U160:V160"/>
    <mergeCell ref="W160:Y160"/>
    <mergeCell ref="AH165:AQ165"/>
    <mergeCell ref="AR165:BA165"/>
    <mergeCell ref="AE165:AG165"/>
    <mergeCell ref="AB165:AD165"/>
    <mergeCell ref="A163:D163"/>
    <mergeCell ref="AB162:AD162"/>
    <mergeCell ref="AE162:AG162"/>
    <mergeCell ref="AH162:AQ162"/>
    <mergeCell ref="AH163:AQ163"/>
    <mergeCell ref="AR162:BA162"/>
    <mergeCell ref="A157:D157"/>
    <mergeCell ref="AH156:AQ156"/>
    <mergeCell ref="AR156:BA156"/>
    <mergeCell ref="AE156:AG156"/>
    <mergeCell ref="AB156:AD156"/>
    <mergeCell ref="A156:D156"/>
    <mergeCell ref="AH157:AQ157"/>
    <mergeCell ref="AR157:BA157"/>
    <mergeCell ref="AE157:AG157"/>
    <mergeCell ref="AB157:AD157"/>
    <mergeCell ref="A159:D159"/>
    <mergeCell ref="AH158:AQ158"/>
    <mergeCell ref="AR158:BA158"/>
    <mergeCell ref="AE158:AG158"/>
    <mergeCell ref="AB158:AD158"/>
    <mergeCell ref="A158:D158"/>
    <mergeCell ref="AB159:AD159"/>
    <mergeCell ref="AE159:AG159"/>
    <mergeCell ref="AH159:AQ159"/>
    <mergeCell ref="AR159:BA159"/>
    <mergeCell ref="AH153:AQ153"/>
    <mergeCell ref="AR153:BA153"/>
    <mergeCell ref="AE153:AG153"/>
    <mergeCell ref="AB153:AD153"/>
    <mergeCell ref="A153:D153"/>
    <mergeCell ref="A2:W2"/>
    <mergeCell ref="A3:W3"/>
    <mergeCell ref="A4:W4"/>
    <mergeCell ref="A5:W5"/>
    <mergeCell ref="A6:W6"/>
    <mergeCell ref="A7:W7"/>
    <mergeCell ref="A13:P13"/>
    <mergeCell ref="S13:AH13"/>
    <mergeCell ref="AG24:AM24"/>
    <mergeCell ref="A155:D155"/>
    <mergeCell ref="AH154:AQ154"/>
    <mergeCell ref="AB102:AD103"/>
    <mergeCell ref="AB104:AD104"/>
    <mergeCell ref="AB105:AD105"/>
    <mergeCell ref="AB106:AD106"/>
    <mergeCell ref="AR154:BA154"/>
    <mergeCell ref="AE154:AG154"/>
    <mergeCell ref="AB154:AD154"/>
    <mergeCell ref="A154:D154"/>
    <mergeCell ref="AH155:AQ155"/>
    <mergeCell ref="AR155:BA155"/>
    <mergeCell ref="AE155:AG155"/>
    <mergeCell ref="AB155:AD155"/>
    <mergeCell ref="A90:D90"/>
    <mergeCell ref="E90:T90"/>
    <mergeCell ref="U90:V90"/>
    <mergeCell ref="W90:Y90"/>
    <mergeCell ref="Z90:AF90"/>
    <mergeCell ref="AG90:AM90"/>
    <mergeCell ref="AK13:AZ13"/>
    <mergeCell ref="A19:BA19"/>
    <mergeCell ref="X20:AD20"/>
    <mergeCell ref="A91:D91"/>
    <mergeCell ref="E91:T91"/>
    <mergeCell ref="U91:V91"/>
    <mergeCell ref="W91:Y91"/>
    <mergeCell ref="Z91:AF91"/>
    <mergeCell ref="AG89:AM89"/>
    <mergeCell ref="AN89:AT89"/>
    <mergeCell ref="AG91:AM91"/>
    <mergeCell ref="AN91:AT91"/>
    <mergeCell ref="AN17:BA18"/>
    <mergeCell ref="T17:AG18"/>
    <mergeCell ref="A14:P14"/>
    <mergeCell ref="S14:AH14"/>
    <mergeCell ref="AK14:AZ14"/>
    <mergeCell ref="AN90:AT90"/>
    <mergeCell ref="AU90:BA90"/>
    <mergeCell ref="AU91:BA91"/>
    <mergeCell ref="AN82:AT82"/>
    <mergeCell ref="AU82:BA82"/>
    <mergeCell ref="AG28:AM28"/>
    <mergeCell ref="AN28:AT28"/>
    <mergeCell ref="AU24:BA24"/>
    <mergeCell ref="A88:D88"/>
    <mergeCell ref="E88:T88"/>
    <mergeCell ref="U88:V88"/>
    <mergeCell ref="W88:Y88"/>
    <mergeCell ref="Z88:AF88"/>
    <mergeCell ref="AG88:AM88"/>
    <mergeCell ref="AN88:AT88"/>
    <mergeCell ref="AU88:BA88"/>
    <mergeCell ref="Z24:AF24"/>
    <mergeCell ref="AN24:AT24"/>
    <mergeCell ref="A89:D89"/>
    <mergeCell ref="E89:T89"/>
    <mergeCell ref="U89:V89"/>
    <mergeCell ref="W89:Y89"/>
    <mergeCell ref="Z89:AF89"/>
    <mergeCell ref="AU89:BA89"/>
    <mergeCell ref="AU22:BA23"/>
    <mergeCell ref="AN23:AT23"/>
    <mergeCell ref="AG23:AM23"/>
    <mergeCell ref="Z23:AF23"/>
    <mergeCell ref="Z22:AT22"/>
    <mergeCell ref="W22:Y23"/>
    <mergeCell ref="AN26:AT26"/>
    <mergeCell ref="AU26:BA26"/>
    <mergeCell ref="Z27:AF27"/>
    <mergeCell ref="AG27:AM27"/>
    <mergeCell ref="AN27:AT27"/>
    <mergeCell ref="AU27:BA27"/>
    <mergeCell ref="A82:D82"/>
    <mergeCell ref="E82:T82"/>
    <mergeCell ref="U82:V82"/>
    <mergeCell ref="W82:Y82"/>
    <mergeCell ref="Z82:AF82"/>
    <mergeCell ref="AG82:AM82"/>
    <mergeCell ref="A22:D23"/>
    <mergeCell ref="A24:D24"/>
    <mergeCell ref="A25:D25"/>
    <mergeCell ref="U22:V23"/>
    <mergeCell ref="E22:T23"/>
    <mergeCell ref="E24:T24"/>
    <mergeCell ref="E25:T25"/>
    <mergeCell ref="U25:V25"/>
    <mergeCell ref="U24:V24"/>
    <mergeCell ref="AU25:BA25"/>
    <mergeCell ref="AG25:AM25"/>
    <mergeCell ref="AN25:AT25"/>
    <mergeCell ref="A26:D26"/>
    <mergeCell ref="E26:T26"/>
    <mergeCell ref="AU28:BA28"/>
    <mergeCell ref="A29:D29"/>
    <mergeCell ref="E29:T29"/>
    <mergeCell ref="U29:V29"/>
    <mergeCell ref="W29:Y29"/>
    <mergeCell ref="Z29:AF29"/>
    <mergeCell ref="AG29:AM29"/>
    <mergeCell ref="AN29:AT29"/>
    <mergeCell ref="AU29:BA29"/>
    <mergeCell ref="Z28:AF28"/>
    <mergeCell ref="W24:Y24"/>
    <mergeCell ref="W25:Y25"/>
    <mergeCell ref="A28:D28"/>
    <mergeCell ref="E28:T28"/>
    <mergeCell ref="U28:V28"/>
    <mergeCell ref="W28:Y28"/>
    <mergeCell ref="A27:D27"/>
    <mergeCell ref="E27:T27"/>
    <mergeCell ref="U27:V27"/>
    <mergeCell ref="W27:Y27"/>
    <mergeCell ref="U26:V26"/>
    <mergeCell ref="W26:Y26"/>
    <mergeCell ref="Z25:AF25"/>
    <mergeCell ref="Z26:AF26"/>
    <mergeCell ref="AG26:AM26"/>
    <mergeCell ref="AN32:AT32"/>
    <mergeCell ref="AU32:BA32"/>
    <mergeCell ref="A33:D33"/>
    <mergeCell ref="E33:T33"/>
    <mergeCell ref="U33:V33"/>
    <mergeCell ref="W33:Y33"/>
    <mergeCell ref="Z33:AF33"/>
    <mergeCell ref="AG33:AM33"/>
    <mergeCell ref="AN33:AT33"/>
    <mergeCell ref="AU33:BA33"/>
    <mergeCell ref="A32:D32"/>
    <mergeCell ref="E32:T32"/>
    <mergeCell ref="U32:V32"/>
    <mergeCell ref="W32:Y32"/>
    <mergeCell ref="Z32:AF32"/>
    <mergeCell ref="AG32:AM32"/>
    <mergeCell ref="AN30:AT30"/>
    <mergeCell ref="AU30:BA30"/>
    <mergeCell ref="Z31:AF31"/>
    <mergeCell ref="AG31:AM31"/>
    <mergeCell ref="AN31:AT31"/>
    <mergeCell ref="AU31:BA31"/>
    <mergeCell ref="Z30:AF30"/>
    <mergeCell ref="AG30:AM30"/>
    <mergeCell ref="A31:D31"/>
    <mergeCell ref="E31:T31"/>
    <mergeCell ref="U31:V31"/>
    <mergeCell ref="W31:Y31"/>
    <mergeCell ref="A30:D30"/>
    <mergeCell ref="E30:T30"/>
    <mergeCell ref="U30:V30"/>
    <mergeCell ref="W30:Y30"/>
    <mergeCell ref="AN36:AT36"/>
    <mergeCell ref="AU36:BA36"/>
    <mergeCell ref="A37:D37"/>
    <mergeCell ref="E37:T37"/>
    <mergeCell ref="U37:V37"/>
    <mergeCell ref="W37:Y37"/>
    <mergeCell ref="Z37:AF37"/>
    <mergeCell ref="AG37:AM37"/>
    <mergeCell ref="AN37:AT37"/>
    <mergeCell ref="AU37:BA37"/>
    <mergeCell ref="A36:D36"/>
    <mergeCell ref="E36:T36"/>
    <mergeCell ref="U36:V36"/>
    <mergeCell ref="W36:Y36"/>
    <mergeCell ref="Z36:AF36"/>
    <mergeCell ref="AG36:AM36"/>
    <mergeCell ref="AN34:AT34"/>
    <mergeCell ref="AU34:BA34"/>
    <mergeCell ref="Z35:AF35"/>
    <mergeCell ref="AG35:AM35"/>
    <mergeCell ref="AN35:AT35"/>
    <mergeCell ref="AU35:BA35"/>
    <mergeCell ref="Z34:AF34"/>
    <mergeCell ref="AG34:AM34"/>
    <mergeCell ref="A35:D35"/>
    <mergeCell ref="E35:T35"/>
    <mergeCell ref="U35:V35"/>
    <mergeCell ref="W35:Y35"/>
    <mergeCell ref="A34:D34"/>
    <mergeCell ref="E34:T34"/>
    <mergeCell ref="U34:V34"/>
    <mergeCell ref="W34:Y34"/>
    <mergeCell ref="AN43:AT43"/>
    <mergeCell ref="AU43:BA43"/>
    <mergeCell ref="A44:D44"/>
    <mergeCell ref="E44:T44"/>
    <mergeCell ref="U44:V44"/>
    <mergeCell ref="W44:Y44"/>
    <mergeCell ref="Z44:AF44"/>
    <mergeCell ref="AG44:AM44"/>
    <mergeCell ref="AN44:AT44"/>
    <mergeCell ref="AU44:BA44"/>
    <mergeCell ref="A43:D43"/>
    <mergeCell ref="E43:T43"/>
    <mergeCell ref="U43:V43"/>
    <mergeCell ref="W43:Y43"/>
    <mergeCell ref="Z43:AF43"/>
    <mergeCell ref="AG43:AM43"/>
    <mergeCell ref="AN38:AT38"/>
    <mergeCell ref="AU38:BA38"/>
    <mergeCell ref="Z42:AF42"/>
    <mergeCell ref="AG42:AM42"/>
    <mergeCell ref="AN42:AT42"/>
    <mergeCell ref="AU42:BA42"/>
    <mergeCell ref="Z38:AF38"/>
    <mergeCell ref="AG38:AM38"/>
    <mergeCell ref="A42:D42"/>
    <mergeCell ref="E42:T42"/>
    <mergeCell ref="U42:V42"/>
    <mergeCell ref="W42:Y42"/>
    <mergeCell ref="A38:D38"/>
    <mergeCell ref="E38:T38"/>
    <mergeCell ref="U38:V38"/>
    <mergeCell ref="W38:Y38"/>
    <mergeCell ref="AN47:AT47"/>
    <mergeCell ref="AU47:BA47"/>
    <mergeCell ref="A48:D48"/>
    <mergeCell ref="E48:T48"/>
    <mergeCell ref="U48:V48"/>
    <mergeCell ref="W48:Y48"/>
    <mergeCell ref="Z48:AF48"/>
    <mergeCell ref="AG48:AM48"/>
    <mergeCell ref="AN48:AT48"/>
    <mergeCell ref="AU48:BA48"/>
    <mergeCell ref="A47:D47"/>
    <mergeCell ref="E47:T47"/>
    <mergeCell ref="U47:V47"/>
    <mergeCell ref="W47:Y47"/>
    <mergeCell ref="Z47:AF47"/>
    <mergeCell ref="AG47:AM47"/>
    <mergeCell ref="AN45:AT45"/>
    <mergeCell ref="AU45:BA45"/>
    <mergeCell ref="Z46:AF46"/>
    <mergeCell ref="AG46:AM46"/>
    <mergeCell ref="AN46:AT46"/>
    <mergeCell ref="AU46:BA46"/>
    <mergeCell ref="Z45:AF45"/>
    <mergeCell ref="AG45:AM45"/>
    <mergeCell ref="A46:D46"/>
    <mergeCell ref="E46:T46"/>
    <mergeCell ref="U46:V46"/>
    <mergeCell ref="W46:Y46"/>
    <mergeCell ref="A45:D45"/>
    <mergeCell ref="E45:T45"/>
    <mergeCell ref="U45:V45"/>
    <mergeCell ref="W45:Y45"/>
    <mergeCell ref="AN51:AT51"/>
    <mergeCell ref="AU51:BA51"/>
    <mergeCell ref="A52:D52"/>
    <mergeCell ref="E52:T52"/>
    <mergeCell ref="U52:V52"/>
    <mergeCell ref="W52:Y52"/>
    <mergeCell ref="Z52:AF52"/>
    <mergeCell ref="AG52:AM52"/>
    <mergeCell ref="AN52:AT52"/>
    <mergeCell ref="AU52:BA52"/>
    <mergeCell ref="A51:D51"/>
    <mergeCell ref="E51:T51"/>
    <mergeCell ref="U51:V51"/>
    <mergeCell ref="W51:Y51"/>
    <mergeCell ref="Z51:AF51"/>
    <mergeCell ref="AG51:AM51"/>
    <mergeCell ref="AN49:AT49"/>
    <mergeCell ref="AU49:BA49"/>
    <mergeCell ref="Z50:AF50"/>
    <mergeCell ref="AG50:AM50"/>
    <mergeCell ref="AN50:AT50"/>
    <mergeCell ref="AU50:BA50"/>
    <mergeCell ref="Z49:AF49"/>
    <mergeCell ref="AG49:AM49"/>
    <mergeCell ref="A50:D50"/>
    <mergeCell ref="E50:T50"/>
    <mergeCell ref="U50:V50"/>
    <mergeCell ref="W50:Y50"/>
    <mergeCell ref="A49:D49"/>
    <mergeCell ref="E49:T49"/>
    <mergeCell ref="U49:V49"/>
    <mergeCell ref="W49:Y49"/>
    <mergeCell ref="AN55:AT55"/>
    <mergeCell ref="AU55:BA55"/>
    <mergeCell ref="A56:D56"/>
    <mergeCell ref="E56:T56"/>
    <mergeCell ref="U56:V56"/>
    <mergeCell ref="W56:Y56"/>
    <mergeCell ref="Z56:AF56"/>
    <mergeCell ref="AG56:AM56"/>
    <mergeCell ref="AN56:AT56"/>
    <mergeCell ref="AU56:BA56"/>
    <mergeCell ref="A55:D55"/>
    <mergeCell ref="E55:T55"/>
    <mergeCell ref="U55:V55"/>
    <mergeCell ref="W55:Y55"/>
    <mergeCell ref="Z55:AF55"/>
    <mergeCell ref="AG55:AM55"/>
    <mergeCell ref="AN53:AT53"/>
    <mergeCell ref="AU53:BA53"/>
    <mergeCell ref="Z54:AF54"/>
    <mergeCell ref="AG54:AM54"/>
    <mergeCell ref="AN54:AT54"/>
    <mergeCell ref="AU54:BA54"/>
    <mergeCell ref="Z53:AF53"/>
    <mergeCell ref="AG53:AM53"/>
    <mergeCell ref="A54:D54"/>
    <mergeCell ref="E54:T54"/>
    <mergeCell ref="U54:V54"/>
    <mergeCell ref="W54:Y54"/>
    <mergeCell ref="A53:D53"/>
    <mergeCell ref="E53:T53"/>
    <mergeCell ref="U53:V53"/>
    <mergeCell ref="W53:Y53"/>
    <mergeCell ref="AN59:AT59"/>
    <mergeCell ref="AU59:BA59"/>
    <mergeCell ref="A60:D60"/>
    <mergeCell ref="E60:T60"/>
    <mergeCell ref="U60:V60"/>
    <mergeCell ref="W60:Y60"/>
    <mergeCell ref="Z60:AF60"/>
    <mergeCell ref="AG60:AM60"/>
    <mergeCell ref="AN60:AT60"/>
    <mergeCell ref="AU60:BA60"/>
    <mergeCell ref="A59:D59"/>
    <mergeCell ref="E59:T59"/>
    <mergeCell ref="U59:V59"/>
    <mergeCell ref="W59:Y59"/>
    <mergeCell ref="Z59:AF59"/>
    <mergeCell ref="AG59:AM59"/>
    <mergeCell ref="AN57:AT57"/>
    <mergeCell ref="AU57:BA57"/>
    <mergeCell ref="Z58:AF58"/>
    <mergeCell ref="AG58:AM58"/>
    <mergeCell ref="AN58:AT58"/>
    <mergeCell ref="AU58:BA58"/>
    <mergeCell ref="Z57:AF57"/>
    <mergeCell ref="AG57:AM57"/>
    <mergeCell ref="A58:D58"/>
    <mergeCell ref="E58:T58"/>
    <mergeCell ref="U58:V58"/>
    <mergeCell ref="W58:Y58"/>
    <mergeCell ref="A57:D57"/>
    <mergeCell ref="E57:T57"/>
    <mergeCell ref="U57:V57"/>
    <mergeCell ref="W57:Y57"/>
    <mergeCell ref="AN63:AT63"/>
    <mergeCell ref="AU63:BA63"/>
    <mergeCell ref="A64:D64"/>
    <mergeCell ref="E64:T64"/>
    <mergeCell ref="U64:V64"/>
    <mergeCell ref="W64:Y64"/>
    <mergeCell ref="Z64:AF64"/>
    <mergeCell ref="AG64:AM64"/>
    <mergeCell ref="AN64:AT64"/>
    <mergeCell ref="AU64:BA64"/>
    <mergeCell ref="A63:D63"/>
    <mergeCell ref="E63:T63"/>
    <mergeCell ref="U63:V63"/>
    <mergeCell ref="W63:Y63"/>
    <mergeCell ref="Z63:AF63"/>
    <mergeCell ref="AG63:AM63"/>
    <mergeCell ref="AN61:AT61"/>
    <mergeCell ref="AU61:BA61"/>
    <mergeCell ref="Z62:AF62"/>
    <mergeCell ref="AG62:AM62"/>
    <mergeCell ref="AN62:AT62"/>
    <mergeCell ref="AU62:BA62"/>
    <mergeCell ref="Z61:AF61"/>
    <mergeCell ref="AG61:AM61"/>
    <mergeCell ref="A62:D62"/>
    <mergeCell ref="E62:T62"/>
    <mergeCell ref="U62:V62"/>
    <mergeCell ref="W62:Y62"/>
    <mergeCell ref="A61:D61"/>
    <mergeCell ref="E61:T61"/>
    <mergeCell ref="U61:V61"/>
    <mergeCell ref="W61:Y61"/>
    <mergeCell ref="AN67:AT67"/>
    <mergeCell ref="AU67:BA67"/>
    <mergeCell ref="A68:D68"/>
    <mergeCell ref="E68:T68"/>
    <mergeCell ref="U68:V68"/>
    <mergeCell ref="W68:Y68"/>
    <mergeCell ref="Z68:AF68"/>
    <mergeCell ref="AG68:AM68"/>
    <mergeCell ref="AN68:AT68"/>
    <mergeCell ref="AU68:BA68"/>
    <mergeCell ref="A67:D67"/>
    <mergeCell ref="E67:T67"/>
    <mergeCell ref="U67:V67"/>
    <mergeCell ref="W67:Y67"/>
    <mergeCell ref="Z67:AF67"/>
    <mergeCell ref="AG67:AM67"/>
    <mergeCell ref="AN65:AT65"/>
    <mergeCell ref="AU65:BA65"/>
    <mergeCell ref="Z66:AF66"/>
    <mergeCell ref="AG66:AM66"/>
    <mergeCell ref="AN66:AT66"/>
    <mergeCell ref="AU66:BA66"/>
    <mergeCell ref="Z65:AF65"/>
    <mergeCell ref="AG65:AM65"/>
    <mergeCell ref="A66:D66"/>
    <mergeCell ref="E66:T66"/>
    <mergeCell ref="U66:V66"/>
    <mergeCell ref="W66:Y66"/>
    <mergeCell ref="A65:D65"/>
    <mergeCell ref="E65:T65"/>
    <mergeCell ref="U65:V65"/>
    <mergeCell ref="W65:Y65"/>
    <mergeCell ref="AN71:AT71"/>
    <mergeCell ref="AU71:BA71"/>
    <mergeCell ref="A72:D72"/>
    <mergeCell ref="E72:T72"/>
    <mergeCell ref="U72:V72"/>
    <mergeCell ref="W72:Y72"/>
    <mergeCell ref="Z72:AF72"/>
    <mergeCell ref="AG72:AM72"/>
    <mergeCell ref="AN72:AT72"/>
    <mergeCell ref="AU72:BA72"/>
    <mergeCell ref="A71:D71"/>
    <mergeCell ref="E71:T71"/>
    <mergeCell ref="U71:V71"/>
    <mergeCell ref="W71:Y71"/>
    <mergeCell ref="Z71:AF71"/>
    <mergeCell ref="AG71:AM71"/>
    <mergeCell ref="AN69:AT69"/>
    <mergeCell ref="AU69:BA69"/>
    <mergeCell ref="Z70:AF70"/>
    <mergeCell ref="AG70:AM70"/>
    <mergeCell ref="AN70:AT70"/>
    <mergeCell ref="AU70:BA70"/>
    <mergeCell ref="Z69:AF69"/>
    <mergeCell ref="AG69:AM69"/>
    <mergeCell ref="A70:D70"/>
    <mergeCell ref="E70:T70"/>
    <mergeCell ref="U70:V70"/>
    <mergeCell ref="W70:Y70"/>
    <mergeCell ref="A69:D69"/>
    <mergeCell ref="E69:T69"/>
    <mergeCell ref="U69:V69"/>
    <mergeCell ref="W69:Y69"/>
    <mergeCell ref="AN75:AT75"/>
    <mergeCell ref="AU75:BA75"/>
    <mergeCell ref="A76:D76"/>
    <mergeCell ref="E76:T76"/>
    <mergeCell ref="U76:V76"/>
    <mergeCell ref="W76:Y76"/>
    <mergeCell ref="Z76:AF76"/>
    <mergeCell ref="AG76:AM76"/>
    <mergeCell ref="AN76:AT76"/>
    <mergeCell ref="AU76:BA76"/>
    <mergeCell ref="A75:D75"/>
    <mergeCell ref="E75:T75"/>
    <mergeCell ref="U75:V75"/>
    <mergeCell ref="W75:Y75"/>
    <mergeCell ref="Z75:AF75"/>
    <mergeCell ref="AG75:AM75"/>
    <mergeCell ref="AN73:AT73"/>
    <mergeCell ref="AU73:BA73"/>
    <mergeCell ref="Z74:AF74"/>
    <mergeCell ref="AG74:AM74"/>
    <mergeCell ref="AN74:AT74"/>
    <mergeCell ref="AU74:BA74"/>
    <mergeCell ref="Z73:AF73"/>
    <mergeCell ref="AG73:AM73"/>
    <mergeCell ref="A74:D74"/>
    <mergeCell ref="E74:T74"/>
    <mergeCell ref="U74:V74"/>
    <mergeCell ref="W74:Y74"/>
    <mergeCell ref="A73:D73"/>
    <mergeCell ref="E73:T73"/>
    <mergeCell ref="U73:V73"/>
    <mergeCell ref="W73:Y73"/>
    <mergeCell ref="AN83:AT83"/>
    <mergeCell ref="AU83:BA83"/>
    <mergeCell ref="A84:D84"/>
    <mergeCell ref="E84:T84"/>
    <mergeCell ref="U84:V84"/>
    <mergeCell ref="W84:Y84"/>
    <mergeCell ref="Z84:AF84"/>
    <mergeCell ref="AG84:AM84"/>
    <mergeCell ref="AN84:AT84"/>
    <mergeCell ref="AU84:BA84"/>
    <mergeCell ref="A83:D83"/>
    <mergeCell ref="E83:T83"/>
    <mergeCell ref="U83:V83"/>
    <mergeCell ref="W83:Y83"/>
    <mergeCell ref="Z83:AF83"/>
    <mergeCell ref="AG83:AM83"/>
    <mergeCell ref="AN77:AT77"/>
    <mergeCell ref="AU77:BA77"/>
    <mergeCell ref="Z78:AF78"/>
    <mergeCell ref="AG78:AM78"/>
    <mergeCell ref="AN78:AT78"/>
    <mergeCell ref="AU78:BA78"/>
    <mergeCell ref="Z77:AF77"/>
    <mergeCell ref="AG77:AM77"/>
    <mergeCell ref="A78:D78"/>
    <mergeCell ref="E78:T78"/>
    <mergeCell ref="U78:V78"/>
    <mergeCell ref="W78:Y78"/>
    <mergeCell ref="A77:D77"/>
    <mergeCell ref="E77:T77"/>
    <mergeCell ref="U77:V77"/>
    <mergeCell ref="W77:Y77"/>
    <mergeCell ref="AN87:AT87"/>
    <mergeCell ref="AU87:BA87"/>
    <mergeCell ref="A92:D92"/>
    <mergeCell ref="E92:T92"/>
    <mergeCell ref="U92:V92"/>
    <mergeCell ref="W92:Y92"/>
    <mergeCell ref="Z92:AF92"/>
    <mergeCell ref="AG92:AM92"/>
    <mergeCell ref="AN92:AT92"/>
    <mergeCell ref="AU92:BA92"/>
    <mergeCell ref="A87:D87"/>
    <mergeCell ref="E87:T87"/>
    <mergeCell ref="U87:V87"/>
    <mergeCell ref="W87:Y87"/>
    <mergeCell ref="Z87:AF87"/>
    <mergeCell ref="AG87:AM87"/>
    <mergeCell ref="AN85:AT85"/>
    <mergeCell ref="AU85:BA85"/>
    <mergeCell ref="Z86:AF86"/>
    <mergeCell ref="AG86:AM86"/>
    <mergeCell ref="AN86:AT86"/>
    <mergeCell ref="AU86:BA86"/>
    <mergeCell ref="Z85:AF85"/>
    <mergeCell ref="AG85:AM85"/>
    <mergeCell ref="A86:D86"/>
    <mergeCell ref="E86:T86"/>
    <mergeCell ref="U86:V86"/>
    <mergeCell ref="W86:Y86"/>
    <mergeCell ref="A85:D85"/>
    <mergeCell ref="E85:T85"/>
    <mergeCell ref="U85:V85"/>
    <mergeCell ref="W85:Y85"/>
    <mergeCell ref="AN95:AT95"/>
    <mergeCell ref="AU95:BA95"/>
    <mergeCell ref="A96:D96"/>
    <mergeCell ref="E96:T96"/>
    <mergeCell ref="U96:V96"/>
    <mergeCell ref="W96:Y96"/>
    <mergeCell ref="Z96:AF96"/>
    <mergeCell ref="AG96:AM96"/>
    <mergeCell ref="AN96:AT96"/>
    <mergeCell ref="AU96:BA96"/>
    <mergeCell ref="A95:D95"/>
    <mergeCell ref="E95:T95"/>
    <mergeCell ref="U95:V95"/>
    <mergeCell ref="W95:Y95"/>
    <mergeCell ref="Z95:AF95"/>
    <mergeCell ref="AG95:AM95"/>
    <mergeCell ref="AN93:AT93"/>
    <mergeCell ref="AU93:BA93"/>
    <mergeCell ref="Z94:AF94"/>
    <mergeCell ref="AG94:AM94"/>
    <mergeCell ref="AN94:AT94"/>
    <mergeCell ref="AU94:BA94"/>
    <mergeCell ref="Z93:AF93"/>
    <mergeCell ref="AG93:AM93"/>
    <mergeCell ref="A94:D94"/>
    <mergeCell ref="E94:T94"/>
    <mergeCell ref="U94:V94"/>
    <mergeCell ref="W94:Y94"/>
    <mergeCell ref="A93:D93"/>
    <mergeCell ref="E93:T93"/>
    <mergeCell ref="U93:V93"/>
    <mergeCell ref="W93:Y93"/>
    <mergeCell ref="AN99:AT99"/>
    <mergeCell ref="AU99:BA99"/>
    <mergeCell ref="A100:D100"/>
    <mergeCell ref="E100:T100"/>
    <mergeCell ref="U100:V100"/>
    <mergeCell ref="W100:Y100"/>
    <mergeCell ref="Z100:AF100"/>
    <mergeCell ref="AG100:AM100"/>
    <mergeCell ref="AN100:AT100"/>
    <mergeCell ref="AU100:BA100"/>
    <mergeCell ref="A99:D99"/>
    <mergeCell ref="E99:T99"/>
    <mergeCell ref="U99:V99"/>
    <mergeCell ref="W99:Y99"/>
    <mergeCell ref="Z99:AF99"/>
    <mergeCell ref="AG99:AM99"/>
    <mergeCell ref="AN97:AT97"/>
    <mergeCell ref="AU97:BA97"/>
    <mergeCell ref="Z98:AF98"/>
    <mergeCell ref="AG98:AM98"/>
    <mergeCell ref="AN98:AT98"/>
    <mergeCell ref="AU98:BA98"/>
    <mergeCell ref="Z97:AF97"/>
    <mergeCell ref="AG97:AM97"/>
    <mergeCell ref="A98:D98"/>
    <mergeCell ref="E98:T98"/>
    <mergeCell ref="U98:V98"/>
    <mergeCell ref="W98:Y98"/>
    <mergeCell ref="A97:D97"/>
    <mergeCell ref="E97:T97"/>
    <mergeCell ref="U97:V97"/>
    <mergeCell ref="W97:Y97"/>
    <mergeCell ref="A104:D104"/>
    <mergeCell ref="E104:T104"/>
    <mergeCell ref="AR104:BA104"/>
    <mergeCell ref="AH104:AQ104"/>
    <mergeCell ref="AE104:AG104"/>
    <mergeCell ref="A105:D105"/>
    <mergeCell ref="AE105:AG105"/>
    <mergeCell ref="AH105:AQ105"/>
    <mergeCell ref="AR105:BA105"/>
    <mergeCell ref="AN101:AT101"/>
    <mergeCell ref="AU101:BA101"/>
    <mergeCell ref="A102:D103"/>
    <mergeCell ref="E102:T103"/>
    <mergeCell ref="AR102:BA103"/>
    <mergeCell ref="AH102:AQ103"/>
    <mergeCell ref="AE102:AG103"/>
    <mergeCell ref="A101:D101"/>
    <mergeCell ref="E101:T101"/>
    <mergeCell ref="U101:V101"/>
    <mergeCell ref="W101:Y101"/>
    <mergeCell ref="Z101:AF101"/>
    <mergeCell ref="AG101:AM101"/>
    <mergeCell ref="A107:D107"/>
    <mergeCell ref="AE107:AG107"/>
    <mergeCell ref="AB107:AD107"/>
    <mergeCell ref="AH107:AQ107"/>
    <mergeCell ref="AR109:BA109"/>
    <mergeCell ref="A110:D110"/>
    <mergeCell ref="AE110:AG110"/>
    <mergeCell ref="AB110:AD110"/>
    <mergeCell ref="AH110:AQ110"/>
    <mergeCell ref="AR110:BA110"/>
    <mergeCell ref="A106:D106"/>
    <mergeCell ref="AE106:AG106"/>
    <mergeCell ref="AH106:AQ106"/>
    <mergeCell ref="AR106:BA106"/>
    <mergeCell ref="AR107:BA107"/>
    <mergeCell ref="A108:D108"/>
    <mergeCell ref="AE108:AG108"/>
    <mergeCell ref="AB108:AD108"/>
    <mergeCell ref="AH108:AQ108"/>
    <mergeCell ref="AR108:BA108"/>
    <mergeCell ref="A111:D111"/>
    <mergeCell ref="AE111:AG111"/>
    <mergeCell ref="AB111:AD111"/>
    <mergeCell ref="AH111:AQ111"/>
    <mergeCell ref="AR113:BA113"/>
    <mergeCell ref="A114:D114"/>
    <mergeCell ref="AE114:AG114"/>
    <mergeCell ref="AB114:AD114"/>
    <mergeCell ref="AH114:AQ114"/>
    <mergeCell ref="AR114:BA114"/>
    <mergeCell ref="A109:D109"/>
    <mergeCell ref="AE109:AG109"/>
    <mergeCell ref="AB109:AD109"/>
    <mergeCell ref="AH109:AQ109"/>
    <mergeCell ref="AR111:BA111"/>
    <mergeCell ref="A112:D112"/>
    <mergeCell ref="AE112:AG112"/>
    <mergeCell ref="AB112:AD112"/>
    <mergeCell ref="AH112:AQ112"/>
    <mergeCell ref="AR112:BA112"/>
    <mergeCell ref="A115:D115"/>
    <mergeCell ref="AE115:AG115"/>
    <mergeCell ref="AB115:AD115"/>
    <mergeCell ref="AB116:AD116"/>
    <mergeCell ref="A117:D117"/>
    <mergeCell ref="AE117:AG117"/>
    <mergeCell ref="AB117:AD117"/>
    <mergeCell ref="A118:D118"/>
    <mergeCell ref="AE118:AG118"/>
    <mergeCell ref="AB118:AD118"/>
    <mergeCell ref="AH118:AQ118"/>
    <mergeCell ref="AR118:BA118"/>
    <mergeCell ref="A113:D113"/>
    <mergeCell ref="AE113:AG113"/>
    <mergeCell ref="AB113:AD113"/>
    <mergeCell ref="AH113:AQ113"/>
    <mergeCell ref="AH116:AQ116"/>
    <mergeCell ref="AR116:BA116"/>
    <mergeCell ref="AH115:AQ115"/>
    <mergeCell ref="AR115:BA115"/>
    <mergeCell ref="A116:D116"/>
    <mergeCell ref="AE116:AG116"/>
    <mergeCell ref="AH119:AQ119"/>
    <mergeCell ref="AE122:AG122"/>
    <mergeCell ref="AR119:BA119"/>
    <mergeCell ref="AU120:BA120"/>
    <mergeCell ref="AR123:BA123"/>
    <mergeCell ref="AE123:AG123"/>
    <mergeCell ref="AB123:AD123"/>
    <mergeCell ref="AH117:AQ117"/>
    <mergeCell ref="AB122:AD122"/>
    <mergeCell ref="Z120:AF120"/>
    <mergeCell ref="AG120:AM120"/>
    <mergeCell ref="AN120:AT120"/>
    <mergeCell ref="AH122:AQ122"/>
    <mergeCell ref="AR122:BA122"/>
    <mergeCell ref="AR117:BA117"/>
    <mergeCell ref="A119:D119"/>
    <mergeCell ref="AE119:AG119"/>
    <mergeCell ref="AB119:AD119"/>
    <mergeCell ref="A124:D124"/>
    <mergeCell ref="AH124:AQ124"/>
    <mergeCell ref="AR124:BA124"/>
    <mergeCell ref="AE124:AG124"/>
    <mergeCell ref="AB124:AD124"/>
    <mergeCell ref="AH125:AQ125"/>
    <mergeCell ref="AR125:BA125"/>
    <mergeCell ref="AE125:AG125"/>
    <mergeCell ref="E120:T120"/>
    <mergeCell ref="U120:V120"/>
    <mergeCell ref="W120:Y120"/>
    <mergeCell ref="A125:D125"/>
    <mergeCell ref="A123:D123"/>
    <mergeCell ref="A120:D120"/>
    <mergeCell ref="A122:D122"/>
    <mergeCell ref="E122:T122"/>
    <mergeCell ref="AB125:AD125"/>
    <mergeCell ref="AH123:AQ123"/>
    <mergeCell ref="A128:D128"/>
    <mergeCell ref="AH128:AQ128"/>
    <mergeCell ref="AR128:BA128"/>
    <mergeCell ref="AE128:AG128"/>
    <mergeCell ref="AB128:AD128"/>
    <mergeCell ref="A129:D129"/>
    <mergeCell ref="AH129:AQ129"/>
    <mergeCell ref="AR129:BA129"/>
    <mergeCell ref="AE129:AG129"/>
    <mergeCell ref="AB129:AD129"/>
    <mergeCell ref="A126:D126"/>
    <mergeCell ref="AH126:AQ126"/>
    <mergeCell ref="AR126:BA126"/>
    <mergeCell ref="AE126:AG126"/>
    <mergeCell ref="AB126:AD126"/>
    <mergeCell ref="A127:D127"/>
    <mergeCell ref="AH127:AQ127"/>
    <mergeCell ref="AR127:BA127"/>
    <mergeCell ref="AE127:AG127"/>
    <mergeCell ref="AB127:AD127"/>
    <mergeCell ref="A132:D132"/>
    <mergeCell ref="AH132:AQ132"/>
    <mergeCell ref="AR132:BA132"/>
    <mergeCell ref="AE132:AG132"/>
    <mergeCell ref="AB132:AD132"/>
    <mergeCell ref="A133:D133"/>
    <mergeCell ref="AH133:AQ133"/>
    <mergeCell ref="AR133:BA133"/>
    <mergeCell ref="AE133:AG133"/>
    <mergeCell ref="AB133:AD133"/>
    <mergeCell ref="A130:D130"/>
    <mergeCell ref="AH130:AQ130"/>
    <mergeCell ref="AR130:BA130"/>
    <mergeCell ref="AE130:AG130"/>
    <mergeCell ref="AB130:AD130"/>
    <mergeCell ref="A131:D131"/>
    <mergeCell ref="AH131:AQ131"/>
    <mergeCell ref="AR131:BA131"/>
    <mergeCell ref="AE131:AG131"/>
    <mergeCell ref="AB131:AD131"/>
    <mergeCell ref="A136:D136"/>
    <mergeCell ref="AH136:AQ136"/>
    <mergeCell ref="AR136:BA136"/>
    <mergeCell ref="AE136:AG136"/>
    <mergeCell ref="AB136:AD136"/>
    <mergeCell ref="A137:D137"/>
    <mergeCell ref="AH137:AQ137"/>
    <mergeCell ref="AR137:BA137"/>
    <mergeCell ref="AE137:AG137"/>
    <mergeCell ref="AB137:AD137"/>
    <mergeCell ref="A134:D134"/>
    <mergeCell ref="AH134:AQ134"/>
    <mergeCell ref="AR134:BA134"/>
    <mergeCell ref="AE134:AG134"/>
    <mergeCell ref="AB134:AD134"/>
    <mergeCell ref="A135:D135"/>
    <mergeCell ref="AH135:AQ135"/>
    <mergeCell ref="AR135:BA135"/>
    <mergeCell ref="AE135:AG135"/>
    <mergeCell ref="AB135:AD135"/>
    <mergeCell ref="A140:D140"/>
    <mergeCell ref="AH140:AQ140"/>
    <mergeCell ref="AR140:BA140"/>
    <mergeCell ref="AE140:AG140"/>
    <mergeCell ref="AB140:AD140"/>
    <mergeCell ref="A141:D141"/>
    <mergeCell ref="AH141:AQ141"/>
    <mergeCell ref="AR141:BA141"/>
    <mergeCell ref="AE141:AG141"/>
    <mergeCell ref="AB141:AD141"/>
    <mergeCell ref="A138:D138"/>
    <mergeCell ref="AH138:AQ138"/>
    <mergeCell ref="AR138:BA138"/>
    <mergeCell ref="AE138:AG138"/>
    <mergeCell ref="AB138:AD138"/>
    <mergeCell ref="A139:D139"/>
    <mergeCell ref="AH139:AQ139"/>
    <mergeCell ref="AR139:BA139"/>
    <mergeCell ref="AE139:AG139"/>
    <mergeCell ref="AB139:AD139"/>
    <mergeCell ref="AB148:AD148"/>
    <mergeCell ref="AR147:BA147"/>
    <mergeCell ref="AE147:AG147"/>
    <mergeCell ref="AB147:AD147"/>
    <mergeCell ref="A144:D144"/>
    <mergeCell ref="AH144:AQ144"/>
    <mergeCell ref="AR144:BA144"/>
    <mergeCell ref="AE144:AG144"/>
    <mergeCell ref="A145:D145"/>
    <mergeCell ref="AH145:AQ145"/>
    <mergeCell ref="AR145:BA145"/>
    <mergeCell ref="AE145:AG145"/>
    <mergeCell ref="AB145:AD145"/>
    <mergeCell ref="A142:D142"/>
    <mergeCell ref="AH142:AQ142"/>
    <mergeCell ref="AR142:BA142"/>
    <mergeCell ref="AE142:AG142"/>
    <mergeCell ref="AB142:AD142"/>
    <mergeCell ref="A143:D143"/>
    <mergeCell ref="AH143:AQ143"/>
    <mergeCell ref="AR143:BA143"/>
    <mergeCell ref="AE143:AG143"/>
    <mergeCell ref="AB143:AD143"/>
    <mergeCell ref="A152:D152"/>
    <mergeCell ref="AH152:AQ152"/>
    <mergeCell ref="AR152:BA152"/>
    <mergeCell ref="AE152:AG152"/>
    <mergeCell ref="AB152:AD152"/>
    <mergeCell ref="A150:D150"/>
    <mergeCell ref="AH150:AQ150"/>
    <mergeCell ref="A151:D151"/>
    <mergeCell ref="AH151:AQ151"/>
    <mergeCell ref="AE150:AG150"/>
    <mergeCell ref="AB150:AD150"/>
    <mergeCell ref="AR151:BA151"/>
    <mergeCell ref="AE151:AG151"/>
    <mergeCell ref="AB151:AD151"/>
    <mergeCell ref="AR150:BA150"/>
    <mergeCell ref="AB144:AD144"/>
    <mergeCell ref="AR146:BA146"/>
    <mergeCell ref="AE146:AG146"/>
    <mergeCell ref="AB146:AD146"/>
    <mergeCell ref="AR148:BA148"/>
    <mergeCell ref="A149:D149"/>
    <mergeCell ref="AH149:AQ149"/>
    <mergeCell ref="AR149:BA149"/>
    <mergeCell ref="AE149:AG149"/>
    <mergeCell ref="AB149:AD149"/>
    <mergeCell ref="A146:D146"/>
    <mergeCell ref="AH146:AQ146"/>
    <mergeCell ref="A148:D148"/>
    <mergeCell ref="AH148:AQ148"/>
    <mergeCell ref="AE148:AG148"/>
    <mergeCell ref="A147:D147"/>
    <mergeCell ref="AH147:AQ147"/>
  </mergeCells>
  <phoneticPr fontId="60" type="noConversion"/>
  <pageMargins left="0.76" right="0.46" top="0.32" bottom="0.31" header="0.22" footer="0.16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40"/>
  </sheetPr>
  <dimension ref="A1:BA218"/>
  <sheetViews>
    <sheetView showGridLines="0" tabSelected="1" topLeftCell="A192" workbookViewId="0">
      <selection activeCell="AH181" sqref="AH181:AQ181"/>
    </sheetView>
  </sheetViews>
  <sheetFormatPr defaultColWidth="2.7109375" defaultRowHeight="15.75" customHeight="1"/>
  <cols>
    <col min="1" max="16384" width="2.7109375" style="945"/>
  </cols>
  <sheetData>
    <row r="1" spans="1:53" s="942" customFormat="1" ht="15.75" customHeight="1">
      <c r="A1" s="941" t="s">
        <v>179</v>
      </c>
      <c r="AW1" s="989" t="s">
        <v>2428</v>
      </c>
    </row>
    <row r="2" spans="1:53" s="942" customFormat="1" ht="15.75" customHeight="1">
      <c r="A2" s="1719">
        <f>FirmaNaziv</f>
        <v>0</v>
      </c>
      <c r="B2" s="1719"/>
      <c r="C2" s="1719"/>
      <c r="D2" s="1719"/>
      <c r="E2" s="1719"/>
      <c r="F2" s="1719"/>
      <c r="G2" s="1719"/>
      <c r="H2" s="1719"/>
      <c r="I2" s="1719"/>
      <c r="J2" s="1719"/>
      <c r="K2" s="1719"/>
      <c r="L2" s="1719"/>
      <c r="M2" s="1719"/>
      <c r="N2" s="1719"/>
      <c r="O2" s="1719"/>
      <c r="P2" s="1719"/>
      <c r="Q2" s="1719"/>
      <c r="R2" s="1719"/>
      <c r="S2" s="1719"/>
      <c r="T2" s="1719"/>
      <c r="U2" s="1719"/>
      <c r="V2" s="1719"/>
      <c r="W2" s="1719"/>
    </row>
    <row r="3" spans="1:53" s="942" customFormat="1" ht="15.75" customHeight="1">
      <c r="A3" s="1824" t="s">
        <v>180</v>
      </c>
      <c r="B3" s="1824"/>
      <c r="C3" s="1824"/>
      <c r="D3" s="1824"/>
      <c r="E3" s="1824"/>
      <c r="F3" s="1824"/>
      <c r="G3" s="1824"/>
      <c r="H3" s="1824"/>
      <c r="I3" s="1824"/>
      <c r="J3" s="1824"/>
      <c r="K3" s="1824"/>
      <c r="L3" s="1824"/>
      <c r="M3" s="1824"/>
      <c r="N3" s="1824"/>
      <c r="O3" s="1824"/>
      <c r="P3" s="1824"/>
      <c r="Q3" s="1824"/>
      <c r="R3" s="1824"/>
      <c r="S3" s="1824"/>
      <c r="T3" s="1824"/>
      <c r="U3" s="1824"/>
      <c r="V3" s="1824"/>
      <c r="W3" s="1824"/>
      <c r="AO3" s="943" t="str">
        <f>MID(FirmaID,1,1)</f>
        <v/>
      </c>
      <c r="AP3" s="943" t="str">
        <f>MID(FirmaID,2,1)</f>
        <v/>
      </c>
      <c r="AQ3" s="943" t="str">
        <f>MID(FirmaID,3,1)</f>
        <v/>
      </c>
      <c r="AR3" s="943" t="str">
        <f>MID(FirmaID,4,1)</f>
        <v/>
      </c>
      <c r="AS3" s="943" t="str">
        <f>MID(FirmaID,5,1)</f>
        <v/>
      </c>
      <c r="AT3" s="943" t="str">
        <f>MID(FirmaID,6,1)</f>
        <v/>
      </c>
      <c r="AU3" s="943" t="str">
        <f>MID(FirmaID,7,1)</f>
        <v/>
      </c>
      <c r="AV3" s="943" t="str">
        <f>MID(FirmaID,8,1)</f>
        <v/>
      </c>
      <c r="AW3" s="943" t="str">
        <f>MID(FirmaID,9,1)</f>
        <v/>
      </c>
      <c r="AX3" s="943" t="str">
        <f>MID(FirmaID,10,1)</f>
        <v/>
      </c>
      <c r="AY3" s="943" t="str">
        <f>MID(FirmaID,11,1)</f>
        <v/>
      </c>
      <c r="AZ3" s="943" t="str">
        <f>MID(FirmaID,12,1)</f>
        <v/>
      </c>
      <c r="BA3" s="943" t="str">
        <f>MID(FirmaID,13,1)</f>
        <v/>
      </c>
    </row>
    <row r="4" spans="1:53" s="942" customFormat="1" ht="15.75" customHeight="1">
      <c r="A4" s="1721" t="str">
        <f>FirmaSjediste &amp; ", " &amp; FirmaAdresa</f>
        <v xml:space="preserve">, </v>
      </c>
      <c r="B4" s="1721"/>
      <c r="C4" s="1721"/>
      <c r="D4" s="1721"/>
      <c r="E4" s="1721"/>
      <c r="F4" s="1721"/>
      <c r="G4" s="1721"/>
      <c r="H4" s="1721"/>
      <c r="I4" s="1721"/>
      <c r="J4" s="1721"/>
      <c r="K4" s="1721"/>
      <c r="L4" s="1721"/>
      <c r="M4" s="1721"/>
      <c r="N4" s="1721"/>
      <c r="O4" s="1721"/>
      <c r="P4" s="1721"/>
      <c r="Q4" s="1721"/>
      <c r="R4" s="1721"/>
      <c r="S4" s="1721"/>
      <c r="T4" s="1721"/>
      <c r="U4" s="1721"/>
      <c r="V4" s="1721"/>
      <c r="W4" s="1721"/>
      <c r="BA4" s="944" t="s">
        <v>498</v>
      </c>
    </row>
    <row r="5" spans="1:53" s="942" customFormat="1" ht="15.75" customHeight="1">
      <c r="A5" s="1824" t="s">
        <v>159</v>
      </c>
      <c r="B5" s="1824"/>
      <c r="C5" s="1824"/>
      <c r="D5" s="1824"/>
      <c r="E5" s="1824"/>
      <c r="F5" s="1824"/>
      <c r="G5" s="1824"/>
      <c r="H5" s="1824"/>
      <c r="I5" s="1824"/>
      <c r="J5" s="1824"/>
      <c r="K5" s="1824"/>
      <c r="L5" s="1824"/>
      <c r="M5" s="1824"/>
      <c r="N5" s="1824"/>
      <c r="O5" s="1824"/>
      <c r="P5" s="1824"/>
      <c r="Q5" s="1824"/>
      <c r="R5" s="1824"/>
      <c r="S5" s="1824"/>
      <c r="T5" s="1824"/>
      <c r="U5" s="1824"/>
      <c r="V5" s="1824"/>
      <c r="W5" s="1824"/>
      <c r="AP5" s="943" t="str">
        <f>MID(FirmaPDV,1,1)</f>
        <v/>
      </c>
      <c r="AQ5" s="943" t="str">
        <f>MID(FirmaPDV,2,1)</f>
        <v/>
      </c>
      <c r="AR5" s="943" t="str">
        <f>MID(FirmaPDV,3,1)</f>
        <v/>
      </c>
      <c r="AS5" s="943" t="str">
        <f>MID(FirmaPDV,4,1)</f>
        <v/>
      </c>
      <c r="AT5" s="943" t="str">
        <f>MID(FirmaPDV,5,1)</f>
        <v/>
      </c>
      <c r="AU5" s="943" t="str">
        <f>MID(FirmaPDV,6,1)</f>
        <v/>
      </c>
      <c r="AV5" s="943" t="str">
        <f>MID(FirmaPDV,7,1)</f>
        <v/>
      </c>
      <c r="AW5" s="943" t="str">
        <f>MID(FirmaPDV,8,1)</f>
        <v/>
      </c>
      <c r="AX5" s="943" t="str">
        <f>MID(FirmaPDV,9,1)</f>
        <v/>
      </c>
      <c r="AY5" s="943" t="str">
        <f>MID(FirmaPDV,10,1)</f>
        <v/>
      </c>
      <c r="AZ5" s="943" t="str">
        <f>MID(FirmaPDV,11,1)</f>
        <v/>
      </c>
      <c r="BA5" s="943" t="str">
        <f>MID(FirmaPDV,12,1)</f>
        <v/>
      </c>
    </row>
    <row r="6" spans="1:53" s="942" customFormat="1" ht="15.75" customHeight="1">
      <c r="A6" s="1823">
        <f>FirmaDjeNaziv</f>
        <v>0</v>
      </c>
      <c r="B6" s="1823"/>
      <c r="C6" s="1823"/>
      <c r="D6" s="1823"/>
      <c r="E6" s="1823"/>
      <c r="F6" s="1823"/>
      <c r="G6" s="1823"/>
      <c r="H6" s="1823"/>
      <c r="I6" s="1823"/>
      <c r="J6" s="1823"/>
      <c r="K6" s="1823"/>
      <c r="L6" s="1823"/>
      <c r="M6" s="1823"/>
      <c r="N6" s="1823"/>
      <c r="O6" s="1823"/>
      <c r="P6" s="1823"/>
      <c r="Q6" s="1823"/>
      <c r="R6" s="1823"/>
      <c r="S6" s="1823"/>
      <c r="T6" s="1823"/>
      <c r="U6" s="1823"/>
      <c r="V6" s="1823"/>
      <c r="W6" s="1823"/>
      <c r="BA6" s="944" t="s">
        <v>2267</v>
      </c>
    </row>
    <row r="7" spans="1:53" s="942" customFormat="1" ht="15.75" customHeight="1">
      <c r="A7" s="1824" t="s">
        <v>1496</v>
      </c>
      <c r="B7" s="1824"/>
      <c r="C7" s="1824"/>
      <c r="D7" s="1824"/>
      <c r="E7" s="1824"/>
      <c r="F7" s="1824"/>
      <c r="G7" s="1824"/>
      <c r="H7" s="1824"/>
      <c r="I7" s="1824"/>
      <c r="J7" s="1824"/>
      <c r="K7" s="1824"/>
      <c r="L7" s="1824"/>
      <c r="M7" s="1824"/>
      <c r="N7" s="1824"/>
      <c r="O7" s="1824"/>
      <c r="P7" s="1824"/>
      <c r="Q7" s="1824"/>
      <c r="R7" s="1824"/>
      <c r="S7" s="1824"/>
      <c r="T7" s="1824"/>
      <c r="U7" s="1824"/>
      <c r="V7" s="1824"/>
      <c r="W7" s="1824"/>
      <c r="AW7" s="943" t="str">
        <f>MID(FirmaDjeSifra,1,1)</f>
        <v/>
      </c>
      <c r="AX7" s="943" t="str">
        <f>MID(FirmaDjeSifra,2,1)</f>
        <v/>
      </c>
      <c r="AY7" s="943" t="str">
        <f>MID(FirmaDjeSifra,3,1)</f>
        <v/>
      </c>
      <c r="AZ7" s="943" t="str">
        <f>MID(FirmaDjeSifra,4,1)</f>
        <v/>
      </c>
      <c r="BA7" s="943" t="str">
        <f>MID(FirmaDjeSifra,5,1)</f>
        <v/>
      </c>
    </row>
    <row r="8" spans="1:53" s="942" customFormat="1" ht="12.75" customHeight="1">
      <c r="BA8" s="944" t="s">
        <v>1452</v>
      </c>
    </row>
    <row r="9" spans="1:53" s="942" customFormat="1" ht="15.75" customHeight="1">
      <c r="AY9" s="943" t="str">
        <f>MID(FirmaOpcina,1,1)</f>
        <v/>
      </c>
      <c r="AZ9" s="943" t="str">
        <f>MID(FirmaOpcina,2,1)</f>
        <v/>
      </c>
      <c r="BA9" s="943" t="str">
        <f>MID(FirmaOpcina,3,1)</f>
        <v/>
      </c>
    </row>
    <row r="10" spans="1:53" s="942" customFormat="1" ht="13.5" customHeight="1">
      <c r="BA10" s="944" t="s">
        <v>158</v>
      </c>
    </row>
    <row r="11" spans="1:53" s="942" customFormat="1" ht="14.25" customHeight="1">
      <c r="A11" s="941" t="s">
        <v>1564</v>
      </c>
    </row>
    <row r="12" spans="1:53" s="942" customFormat="1" ht="5.25" customHeight="1"/>
    <row r="13" spans="1:53" ht="15.75" customHeight="1">
      <c r="A13" s="1826">
        <f>FirmaBanka1</f>
        <v>0</v>
      </c>
      <c r="B13" s="1826"/>
      <c r="C13" s="1826"/>
      <c r="D13" s="1826"/>
      <c r="E13" s="1826"/>
      <c r="F13" s="1826"/>
      <c r="G13" s="1826"/>
      <c r="H13" s="1826"/>
      <c r="I13" s="1826"/>
      <c r="J13" s="1826"/>
      <c r="K13" s="1826"/>
      <c r="L13" s="1826"/>
      <c r="M13" s="1826"/>
      <c r="N13" s="1826"/>
      <c r="O13" s="1826"/>
      <c r="P13" s="1826"/>
      <c r="S13" s="1826">
        <f>FirmaBanka2</f>
        <v>0</v>
      </c>
      <c r="T13" s="1826"/>
      <c r="U13" s="1826"/>
      <c r="V13" s="1826"/>
      <c r="W13" s="1826"/>
      <c r="X13" s="1826"/>
      <c r="Y13" s="1826"/>
      <c r="Z13" s="1826"/>
      <c r="AA13" s="1826"/>
      <c r="AB13" s="1826"/>
      <c r="AC13" s="1826"/>
      <c r="AD13" s="1826"/>
      <c r="AE13" s="1826"/>
      <c r="AF13" s="1826"/>
      <c r="AG13" s="1826"/>
      <c r="AH13" s="1826"/>
      <c r="AK13" s="1826">
        <f>FirmaBanka3</f>
        <v>0</v>
      </c>
      <c r="AL13" s="1826"/>
      <c r="AM13" s="1826"/>
      <c r="AN13" s="1826"/>
      <c r="AO13" s="1826"/>
      <c r="AP13" s="1826"/>
      <c r="AQ13" s="1826"/>
      <c r="AR13" s="1826"/>
      <c r="AS13" s="1826"/>
      <c r="AT13" s="1826"/>
      <c r="AU13" s="1826"/>
      <c r="AV13" s="1826"/>
      <c r="AW13" s="1826"/>
      <c r="AX13" s="1826"/>
      <c r="AY13" s="1826"/>
      <c r="AZ13" s="1826"/>
    </row>
    <row r="14" spans="1:53" ht="11.25" customHeight="1">
      <c r="A14" s="1827" t="s">
        <v>160</v>
      </c>
      <c r="B14" s="1827"/>
      <c r="C14" s="1827"/>
      <c r="D14" s="1827"/>
      <c r="E14" s="1827"/>
      <c r="F14" s="1827"/>
      <c r="G14" s="1827"/>
      <c r="H14" s="1827"/>
      <c r="I14" s="1827"/>
      <c r="J14" s="1827"/>
      <c r="K14" s="1827"/>
      <c r="L14" s="1827"/>
      <c r="M14" s="1827"/>
      <c r="N14" s="1827"/>
      <c r="O14" s="1827"/>
      <c r="P14" s="1827"/>
      <c r="S14" s="1827" t="s">
        <v>160</v>
      </c>
      <c r="T14" s="1827"/>
      <c r="U14" s="1827"/>
      <c r="V14" s="1827"/>
      <c r="W14" s="1827"/>
      <c r="X14" s="1827"/>
      <c r="Y14" s="1827"/>
      <c r="Z14" s="1827"/>
      <c r="AA14" s="1827"/>
      <c r="AB14" s="1827"/>
      <c r="AC14" s="1827"/>
      <c r="AD14" s="1827"/>
      <c r="AE14" s="1827"/>
      <c r="AF14" s="1827"/>
      <c r="AG14" s="1827"/>
      <c r="AH14" s="1827"/>
      <c r="AK14" s="1827" t="s">
        <v>160</v>
      </c>
      <c r="AL14" s="1827"/>
      <c r="AM14" s="1827"/>
      <c r="AN14" s="1827"/>
      <c r="AO14" s="1827"/>
      <c r="AP14" s="1827"/>
      <c r="AQ14" s="1827"/>
      <c r="AR14" s="1827"/>
      <c r="AS14" s="1827"/>
      <c r="AT14" s="1827"/>
      <c r="AU14" s="1827"/>
      <c r="AV14" s="1827"/>
      <c r="AW14" s="1827"/>
      <c r="AX14" s="1827"/>
      <c r="AY14" s="1827"/>
      <c r="AZ14" s="1827"/>
    </row>
    <row r="15" spans="1:53" ht="15.75" customHeight="1">
      <c r="A15" s="943" t="str">
        <f>MID(FirmaRacun1,1,1)</f>
        <v/>
      </c>
      <c r="B15" s="943" t="str">
        <f>MID(FirmaRacun1,2,1)</f>
        <v/>
      </c>
      <c r="C15" s="943" t="str">
        <f>MID(FirmaRacun1,3,1)</f>
        <v/>
      </c>
      <c r="D15" s="943" t="str">
        <f>MID(FirmaRacun1,4,1)</f>
        <v/>
      </c>
      <c r="E15" s="943" t="str">
        <f>MID(FirmaRacun1,5,1)</f>
        <v/>
      </c>
      <c r="F15" s="943" t="str">
        <f>MID(FirmaRacun1,6,1)</f>
        <v/>
      </c>
      <c r="G15" s="943" t="str">
        <f>MID(FirmaRacun1,7,1)</f>
        <v/>
      </c>
      <c r="H15" s="943" t="str">
        <f>MID(FirmaRacun1,8,1)</f>
        <v/>
      </c>
      <c r="I15" s="943" t="str">
        <f>MID(FirmaRacun1,9,1)</f>
        <v/>
      </c>
      <c r="J15" s="943" t="str">
        <f>MID(FirmaRacun1,10,1)</f>
        <v/>
      </c>
      <c r="K15" s="943" t="str">
        <f>MID(FirmaRacun1,11,1)</f>
        <v/>
      </c>
      <c r="L15" s="943" t="str">
        <f>MID(FirmaRacun1,12,1)</f>
        <v/>
      </c>
      <c r="M15" s="943" t="str">
        <f>MID(FirmaRacun1,13,1)</f>
        <v/>
      </c>
      <c r="N15" s="943" t="str">
        <f>MID(FirmaRacun1,14,1)</f>
        <v/>
      </c>
      <c r="O15" s="943" t="str">
        <f>MID(FirmaRacun1,15,1)</f>
        <v/>
      </c>
      <c r="P15" s="943" t="str">
        <f>MID(FirmaRacun1,16,1)</f>
        <v/>
      </c>
      <c r="S15" s="943" t="str">
        <f>MID(FirmaRacun2,1,1)</f>
        <v/>
      </c>
      <c r="T15" s="943" t="str">
        <f>MID(FirmaRacun2,2,1)</f>
        <v/>
      </c>
      <c r="U15" s="943" t="str">
        <f>MID(FirmaRacun2,3,1)</f>
        <v/>
      </c>
      <c r="V15" s="943" t="str">
        <f>MID(FirmaRacun2,4,1)</f>
        <v/>
      </c>
      <c r="W15" s="943" t="str">
        <f>MID(FirmaRacun2,5,1)</f>
        <v/>
      </c>
      <c r="X15" s="943" t="str">
        <f>MID(FirmaRacun2,6,1)</f>
        <v/>
      </c>
      <c r="Y15" s="943" t="str">
        <f>MID(FirmaRacun2,7,1)</f>
        <v/>
      </c>
      <c r="Z15" s="943" t="str">
        <f>MID(FirmaRacun2,8,1)</f>
        <v/>
      </c>
      <c r="AA15" s="943" t="str">
        <f>MID(FirmaRacun2,9,1)</f>
        <v/>
      </c>
      <c r="AB15" s="943" t="str">
        <f>MID(FirmaRacun2,10,1)</f>
        <v/>
      </c>
      <c r="AC15" s="943" t="str">
        <f>MID(FirmaRacun2,11,1)</f>
        <v/>
      </c>
      <c r="AD15" s="943" t="str">
        <f>MID(FirmaRacun2,12,1)</f>
        <v/>
      </c>
      <c r="AE15" s="943" t="str">
        <f>MID(FirmaRacun2,13,1)</f>
        <v/>
      </c>
      <c r="AF15" s="943" t="str">
        <f>MID(FirmaRacun2,14,1)</f>
        <v/>
      </c>
      <c r="AG15" s="943" t="str">
        <f>MID(FirmaRacun2,15,1)</f>
        <v/>
      </c>
      <c r="AH15" s="943" t="str">
        <f>MID(FirmaRacun2,16,1)</f>
        <v/>
      </c>
      <c r="AK15" s="943" t="str">
        <f>MID(FirmaRacun3,1,1)</f>
        <v/>
      </c>
      <c r="AL15" s="943" t="str">
        <f>MID(FirmaRacun3,2,1)</f>
        <v/>
      </c>
      <c r="AM15" s="943" t="str">
        <f>MID(FirmaRacun3,3,1)</f>
        <v/>
      </c>
      <c r="AN15" s="943" t="str">
        <f>MID(FirmaRacun3,4,1)</f>
        <v/>
      </c>
      <c r="AO15" s="943" t="str">
        <f>MID(FirmaRacun3,5,1)</f>
        <v/>
      </c>
      <c r="AP15" s="943" t="str">
        <f>MID(FirmaRacun3,6,1)</f>
        <v/>
      </c>
      <c r="AQ15" s="943" t="str">
        <f>MID(FirmaRacun3,7,1)</f>
        <v/>
      </c>
      <c r="AR15" s="943" t="str">
        <f>MID(FirmaRacun3,8,1)</f>
        <v/>
      </c>
      <c r="AS15" s="943" t="str">
        <f>MID(FirmaRacun3,9,1)</f>
        <v/>
      </c>
      <c r="AT15" s="943" t="str">
        <f>MID(FirmaRacun3,10,1)</f>
        <v/>
      </c>
      <c r="AU15" s="943" t="str">
        <f>MID(FirmaRacun3,11,1)</f>
        <v/>
      </c>
      <c r="AV15" s="943" t="str">
        <f>MID(FirmaRacun3,12,1)</f>
        <v/>
      </c>
      <c r="AW15" s="943" t="str">
        <f>MID(FirmaRacun3,13,1)</f>
        <v/>
      </c>
      <c r="AX15" s="943" t="str">
        <f>MID(FirmaRacun3,14,1)</f>
        <v/>
      </c>
      <c r="AY15" s="943" t="str">
        <f>MID(FirmaRacun3,15,1)</f>
        <v/>
      </c>
      <c r="AZ15" s="943" t="str">
        <f>MID(FirmaRacun3,16,1)</f>
        <v/>
      </c>
    </row>
    <row r="17" spans="1:53" ht="15.75" customHeight="1">
      <c r="T17" s="1828" t="s">
        <v>541</v>
      </c>
      <c r="U17" s="1828"/>
      <c r="V17" s="1828"/>
      <c r="W17" s="1828"/>
      <c r="X17" s="1828"/>
      <c r="Y17" s="1828"/>
      <c r="Z17" s="1828"/>
      <c r="AA17" s="1828"/>
      <c r="AB17" s="1828"/>
      <c r="AC17" s="1828"/>
      <c r="AD17" s="1828"/>
      <c r="AE17" s="1828"/>
      <c r="AF17" s="1828"/>
      <c r="AG17" s="1828"/>
      <c r="AN17" s="1829" t="s">
        <v>1562</v>
      </c>
      <c r="AO17" s="1830"/>
      <c r="AP17" s="1830"/>
      <c r="AQ17" s="1830"/>
      <c r="AR17" s="1830"/>
      <c r="AS17" s="1830"/>
      <c r="AT17" s="1830"/>
      <c r="AU17" s="1830"/>
      <c r="AV17" s="1830"/>
      <c r="AW17" s="1830"/>
      <c r="AX17" s="1830"/>
      <c r="AY17" s="1830"/>
      <c r="AZ17" s="1830"/>
      <c r="BA17" s="1831"/>
    </row>
    <row r="18" spans="1:53" ht="15.75" customHeight="1">
      <c r="T18" s="1828"/>
      <c r="U18" s="1828"/>
      <c r="V18" s="1828"/>
      <c r="W18" s="1828"/>
      <c r="X18" s="1828"/>
      <c r="Y18" s="1828"/>
      <c r="Z18" s="1828"/>
      <c r="AA18" s="1828"/>
      <c r="AB18" s="1828"/>
      <c r="AC18" s="1828"/>
      <c r="AD18" s="1828"/>
      <c r="AE18" s="1828"/>
      <c r="AF18" s="1828"/>
      <c r="AG18" s="1828"/>
      <c r="AN18" s="1832"/>
      <c r="AO18" s="1833"/>
      <c r="AP18" s="1833"/>
      <c r="AQ18" s="1833"/>
      <c r="AR18" s="1833"/>
      <c r="AS18" s="1833"/>
      <c r="AT18" s="1833"/>
      <c r="AU18" s="1833"/>
      <c r="AV18" s="1833"/>
      <c r="AW18" s="1833"/>
      <c r="AX18" s="1833"/>
      <c r="AY18" s="1833"/>
      <c r="AZ18" s="1833"/>
      <c r="BA18" s="1834"/>
    </row>
    <row r="19" spans="1:53" ht="15.75" customHeight="1">
      <c r="A19" s="1825" t="s">
        <v>447</v>
      </c>
      <c r="B19" s="1825"/>
      <c r="C19" s="1825"/>
      <c r="D19" s="1825"/>
      <c r="E19" s="1825"/>
      <c r="F19" s="1825"/>
      <c r="G19" s="1825"/>
      <c r="H19" s="1825"/>
      <c r="I19" s="1825"/>
      <c r="J19" s="1825"/>
      <c r="K19" s="1825"/>
      <c r="L19" s="1825"/>
      <c r="M19" s="1825"/>
      <c r="N19" s="1825"/>
      <c r="O19" s="1825"/>
      <c r="P19" s="1825"/>
      <c r="Q19" s="1825"/>
      <c r="R19" s="1825"/>
      <c r="S19" s="1825"/>
      <c r="T19" s="1825"/>
      <c r="U19" s="1825"/>
      <c r="V19" s="1825"/>
      <c r="W19" s="1825"/>
      <c r="X19" s="1825"/>
      <c r="Y19" s="1825"/>
      <c r="Z19" s="1825"/>
      <c r="AA19" s="1825"/>
      <c r="AB19" s="1825"/>
      <c r="AC19" s="1825"/>
      <c r="AD19" s="1825"/>
      <c r="AE19" s="1825"/>
      <c r="AF19" s="1825"/>
      <c r="AG19" s="1825"/>
      <c r="AH19" s="1825"/>
      <c r="AI19" s="1825"/>
      <c r="AJ19" s="1825"/>
      <c r="AK19" s="1825"/>
      <c r="AL19" s="1825"/>
      <c r="AM19" s="1825"/>
      <c r="AN19" s="1825"/>
      <c r="AO19" s="1825"/>
      <c r="AP19" s="1825"/>
      <c r="AQ19" s="1825"/>
      <c r="AR19" s="1825"/>
      <c r="AS19" s="1825"/>
      <c r="AT19" s="1825"/>
      <c r="AU19" s="1825"/>
      <c r="AV19" s="1825"/>
      <c r="AW19" s="1825"/>
      <c r="AX19" s="1825"/>
      <c r="AY19" s="1825"/>
      <c r="AZ19" s="1825"/>
      <c r="BA19" s="1825"/>
    </row>
    <row r="20" spans="1:53" ht="15.75" customHeight="1">
      <c r="R20" s="1034" t="s">
        <v>545</v>
      </c>
      <c r="S20" s="1786" t="str">
        <f>ObracunOdDatuma</f>
        <v>1.1.</v>
      </c>
      <c r="T20" s="1786"/>
      <c r="U20" s="1786"/>
      <c r="V20" s="1786"/>
      <c r="W20" s="1786"/>
      <c r="X20" s="1786"/>
      <c r="Y20" s="1786"/>
      <c r="Z20" s="1784" t="s">
        <v>546</v>
      </c>
      <c r="AA20" s="1784"/>
      <c r="AB20" s="1786" t="str">
        <f>ObracunDoDatuma</f>
        <v>31.12.</v>
      </c>
      <c r="AC20" s="1786"/>
      <c r="AD20" s="1786"/>
      <c r="AE20" s="1786"/>
      <c r="AF20" s="1786"/>
      <c r="AG20" s="1786"/>
      <c r="AH20" s="1786"/>
      <c r="AI20" s="1733" t="str">
        <f>ObracunGodina</f>
        <v>2011</v>
      </c>
      <c r="AJ20" s="1733"/>
      <c r="AK20" s="1733"/>
      <c r="AL20" s="1733"/>
      <c r="AM20" s="946" t="s">
        <v>2268</v>
      </c>
    </row>
    <row r="21" spans="1:53" ht="6" customHeight="1"/>
    <row r="22" spans="1:53" s="947" customFormat="1" ht="8.25" customHeight="1" thickBot="1">
      <c r="A22" s="1738"/>
      <c r="B22" s="1738"/>
      <c r="C22" s="1738"/>
      <c r="D22" s="1738"/>
      <c r="E22" s="1771"/>
      <c r="F22" s="1771"/>
      <c r="G22" s="1771"/>
      <c r="H22" s="1771"/>
      <c r="I22" s="1771"/>
      <c r="J22" s="1771"/>
      <c r="K22" s="1771"/>
      <c r="L22" s="1771"/>
      <c r="M22" s="1771"/>
      <c r="N22" s="1771"/>
      <c r="O22" s="1771"/>
      <c r="P22" s="1771"/>
      <c r="Q22" s="1771"/>
      <c r="R22" s="1771"/>
      <c r="S22" s="1771"/>
      <c r="T22" s="1771"/>
      <c r="U22" s="1757"/>
      <c r="V22" s="1757"/>
      <c r="W22" s="1757"/>
      <c r="X22" s="1757"/>
      <c r="Y22" s="1757"/>
      <c r="Z22" s="1769"/>
      <c r="AA22" s="1769"/>
      <c r="AB22" s="1769"/>
      <c r="AC22" s="1769"/>
      <c r="AD22" s="1769"/>
      <c r="AE22" s="1769"/>
      <c r="AF22" s="1769"/>
      <c r="AG22" s="1769"/>
      <c r="AH22" s="1769"/>
      <c r="AI22" s="1769"/>
      <c r="AJ22" s="1769"/>
      <c r="AK22" s="1769"/>
      <c r="AL22" s="1769"/>
      <c r="AM22" s="1769"/>
      <c r="AN22" s="1769"/>
      <c r="AO22" s="1769"/>
      <c r="AP22" s="1769"/>
      <c r="AQ22" s="1769"/>
      <c r="AR22" s="1769"/>
      <c r="AS22" s="1769"/>
      <c r="AT22" s="1769"/>
      <c r="AU22" s="1769"/>
      <c r="AV22" s="1769"/>
      <c r="AW22" s="1769"/>
      <c r="AX22" s="1769"/>
      <c r="AY22" s="1769"/>
      <c r="AZ22" s="1769"/>
      <c r="BA22" s="1769"/>
    </row>
    <row r="23" spans="1:53" ht="19.5" customHeight="1">
      <c r="A23" s="1807" t="s">
        <v>1036</v>
      </c>
      <c r="B23" s="1808"/>
      <c r="C23" s="1808"/>
      <c r="D23" s="1808"/>
      <c r="E23" s="1811" t="s">
        <v>1569</v>
      </c>
      <c r="F23" s="1812"/>
      <c r="G23" s="1812"/>
      <c r="H23" s="1812"/>
      <c r="I23" s="1812"/>
      <c r="J23" s="1812"/>
      <c r="K23" s="1812"/>
      <c r="L23" s="1812"/>
      <c r="M23" s="1812"/>
      <c r="N23" s="1812"/>
      <c r="O23" s="1812"/>
      <c r="P23" s="1812"/>
      <c r="Q23" s="1812"/>
      <c r="R23" s="1812"/>
      <c r="S23" s="1812"/>
      <c r="T23" s="1812"/>
      <c r="U23" s="948"/>
      <c r="V23" s="948"/>
      <c r="W23" s="949"/>
      <c r="X23" s="949"/>
      <c r="Y23" s="949"/>
      <c r="Z23" s="950"/>
      <c r="AA23" s="951"/>
      <c r="AB23" s="1815" t="s">
        <v>495</v>
      </c>
      <c r="AC23" s="1816"/>
      <c r="AD23" s="1817"/>
      <c r="AE23" s="1801" t="s">
        <v>2482</v>
      </c>
      <c r="AF23" s="1802"/>
      <c r="AG23" s="1821"/>
      <c r="AH23" s="1801" t="s">
        <v>1710</v>
      </c>
      <c r="AI23" s="1802"/>
      <c r="AJ23" s="1802"/>
      <c r="AK23" s="1802"/>
      <c r="AL23" s="1802"/>
      <c r="AM23" s="1802"/>
      <c r="AN23" s="1802"/>
      <c r="AO23" s="1802"/>
      <c r="AP23" s="1802"/>
      <c r="AQ23" s="1821"/>
      <c r="AR23" s="1801" t="s">
        <v>277</v>
      </c>
      <c r="AS23" s="1802"/>
      <c r="AT23" s="1802"/>
      <c r="AU23" s="1802"/>
      <c r="AV23" s="1802"/>
      <c r="AW23" s="1802"/>
      <c r="AX23" s="1802"/>
      <c r="AY23" s="1802"/>
      <c r="AZ23" s="1802"/>
      <c r="BA23" s="1803"/>
    </row>
    <row r="24" spans="1:53" ht="20.25" customHeight="1" thickBot="1">
      <c r="A24" s="1809"/>
      <c r="B24" s="1810"/>
      <c r="C24" s="1810"/>
      <c r="D24" s="1810"/>
      <c r="E24" s="1813"/>
      <c r="F24" s="1814"/>
      <c r="G24" s="1814"/>
      <c r="H24" s="1814"/>
      <c r="I24" s="1814"/>
      <c r="J24" s="1814"/>
      <c r="K24" s="1814"/>
      <c r="L24" s="1814"/>
      <c r="M24" s="1814"/>
      <c r="N24" s="1814"/>
      <c r="O24" s="1814"/>
      <c r="P24" s="1814"/>
      <c r="Q24" s="1814"/>
      <c r="R24" s="1814"/>
      <c r="S24" s="1814"/>
      <c r="T24" s="1814"/>
      <c r="U24" s="952"/>
      <c r="V24" s="952"/>
      <c r="W24" s="953"/>
      <c r="X24" s="953"/>
      <c r="Y24" s="953"/>
      <c r="Z24" s="954"/>
      <c r="AA24" s="955"/>
      <c r="AB24" s="1818"/>
      <c r="AC24" s="1819"/>
      <c r="AD24" s="1820"/>
      <c r="AE24" s="1804"/>
      <c r="AF24" s="1805"/>
      <c r="AG24" s="1822"/>
      <c r="AH24" s="1804"/>
      <c r="AI24" s="1805"/>
      <c r="AJ24" s="1805"/>
      <c r="AK24" s="1805"/>
      <c r="AL24" s="1805"/>
      <c r="AM24" s="1805"/>
      <c r="AN24" s="1805"/>
      <c r="AO24" s="1805"/>
      <c r="AP24" s="1805"/>
      <c r="AQ24" s="1822"/>
      <c r="AR24" s="1804"/>
      <c r="AS24" s="1805"/>
      <c r="AT24" s="1805"/>
      <c r="AU24" s="1805"/>
      <c r="AV24" s="1805"/>
      <c r="AW24" s="1805"/>
      <c r="AX24" s="1805"/>
      <c r="AY24" s="1805"/>
      <c r="AZ24" s="1805"/>
      <c r="BA24" s="1806"/>
    </row>
    <row r="25" spans="1:53" ht="13.5" customHeight="1" thickBot="1">
      <c r="A25" s="1764" t="s">
        <v>522</v>
      </c>
      <c r="B25" s="1765"/>
      <c r="C25" s="1765"/>
      <c r="D25" s="1765"/>
      <c r="E25" s="1766">
        <v>2</v>
      </c>
      <c r="F25" s="1767"/>
      <c r="G25" s="1767"/>
      <c r="H25" s="1767"/>
      <c r="I25" s="1767"/>
      <c r="J25" s="1767"/>
      <c r="K25" s="1767"/>
      <c r="L25" s="1767"/>
      <c r="M25" s="1767"/>
      <c r="N25" s="1767"/>
      <c r="O25" s="1767"/>
      <c r="P25" s="1767"/>
      <c r="Q25" s="1767"/>
      <c r="R25" s="1767"/>
      <c r="S25" s="1767"/>
      <c r="T25" s="1767"/>
      <c r="U25" s="956"/>
      <c r="V25" s="956"/>
      <c r="W25" s="956"/>
      <c r="X25" s="956"/>
      <c r="Y25" s="956"/>
      <c r="Z25" s="956"/>
      <c r="AA25" s="957"/>
      <c r="AB25" s="1766">
        <v>3</v>
      </c>
      <c r="AC25" s="1767"/>
      <c r="AD25" s="1768"/>
      <c r="AE25" s="1766">
        <v>4</v>
      </c>
      <c r="AF25" s="1767"/>
      <c r="AG25" s="1768"/>
      <c r="AH25" s="1766">
        <v>5</v>
      </c>
      <c r="AI25" s="1767"/>
      <c r="AJ25" s="1767"/>
      <c r="AK25" s="1767"/>
      <c r="AL25" s="1767"/>
      <c r="AM25" s="1767"/>
      <c r="AN25" s="1767"/>
      <c r="AO25" s="1767"/>
      <c r="AP25" s="1767"/>
      <c r="AQ25" s="1768"/>
      <c r="AR25" s="1766">
        <v>6</v>
      </c>
      <c r="AS25" s="1767"/>
      <c r="AT25" s="1767"/>
      <c r="AU25" s="1767"/>
      <c r="AV25" s="1767"/>
      <c r="AW25" s="1767"/>
      <c r="AX25" s="1767"/>
      <c r="AY25" s="1767"/>
      <c r="AZ25" s="1767"/>
      <c r="BA25" s="1770"/>
    </row>
    <row r="26" spans="1:53" ht="18" customHeight="1">
      <c r="A26" s="1795"/>
      <c r="B26" s="1796"/>
      <c r="C26" s="1796"/>
      <c r="D26" s="1796"/>
      <c r="E26" s="958"/>
      <c r="F26" s="959" t="s">
        <v>448</v>
      </c>
      <c r="G26" s="960"/>
      <c r="H26" s="960"/>
      <c r="I26" s="960"/>
      <c r="J26" s="960"/>
      <c r="K26" s="960"/>
      <c r="L26" s="960"/>
      <c r="M26" s="960"/>
      <c r="N26" s="960"/>
      <c r="O26" s="960"/>
      <c r="P26" s="960"/>
      <c r="Q26" s="960"/>
      <c r="R26" s="960"/>
      <c r="S26" s="960"/>
      <c r="T26" s="960"/>
      <c r="U26" s="961"/>
      <c r="V26" s="961"/>
      <c r="W26" s="961"/>
      <c r="X26" s="961"/>
      <c r="Y26" s="961"/>
      <c r="Z26" s="962"/>
      <c r="AA26" s="963"/>
      <c r="AB26" s="1797"/>
      <c r="AC26" s="1798"/>
      <c r="AD26" s="1799"/>
      <c r="AE26" s="1800"/>
      <c r="AF26" s="1800"/>
      <c r="AG26" s="1800"/>
      <c r="AH26" s="1793"/>
      <c r="AI26" s="1793"/>
      <c r="AJ26" s="1793"/>
      <c r="AK26" s="1793"/>
      <c r="AL26" s="1793"/>
      <c r="AM26" s="1793"/>
      <c r="AN26" s="1793"/>
      <c r="AO26" s="1793"/>
      <c r="AP26" s="1793"/>
      <c r="AQ26" s="1793"/>
      <c r="AR26" s="1793"/>
      <c r="AS26" s="1793"/>
      <c r="AT26" s="1793"/>
      <c r="AU26" s="1793"/>
      <c r="AV26" s="1793"/>
      <c r="AW26" s="1793"/>
      <c r="AX26" s="1793"/>
      <c r="AY26" s="1793"/>
      <c r="AZ26" s="1793"/>
      <c r="BA26" s="1794"/>
    </row>
    <row r="27" spans="1:53" ht="18" customHeight="1">
      <c r="A27" s="1736"/>
      <c r="B27" s="1737"/>
      <c r="C27" s="1737"/>
      <c r="D27" s="1737"/>
      <c r="E27" s="964"/>
      <c r="F27" s="965" t="s">
        <v>449</v>
      </c>
      <c r="G27" s="965"/>
      <c r="H27" s="965"/>
      <c r="I27" s="965"/>
      <c r="J27" s="965"/>
      <c r="K27" s="965"/>
      <c r="L27" s="965"/>
      <c r="M27" s="965"/>
      <c r="N27" s="965"/>
      <c r="O27" s="965"/>
      <c r="P27" s="965"/>
      <c r="Q27" s="965"/>
      <c r="R27" s="965"/>
      <c r="S27" s="965"/>
      <c r="T27" s="965"/>
      <c r="U27" s="965"/>
      <c r="V27" s="965"/>
      <c r="W27" s="965"/>
      <c r="X27" s="965"/>
      <c r="Y27" s="965"/>
      <c r="Z27" s="966"/>
      <c r="AA27" s="967"/>
      <c r="AB27" s="1744"/>
      <c r="AC27" s="1745"/>
      <c r="AD27" s="1746"/>
      <c r="AE27" s="1747"/>
      <c r="AF27" s="1747"/>
      <c r="AG27" s="1747"/>
      <c r="AH27" s="1748"/>
      <c r="AI27" s="1748"/>
      <c r="AJ27" s="1748"/>
      <c r="AK27" s="1748"/>
      <c r="AL27" s="1748"/>
      <c r="AM27" s="1748"/>
      <c r="AN27" s="1748"/>
      <c r="AO27" s="1748"/>
      <c r="AP27" s="1748"/>
      <c r="AQ27" s="1748"/>
      <c r="AR27" s="1748"/>
      <c r="AS27" s="1748"/>
      <c r="AT27" s="1748"/>
      <c r="AU27" s="1748"/>
      <c r="AV27" s="1748"/>
      <c r="AW27" s="1748"/>
      <c r="AX27" s="1748"/>
      <c r="AY27" s="1748"/>
      <c r="AZ27" s="1748"/>
      <c r="BA27" s="1756"/>
    </row>
    <row r="28" spans="1:53" ht="18" customHeight="1">
      <c r="A28" s="1736"/>
      <c r="B28" s="1737"/>
      <c r="C28" s="1737"/>
      <c r="D28" s="1737"/>
      <c r="E28" s="964"/>
      <c r="F28" s="968" t="s">
        <v>450</v>
      </c>
      <c r="G28" s="965"/>
      <c r="H28" s="965"/>
      <c r="I28" s="965"/>
      <c r="J28" s="965"/>
      <c r="K28" s="965"/>
      <c r="L28" s="965"/>
      <c r="M28" s="965"/>
      <c r="N28" s="965"/>
      <c r="O28" s="965"/>
      <c r="P28" s="965"/>
      <c r="Q28" s="965"/>
      <c r="R28" s="965"/>
      <c r="S28" s="965"/>
      <c r="T28" s="965"/>
      <c r="U28" s="965"/>
      <c r="V28" s="965"/>
      <c r="W28" s="965"/>
      <c r="X28" s="965"/>
      <c r="Y28" s="965"/>
      <c r="Z28" s="966"/>
      <c r="AA28" s="967"/>
      <c r="AB28" s="1744"/>
      <c r="AC28" s="1745"/>
      <c r="AD28" s="1746"/>
      <c r="AE28" s="1747" t="s">
        <v>895</v>
      </c>
      <c r="AF28" s="1747"/>
      <c r="AG28" s="1747"/>
      <c r="AH28" s="1748">
        <f>AH29+AH33+AH37+AH38</f>
        <v>0</v>
      </c>
      <c r="AI28" s="1748"/>
      <c r="AJ28" s="1748"/>
      <c r="AK28" s="1748"/>
      <c r="AL28" s="1748"/>
      <c r="AM28" s="1748"/>
      <c r="AN28" s="1748"/>
      <c r="AO28" s="1748"/>
      <c r="AP28" s="1748"/>
      <c r="AQ28" s="1748"/>
      <c r="AR28" s="1748">
        <f>AR29+AR33+AR37+AR38</f>
        <v>0</v>
      </c>
      <c r="AS28" s="1748"/>
      <c r="AT28" s="1748"/>
      <c r="AU28" s="1748"/>
      <c r="AV28" s="1748"/>
      <c r="AW28" s="1748"/>
      <c r="AX28" s="1748"/>
      <c r="AY28" s="1748"/>
      <c r="AZ28" s="1748"/>
      <c r="BA28" s="1756"/>
    </row>
    <row r="29" spans="1:53" ht="18" customHeight="1">
      <c r="A29" s="1736" t="s">
        <v>1128</v>
      </c>
      <c r="B29" s="1737"/>
      <c r="C29" s="1737"/>
      <c r="D29" s="1737"/>
      <c r="E29" s="965" t="s">
        <v>451</v>
      </c>
      <c r="F29" s="947"/>
      <c r="G29" s="965"/>
      <c r="H29" s="965"/>
      <c r="I29" s="965"/>
      <c r="J29" s="965"/>
      <c r="K29" s="965"/>
      <c r="L29" s="965"/>
      <c r="M29" s="965"/>
      <c r="N29" s="965"/>
      <c r="O29" s="965"/>
      <c r="P29" s="965"/>
      <c r="Q29" s="965"/>
      <c r="R29" s="965"/>
      <c r="S29" s="965"/>
      <c r="T29" s="965"/>
      <c r="U29" s="965"/>
      <c r="V29" s="965"/>
      <c r="W29" s="965"/>
      <c r="X29" s="965"/>
      <c r="Y29" s="965"/>
      <c r="Z29" s="966"/>
      <c r="AA29" s="967"/>
      <c r="AB29" s="1744"/>
      <c r="AC29" s="1745"/>
      <c r="AD29" s="1746"/>
      <c r="AE29" s="1747" t="s">
        <v>515</v>
      </c>
      <c r="AF29" s="1747"/>
      <c r="AG29" s="1747"/>
      <c r="AH29" s="1748">
        <f>SUM(AH30:AH32)</f>
        <v>0</v>
      </c>
      <c r="AI29" s="1748"/>
      <c r="AJ29" s="1748"/>
      <c r="AK29" s="1748"/>
      <c r="AL29" s="1748"/>
      <c r="AM29" s="1748"/>
      <c r="AN29" s="1748"/>
      <c r="AO29" s="1748"/>
      <c r="AP29" s="1748"/>
      <c r="AQ29" s="1748"/>
      <c r="AR29" s="1748">
        <f>SUM(AR30:BA32)</f>
        <v>0</v>
      </c>
      <c r="AS29" s="1748"/>
      <c r="AT29" s="1748"/>
      <c r="AU29" s="1748"/>
      <c r="AV29" s="1748"/>
      <c r="AW29" s="1748"/>
      <c r="AX29" s="1748"/>
      <c r="AY29" s="1748"/>
      <c r="AZ29" s="1748"/>
      <c r="BA29" s="1756"/>
    </row>
    <row r="30" spans="1:53" ht="18" customHeight="1">
      <c r="A30" s="1736" t="s">
        <v>2216</v>
      </c>
      <c r="B30" s="1737"/>
      <c r="C30" s="1737"/>
      <c r="D30" s="1737"/>
      <c r="E30" s="964"/>
      <c r="F30" s="965" t="s">
        <v>2691</v>
      </c>
      <c r="G30" s="965"/>
      <c r="H30" s="965"/>
      <c r="I30" s="965"/>
      <c r="J30" s="965"/>
      <c r="K30" s="965"/>
      <c r="L30" s="965"/>
      <c r="M30" s="965"/>
      <c r="N30" s="965"/>
      <c r="O30" s="965"/>
      <c r="P30" s="965"/>
      <c r="Q30" s="965"/>
      <c r="R30" s="965"/>
      <c r="S30" s="965"/>
      <c r="T30" s="965"/>
      <c r="U30" s="965"/>
      <c r="V30" s="965"/>
      <c r="W30" s="965"/>
      <c r="X30" s="965"/>
      <c r="Y30" s="965"/>
      <c r="Z30" s="966"/>
      <c r="AA30" s="967"/>
      <c r="AB30" s="1744"/>
      <c r="AC30" s="1745"/>
      <c r="AD30" s="1746"/>
      <c r="AE30" s="1747" t="s">
        <v>516</v>
      </c>
      <c r="AF30" s="1747"/>
      <c r="AG30" s="1747"/>
      <c r="AH30" s="1748">
        <f>SUMIF(unos!E:E,AE30,unos!G:G)</f>
        <v>0</v>
      </c>
      <c r="AI30" s="1748"/>
      <c r="AJ30" s="1748"/>
      <c r="AK30" s="1748"/>
      <c r="AL30" s="1748"/>
      <c r="AM30" s="1748"/>
      <c r="AN30" s="1748"/>
      <c r="AO30" s="1748"/>
      <c r="AP30" s="1748"/>
      <c r="AQ30" s="1748"/>
      <c r="AR30" s="1748">
        <f>SUMIF(unos!E:E,AE30,unos!F:F)</f>
        <v>0</v>
      </c>
      <c r="AS30" s="1748"/>
      <c r="AT30" s="1748"/>
      <c r="AU30" s="1748"/>
      <c r="AV30" s="1748"/>
      <c r="AW30" s="1748"/>
      <c r="AX30" s="1748"/>
      <c r="AY30" s="1748"/>
      <c r="AZ30" s="1748"/>
      <c r="BA30" s="1756"/>
    </row>
    <row r="31" spans="1:53" ht="18" customHeight="1">
      <c r="A31" s="1736" t="s">
        <v>2217</v>
      </c>
      <c r="B31" s="1737"/>
      <c r="C31" s="1737"/>
      <c r="D31" s="1737"/>
      <c r="E31" s="964"/>
      <c r="F31" s="965" t="s">
        <v>2692</v>
      </c>
      <c r="G31" s="965"/>
      <c r="H31" s="965"/>
      <c r="I31" s="965"/>
      <c r="J31" s="965"/>
      <c r="K31" s="965"/>
      <c r="L31" s="965"/>
      <c r="M31" s="965"/>
      <c r="N31" s="965"/>
      <c r="O31" s="965"/>
      <c r="P31" s="965"/>
      <c r="Q31" s="965"/>
      <c r="R31" s="965"/>
      <c r="S31" s="965"/>
      <c r="T31" s="965"/>
      <c r="U31" s="965"/>
      <c r="V31" s="965"/>
      <c r="W31" s="965"/>
      <c r="X31" s="965"/>
      <c r="Y31" s="965"/>
      <c r="Z31" s="966"/>
      <c r="AA31" s="967"/>
      <c r="AB31" s="1744"/>
      <c r="AC31" s="1745"/>
      <c r="AD31" s="1746"/>
      <c r="AE31" s="1747" t="s">
        <v>517</v>
      </c>
      <c r="AF31" s="1747"/>
      <c r="AG31" s="1747"/>
      <c r="AH31" s="1748">
        <f>SUMIF(unos!E:E,AE31,unos!G:G)</f>
        <v>0</v>
      </c>
      <c r="AI31" s="1748"/>
      <c r="AJ31" s="1748"/>
      <c r="AK31" s="1748"/>
      <c r="AL31" s="1748"/>
      <c r="AM31" s="1748"/>
      <c r="AN31" s="1748"/>
      <c r="AO31" s="1748"/>
      <c r="AP31" s="1748"/>
      <c r="AQ31" s="1748"/>
      <c r="AR31" s="1748">
        <f>SUMIF(unos!E:E,AE31,unos!F:F)</f>
        <v>0</v>
      </c>
      <c r="AS31" s="1748"/>
      <c r="AT31" s="1748"/>
      <c r="AU31" s="1748"/>
      <c r="AV31" s="1748"/>
      <c r="AW31" s="1748"/>
      <c r="AX31" s="1748"/>
      <c r="AY31" s="1748"/>
      <c r="AZ31" s="1748"/>
      <c r="BA31" s="1756"/>
    </row>
    <row r="32" spans="1:53" ht="18" customHeight="1">
      <c r="A32" s="1736" t="s">
        <v>2218</v>
      </c>
      <c r="B32" s="1737"/>
      <c r="C32" s="1737"/>
      <c r="D32" s="1737"/>
      <c r="E32" s="964"/>
      <c r="F32" s="965" t="s">
        <v>2693</v>
      </c>
      <c r="G32" s="965"/>
      <c r="H32" s="965"/>
      <c r="I32" s="965"/>
      <c r="J32" s="965"/>
      <c r="K32" s="965"/>
      <c r="L32" s="965"/>
      <c r="M32" s="965"/>
      <c r="N32" s="965"/>
      <c r="O32" s="965"/>
      <c r="P32" s="965"/>
      <c r="Q32" s="965"/>
      <c r="R32" s="965"/>
      <c r="S32" s="965"/>
      <c r="T32" s="965"/>
      <c r="U32" s="965"/>
      <c r="V32" s="965"/>
      <c r="W32" s="965"/>
      <c r="X32" s="965"/>
      <c r="Y32" s="965"/>
      <c r="Z32" s="966"/>
      <c r="AA32" s="967"/>
      <c r="AB32" s="1744"/>
      <c r="AC32" s="1745"/>
      <c r="AD32" s="1746"/>
      <c r="AE32" s="1747" t="s">
        <v>518</v>
      </c>
      <c r="AF32" s="1747"/>
      <c r="AG32" s="1747"/>
      <c r="AH32" s="1748">
        <f>SUMIF(unos!E:E,AE32,unos!G:G)</f>
        <v>0</v>
      </c>
      <c r="AI32" s="1748"/>
      <c r="AJ32" s="1748"/>
      <c r="AK32" s="1748"/>
      <c r="AL32" s="1748"/>
      <c r="AM32" s="1748"/>
      <c r="AN32" s="1748"/>
      <c r="AO32" s="1748"/>
      <c r="AP32" s="1748"/>
      <c r="AQ32" s="1748"/>
      <c r="AR32" s="1748">
        <f>SUMIF(unos!E:E,AE32,unos!F:F)</f>
        <v>0</v>
      </c>
      <c r="AS32" s="1748"/>
      <c r="AT32" s="1748"/>
      <c r="AU32" s="1748"/>
      <c r="AV32" s="1748"/>
      <c r="AW32" s="1748"/>
      <c r="AX32" s="1748"/>
      <c r="AY32" s="1748"/>
      <c r="AZ32" s="1748"/>
      <c r="BA32" s="1756"/>
    </row>
    <row r="33" spans="1:53" ht="18" customHeight="1">
      <c r="A33" s="1736" t="s">
        <v>1526</v>
      </c>
      <c r="B33" s="1737"/>
      <c r="C33" s="1737"/>
      <c r="D33" s="1737"/>
      <c r="E33" s="964" t="s">
        <v>2694</v>
      </c>
      <c r="F33" s="965"/>
      <c r="G33" s="965"/>
      <c r="H33" s="965"/>
      <c r="I33" s="965"/>
      <c r="J33" s="965"/>
      <c r="K33" s="965"/>
      <c r="L33" s="965"/>
      <c r="M33" s="965"/>
      <c r="N33" s="965"/>
      <c r="O33" s="965"/>
      <c r="P33" s="965"/>
      <c r="Q33" s="965"/>
      <c r="R33" s="965"/>
      <c r="S33" s="965"/>
      <c r="T33" s="965"/>
      <c r="U33" s="965"/>
      <c r="V33" s="965"/>
      <c r="W33" s="965"/>
      <c r="X33" s="965"/>
      <c r="Y33" s="965"/>
      <c r="Z33" s="966"/>
      <c r="AA33" s="967"/>
      <c r="AB33" s="1744"/>
      <c r="AC33" s="1745"/>
      <c r="AD33" s="1746"/>
      <c r="AE33" s="1747" t="s">
        <v>520</v>
      </c>
      <c r="AF33" s="1747"/>
      <c r="AG33" s="1747"/>
      <c r="AH33" s="1748">
        <f>SUM(AH34:AH36)</f>
        <v>0</v>
      </c>
      <c r="AI33" s="1748"/>
      <c r="AJ33" s="1748"/>
      <c r="AK33" s="1748"/>
      <c r="AL33" s="1748"/>
      <c r="AM33" s="1748"/>
      <c r="AN33" s="1748"/>
      <c r="AO33" s="1748"/>
      <c r="AP33" s="1748"/>
      <c r="AQ33" s="1748"/>
      <c r="AR33" s="1748">
        <f>SUM(AR34:BA36)</f>
        <v>0</v>
      </c>
      <c r="AS33" s="1748"/>
      <c r="AT33" s="1748"/>
      <c r="AU33" s="1748"/>
      <c r="AV33" s="1748"/>
      <c r="AW33" s="1748"/>
      <c r="AX33" s="1748"/>
      <c r="AY33" s="1748"/>
      <c r="AZ33" s="1748"/>
      <c r="BA33" s="1756"/>
    </row>
    <row r="34" spans="1:53" ht="18" customHeight="1">
      <c r="A34" s="1736" t="s">
        <v>816</v>
      </c>
      <c r="B34" s="1737"/>
      <c r="C34" s="1737"/>
      <c r="D34" s="1737"/>
      <c r="E34" s="964"/>
      <c r="F34" s="965" t="s">
        <v>2695</v>
      </c>
      <c r="G34" s="965"/>
      <c r="H34" s="965"/>
      <c r="I34" s="965"/>
      <c r="J34" s="965"/>
      <c r="K34" s="965"/>
      <c r="L34" s="965"/>
      <c r="M34" s="965"/>
      <c r="N34" s="965"/>
      <c r="O34" s="965"/>
      <c r="P34" s="965"/>
      <c r="Q34" s="965"/>
      <c r="R34" s="965"/>
      <c r="S34" s="965"/>
      <c r="T34" s="965"/>
      <c r="U34" s="965"/>
      <c r="V34" s="965"/>
      <c r="W34" s="965"/>
      <c r="X34" s="965"/>
      <c r="Y34" s="965"/>
      <c r="Z34" s="966"/>
      <c r="AA34" s="967"/>
      <c r="AB34" s="1744"/>
      <c r="AC34" s="1745"/>
      <c r="AD34" s="1746"/>
      <c r="AE34" s="1747" t="s">
        <v>2321</v>
      </c>
      <c r="AF34" s="1747"/>
      <c r="AG34" s="1747"/>
      <c r="AH34" s="1748">
        <f>SUMIF(unos!E:E,AE34,unos!G:G)</f>
        <v>0</v>
      </c>
      <c r="AI34" s="1748"/>
      <c r="AJ34" s="1748"/>
      <c r="AK34" s="1748"/>
      <c r="AL34" s="1748"/>
      <c r="AM34" s="1748"/>
      <c r="AN34" s="1748"/>
      <c r="AO34" s="1748"/>
      <c r="AP34" s="1748"/>
      <c r="AQ34" s="1748"/>
      <c r="AR34" s="1748">
        <f>SUMIF(unos!E:E,AE34,unos!F:F)</f>
        <v>0</v>
      </c>
      <c r="AS34" s="1748"/>
      <c r="AT34" s="1748"/>
      <c r="AU34" s="1748"/>
      <c r="AV34" s="1748"/>
      <c r="AW34" s="1748"/>
      <c r="AX34" s="1748"/>
      <c r="AY34" s="1748"/>
      <c r="AZ34" s="1748"/>
      <c r="BA34" s="1756"/>
    </row>
    <row r="35" spans="1:53" ht="18" customHeight="1">
      <c r="A35" s="1736" t="s">
        <v>889</v>
      </c>
      <c r="B35" s="1737"/>
      <c r="C35" s="1737"/>
      <c r="D35" s="1737"/>
      <c r="E35" s="964"/>
      <c r="F35" s="965" t="s">
        <v>2696</v>
      </c>
      <c r="G35" s="965"/>
      <c r="H35" s="965"/>
      <c r="I35" s="965"/>
      <c r="J35" s="965"/>
      <c r="K35" s="965"/>
      <c r="L35" s="965"/>
      <c r="M35" s="965"/>
      <c r="N35" s="965"/>
      <c r="O35" s="965"/>
      <c r="P35" s="965"/>
      <c r="Q35" s="965"/>
      <c r="R35" s="965"/>
      <c r="S35" s="965"/>
      <c r="T35" s="965"/>
      <c r="U35" s="965"/>
      <c r="V35" s="965"/>
      <c r="W35" s="965"/>
      <c r="X35" s="965"/>
      <c r="Y35" s="965"/>
      <c r="Z35" s="966"/>
      <c r="AA35" s="967"/>
      <c r="AB35" s="1744"/>
      <c r="AC35" s="1745"/>
      <c r="AD35" s="1746"/>
      <c r="AE35" s="1747" t="s">
        <v>331</v>
      </c>
      <c r="AF35" s="1747"/>
      <c r="AG35" s="1747"/>
      <c r="AH35" s="1748">
        <f>SUMIF(unos!E:E,AE35,unos!G:G)</f>
        <v>0</v>
      </c>
      <c r="AI35" s="1748"/>
      <c r="AJ35" s="1748"/>
      <c r="AK35" s="1748"/>
      <c r="AL35" s="1748"/>
      <c r="AM35" s="1748"/>
      <c r="AN35" s="1748"/>
      <c r="AO35" s="1748"/>
      <c r="AP35" s="1748"/>
      <c r="AQ35" s="1748"/>
      <c r="AR35" s="1748">
        <f>SUMIF(unos!E:E,AE35,unos!F:F)</f>
        <v>0</v>
      </c>
      <c r="AS35" s="1748"/>
      <c r="AT35" s="1748"/>
      <c r="AU35" s="1748"/>
      <c r="AV35" s="1748"/>
      <c r="AW35" s="1748"/>
      <c r="AX35" s="1748"/>
      <c r="AY35" s="1748"/>
      <c r="AZ35" s="1748"/>
      <c r="BA35" s="1756"/>
    </row>
    <row r="36" spans="1:53" ht="18" customHeight="1">
      <c r="A36" s="1736" t="s">
        <v>890</v>
      </c>
      <c r="B36" s="1737"/>
      <c r="C36" s="1737"/>
      <c r="D36" s="1737"/>
      <c r="E36" s="964"/>
      <c r="F36" s="965" t="s">
        <v>2697</v>
      </c>
      <c r="G36" s="965"/>
      <c r="H36" s="965"/>
      <c r="I36" s="965"/>
      <c r="J36" s="965"/>
      <c r="K36" s="965"/>
      <c r="L36" s="965"/>
      <c r="M36" s="965"/>
      <c r="N36" s="965"/>
      <c r="O36" s="965"/>
      <c r="P36" s="965"/>
      <c r="Q36" s="965"/>
      <c r="R36" s="965"/>
      <c r="S36" s="965"/>
      <c r="T36" s="965"/>
      <c r="U36" s="965"/>
      <c r="V36" s="965"/>
      <c r="W36" s="965"/>
      <c r="X36" s="965"/>
      <c r="Y36" s="965"/>
      <c r="Z36" s="966"/>
      <c r="AA36" s="967"/>
      <c r="AB36" s="1744"/>
      <c r="AC36" s="1745"/>
      <c r="AD36" s="1746"/>
      <c r="AE36" s="1747" t="s">
        <v>332</v>
      </c>
      <c r="AF36" s="1747"/>
      <c r="AG36" s="1747"/>
      <c r="AH36" s="1748">
        <f>SUMIF(unos!E:E,AE36,unos!G:G)</f>
        <v>0</v>
      </c>
      <c r="AI36" s="1748"/>
      <c r="AJ36" s="1748"/>
      <c r="AK36" s="1748"/>
      <c r="AL36" s="1748"/>
      <c r="AM36" s="1748"/>
      <c r="AN36" s="1748"/>
      <c r="AO36" s="1748"/>
      <c r="AP36" s="1748"/>
      <c r="AQ36" s="1748"/>
      <c r="AR36" s="1748">
        <f>SUMIF(unos!E:E,AE36,unos!F:F)</f>
        <v>0</v>
      </c>
      <c r="AS36" s="1748"/>
      <c r="AT36" s="1748"/>
      <c r="AU36" s="1748"/>
      <c r="AV36" s="1748"/>
      <c r="AW36" s="1748"/>
      <c r="AX36" s="1748"/>
      <c r="AY36" s="1748"/>
      <c r="AZ36" s="1748"/>
      <c r="BA36" s="1756"/>
    </row>
    <row r="37" spans="1:53" ht="18" customHeight="1">
      <c r="A37" s="1736" t="s">
        <v>891</v>
      </c>
      <c r="B37" s="1737"/>
      <c r="C37" s="1737"/>
      <c r="D37" s="1737"/>
      <c r="E37" s="964" t="s">
        <v>2698</v>
      </c>
      <c r="F37" s="965"/>
      <c r="G37" s="965"/>
      <c r="H37" s="965"/>
      <c r="I37" s="965"/>
      <c r="J37" s="965"/>
      <c r="K37" s="965"/>
      <c r="L37" s="965"/>
      <c r="M37" s="965"/>
      <c r="N37" s="965"/>
      <c r="O37" s="965"/>
      <c r="P37" s="965"/>
      <c r="Q37" s="965"/>
      <c r="R37" s="965"/>
      <c r="S37" s="965"/>
      <c r="T37" s="965"/>
      <c r="U37" s="965"/>
      <c r="V37" s="965"/>
      <c r="W37" s="965"/>
      <c r="X37" s="965"/>
      <c r="Y37" s="965"/>
      <c r="Z37" s="966"/>
      <c r="AA37" s="967"/>
      <c r="AB37" s="1744"/>
      <c r="AC37" s="1745"/>
      <c r="AD37" s="1746"/>
      <c r="AE37" s="1747" t="s">
        <v>2544</v>
      </c>
      <c r="AF37" s="1747"/>
      <c r="AG37" s="1747"/>
      <c r="AH37" s="1748">
        <f>SUMIF(unos!E:E,AE37,unos!G:G)</f>
        <v>0</v>
      </c>
      <c r="AI37" s="1748"/>
      <c r="AJ37" s="1748"/>
      <c r="AK37" s="1748"/>
      <c r="AL37" s="1748"/>
      <c r="AM37" s="1748"/>
      <c r="AN37" s="1748"/>
      <c r="AO37" s="1748"/>
      <c r="AP37" s="1748"/>
      <c r="AQ37" s="1748"/>
      <c r="AR37" s="1748">
        <f>SUMIF(unos!E:E,AE37,unos!F:F)</f>
        <v>0</v>
      </c>
      <c r="AS37" s="1748"/>
      <c r="AT37" s="1748"/>
      <c r="AU37" s="1748"/>
      <c r="AV37" s="1748"/>
      <c r="AW37" s="1748"/>
      <c r="AX37" s="1748"/>
      <c r="AY37" s="1748"/>
      <c r="AZ37" s="1748"/>
      <c r="BA37" s="1756"/>
    </row>
    <row r="38" spans="1:53" ht="18" customHeight="1" thickBot="1">
      <c r="A38" s="1742" t="s">
        <v>2699</v>
      </c>
      <c r="B38" s="1743"/>
      <c r="C38" s="1743"/>
      <c r="D38" s="1743"/>
      <c r="E38" s="969" t="s">
        <v>2700</v>
      </c>
      <c r="F38" s="970"/>
      <c r="G38" s="970"/>
      <c r="H38" s="970"/>
      <c r="I38" s="970"/>
      <c r="J38" s="970"/>
      <c r="K38" s="970"/>
      <c r="L38" s="970"/>
      <c r="M38" s="970"/>
      <c r="N38" s="970"/>
      <c r="O38" s="970"/>
      <c r="P38" s="970"/>
      <c r="Q38" s="970"/>
      <c r="R38" s="970"/>
      <c r="S38" s="970"/>
      <c r="T38" s="970"/>
      <c r="U38" s="970"/>
      <c r="V38" s="970"/>
      <c r="W38" s="970"/>
      <c r="X38" s="970"/>
      <c r="Y38" s="970"/>
      <c r="Z38" s="971"/>
      <c r="AA38" s="972"/>
      <c r="AB38" s="1749"/>
      <c r="AC38" s="1750"/>
      <c r="AD38" s="1751"/>
      <c r="AE38" s="1752" t="s">
        <v>2545</v>
      </c>
      <c r="AF38" s="1752"/>
      <c r="AG38" s="1752"/>
      <c r="AH38" s="1734">
        <f>SUMIF(unos!E:E,AE38,unos!G:G)</f>
        <v>0</v>
      </c>
      <c r="AI38" s="1734"/>
      <c r="AJ38" s="1734"/>
      <c r="AK38" s="1734"/>
      <c r="AL38" s="1734"/>
      <c r="AM38" s="1734"/>
      <c r="AN38" s="1734"/>
      <c r="AO38" s="1734"/>
      <c r="AP38" s="1734"/>
      <c r="AQ38" s="1734"/>
      <c r="AR38" s="1734">
        <f>SUMIF(unos!E:E,AE38,unos!F:F)</f>
        <v>0</v>
      </c>
      <c r="AS38" s="1734"/>
      <c r="AT38" s="1734"/>
      <c r="AU38" s="1734"/>
      <c r="AV38" s="1734"/>
      <c r="AW38" s="1734"/>
      <c r="AX38" s="1734"/>
      <c r="AY38" s="1734"/>
      <c r="AZ38" s="1734"/>
      <c r="BA38" s="1735"/>
    </row>
    <row r="39" spans="1:53" s="947" customFormat="1" ht="15.75" customHeight="1">
      <c r="A39" s="1738"/>
      <c r="B39" s="1738"/>
      <c r="C39" s="1738"/>
      <c r="D39" s="1738"/>
      <c r="E39" s="1792"/>
      <c r="F39" s="1792"/>
      <c r="G39" s="1792"/>
      <c r="H39" s="1792"/>
      <c r="I39" s="1792"/>
      <c r="J39" s="1792"/>
      <c r="K39" s="1792"/>
      <c r="L39" s="1792"/>
      <c r="M39" s="1792"/>
      <c r="N39" s="1792"/>
      <c r="O39" s="1792"/>
      <c r="P39" s="1792"/>
      <c r="Q39" s="1792"/>
      <c r="R39" s="1792"/>
      <c r="S39" s="1792"/>
      <c r="T39" s="1792"/>
      <c r="U39" s="1757"/>
      <c r="V39" s="1757"/>
      <c r="W39" s="1757"/>
      <c r="X39" s="1757"/>
      <c r="Y39" s="1757"/>
      <c r="Z39" s="1769"/>
      <c r="AA39" s="1769"/>
      <c r="AB39" s="1769"/>
      <c r="AC39" s="1769"/>
      <c r="AD39" s="1769"/>
      <c r="AE39" s="1769"/>
      <c r="AF39" s="1769"/>
      <c r="AG39" s="1769"/>
      <c r="AH39" s="1769"/>
      <c r="AI39" s="1769"/>
      <c r="AJ39" s="1769"/>
      <c r="AK39" s="1769"/>
      <c r="AL39" s="1769"/>
      <c r="AM39" s="1769"/>
      <c r="AN39" s="1769"/>
      <c r="AO39" s="1769"/>
      <c r="AP39" s="1769"/>
      <c r="AQ39" s="1769"/>
      <c r="AR39" s="1769"/>
      <c r="AS39" s="1769"/>
      <c r="AT39" s="1769"/>
      <c r="AU39" s="1774" t="s">
        <v>847</v>
      </c>
      <c r="AV39" s="1774"/>
      <c r="AW39" s="1774"/>
      <c r="AX39" s="1774"/>
      <c r="AY39" s="1774"/>
      <c r="AZ39" s="1774"/>
      <c r="BA39" s="1774"/>
    </row>
    <row r="40" spans="1:53" s="947" customFormat="1" ht="15.75" customHeight="1" thickBot="1">
      <c r="A40" s="940"/>
      <c r="B40" s="940"/>
      <c r="C40" s="940"/>
      <c r="D40" s="940"/>
      <c r="E40" s="936"/>
      <c r="F40" s="936"/>
      <c r="G40" s="936"/>
      <c r="H40" s="936"/>
      <c r="I40" s="936"/>
      <c r="J40" s="936"/>
      <c r="K40" s="936"/>
      <c r="L40" s="936"/>
      <c r="M40" s="936"/>
      <c r="N40" s="936"/>
      <c r="O40" s="936"/>
      <c r="P40" s="936"/>
      <c r="Q40" s="936"/>
      <c r="R40" s="936"/>
      <c r="S40" s="936"/>
      <c r="T40" s="936"/>
      <c r="U40" s="939"/>
      <c r="V40" s="939"/>
      <c r="W40" s="939"/>
      <c r="X40" s="939"/>
      <c r="Y40" s="939"/>
      <c r="Z40" s="938"/>
      <c r="AA40" s="938"/>
      <c r="AB40" s="938"/>
      <c r="AC40" s="938"/>
      <c r="AD40" s="938"/>
      <c r="AE40" s="938"/>
      <c r="AF40" s="938"/>
      <c r="AG40" s="938"/>
      <c r="AH40" s="938"/>
      <c r="AI40" s="938"/>
      <c r="AJ40" s="938"/>
      <c r="AK40" s="938"/>
      <c r="AL40" s="938"/>
      <c r="AM40" s="938"/>
      <c r="AN40" s="938"/>
      <c r="AO40" s="938"/>
      <c r="AP40" s="938"/>
      <c r="AQ40" s="938"/>
      <c r="AR40" s="938"/>
      <c r="AS40" s="938"/>
      <c r="AT40" s="938"/>
      <c r="AU40" s="938"/>
      <c r="AV40" s="938"/>
      <c r="AW40" s="938"/>
      <c r="AX40" s="938"/>
      <c r="AY40" s="938"/>
      <c r="AZ40" s="938"/>
      <c r="BA40" s="938"/>
    </row>
    <row r="41" spans="1:53" ht="13.5" customHeight="1" thickBot="1">
      <c r="A41" s="1764" t="s">
        <v>522</v>
      </c>
      <c r="B41" s="1765"/>
      <c r="C41" s="1765"/>
      <c r="D41" s="1765"/>
      <c r="E41" s="1766">
        <v>2</v>
      </c>
      <c r="F41" s="1767"/>
      <c r="G41" s="1767"/>
      <c r="H41" s="1767"/>
      <c r="I41" s="1767"/>
      <c r="J41" s="1767"/>
      <c r="K41" s="1767"/>
      <c r="L41" s="1767"/>
      <c r="M41" s="1767"/>
      <c r="N41" s="1767"/>
      <c r="O41" s="1767"/>
      <c r="P41" s="1767"/>
      <c r="Q41" s="1767"/>
      <c r="R41" s="1767"/>
      <c r="S41" s="1767"/>
      <c r="T41" s="1767"/>
      <c r="U41" s="956"/>
      <c r="V41" s="956"/>
      <c r="W41" s="956"/>
      <c r="X41" s="956"/>
      <c r="Y41" s="956"/>
      <c r="Z41" s="956"/>
      <c r="AA41" s="957"/>
      <c r="AB41" s="1766">
        <v>3</v>
      </c>
      <c r="AC41" s="1767"/>
      <c r="AD41" s="1768"/>
      <c r="AE41" s="1766">
        <v>4</v>
      </c>
      <c r="AF41" s="1767"/>
      <c r="AG41" s="1768"/>
      <c r="AH41" s="1766">
        <v>5</v>
      </c>
      <c r="AI41" s="1767"/>
      <c r="AJ41" s="1767"/>
      <c r="AK41" s="1767"/>
      <c r="AL41" s="1767"/>
      <c r="AM41" s="1767"/>
      <c r="AN41" s="1767"/>
      <c r="AO41" s="1767"/>
      <c r="AP41" s="1767"/>
      <c r="AQ41" s="1768"/>
      <c r="AR41" s="1766">
        <v>6</v>
      </c>
      <c r="AS41" s="1767"/>
      <c r="AT41" s="1767"/>
      <c r="AU41" s="1767"/>
      <c r="AV41" s="1767"/>
      <c r="AW41" s="1767"/>
      <c r="AX41" s="1767"/>
      <c r="AY41" s="1767"/>
      <c r="AZ41" s="1767"/>
      <c r="BA41" s="1770"/>
    </row>
    <row r="42" spans="1:53" ht="18.75" customHeight="1">
      <c r="A42" s="1736"/>
      <c r="B42" s="1737"/>
      <c r="C42" s="1737"/>
      <c r="D42" s="1737"/>
      <c r="E42" s="973"/>
      <c r="F42" s="959" t="s">
        <v>2701</v>
      </c>
      <c r="G42" s="960"/>
      <c r="H42" s="960"/>
      <c r="I42" s="960"/>
      <c r="J42" s="960"/>
      <c r="K42" s="960"/>
      <c r="L42" s="960"/>
      <c r="M42" s="960"/>
      <c r="N42" s="960"/>
      <c r="O42" s="960"/>
      <c r="P42" s="960"/>
      <c r="Q42" s="960"/>
      <c r="R42" s="960"/>
      <c r="S42" s="960"/>
      <c r="T42" s="960"/>
      <c r="U42" s="960"/>
      <c r="V42" s="960"/>
      <c r="W42" s="960"/>
      <c r="X42" s="960"/>
      <c r="Y42" s="960"/>
      <c r="Z42" s="974"/>
      <c r="AA42" s="975"/>
      <c r="AB42" s="1744"/>
      <c r="AC42" s="1745"/>
      <c r="AD42" s="1746"/>
      <c r="AE42" s="1747" t="s">
        <v>2546</v>
      </c>
      <c r="AF42" s="1747"/>
      <c r="AG42" s="1747"/>
      <c r="AH42" s="1748">
        <f>AH43+AH44+AH45+AH49+AH50+AH51+AH52-AH53+AH54</f>
        <v>0</v>
      </c>
      <c r="AI42" s="1748"/>
      <c r="AJ42" s="1748"/>
      <c r="AK42" s="1748"/>
      <c r="AL42" s="1748"/>
      <c r="AM42" s="1748"/>
      <c r="AN42" s="1748"/>
      <c r="AO42" s="1748"/>
      <c r="AP42" s="1748"/>
      <c r="AQ42" s="1748"/>
      <c r="AR42" s="1748">
        <f>AR43+AR44+AR45+AR49+AR50+AR51+AR52-AR53+AR54</f>
        <v>0</v>
      </c>
      <c r="AS42" s="1748"/>
      <c r="AT42" s="1748"/>
      <c r="AU42" s="1748"/>
      <c r="AV42" s="1748"/>
      <c r="AW42" s="1748"/>
      <c r="AX42" s="1748"/>
      <c r="AY42" s="1748"/>
      <c r="AZ42" s="1748"/>
      <c r="BA42" s="1756"/>
    </row>
    <row r="43" spans="1:53" ht="18.75" customHeight="1">
      <c r="A43" s="1736" t="s">
        <v>1023</v>
      </c>
      <c r="B43" s="1737"/>
      <c r="C43" s="1737"/>
      <c r="D43" s="1737"/>
      <c r="E43" s="964" t="s">
        <v>2702</v>
      </c>
      <c r="F43" s="965"/>
      <c r="G43" s="965"/>
      <c r="H43" s="965"/>
      <c r="I43" s="965"/>
      <c r="J43" s="965"/>
      <c r="K43" s="965"/>
      <c r="L43" s="965"/>
      <c r="M43" s="965"/>
      <c r="N43" s="965"/>
      <c r="O43" s="965"/>
      <c r="P43" s="965"/>
      <c r="Q43" s="965"/>
      <c r="R43" s="965"/>
      <c r="S43" s="965"/>
      <c r="T43" s="965"/>
      <c r="U43" s="965"/>
      <c r="V43" s="965"/>
      <c r="W43" s="965"/>
      <c r="X43" s="965"/>
      <c r="Y43" s="965"/>
      <c r="Z43" s="966"/>
      <c r="AA43" s="967"/>
      <c r="AB43" s="1744"/>
      <c r="AC43" s="1745"/>
      <c r="AD43" s="1746"/>
      <c r="AE43" s="1747" t="s">
        <v>1041</v>
      </c>
      <c r="AF43" s="1747"/>
      <c r="AG43" s="1747"/>
      <c r="AH43" s="1748">
        <f>SUMIF(unos!E:E,AE43,unos!G:G)</f>
        <v>0</v>
      </c>
      <c r="AI43" s="1748"/>
      <c r="AJ43" s="1748"/>
      <c r="AK43" s="1748"/>
      <c r="AL43" s="1748"/>
      <c r="AM43" s="1748"/>
      <c r="AN43" s="1748"/>
      <c r="AO43" s="1748"/>
      <c r="AP43" s="1748"/>
      <c r="AQ43" s="1748"/>
      <c r="AR43" s="1748">
        <f>SUMIF(unos!E:E,AE43,unos!F:F)</f>
        <v>0</v>
      </c>
      <c r="AS43" s="1748"/>
      <c r="AT43" s="1748"/>
      <c r="AU43" s="1748"/>
      <c r="AV43" s="1748"/>
      <c r="AW43" s="1748"/>
      <c r="AX43" s="1748"/>
      <c r="AY43" s="1748"/>
      <c r="AZ43" s="1748"/>
      <c r="BA43" s="1756"/>
    </row>
    <row r="44" spans="1:53" ht="18.75" customHeight="1">
      <c r="A44" s="1736" t="s">
        <v>2624</v>
      </c>
      <c r="B44" s="1737"/>
      <c r="C44" s="1737"/>
      <c r="D44" s="1737"/>
      <c r="E44" s="964" t="s">
        <v>2703</v>
      </c>
      <c r="F44" s="976"/>
      <c r="G44" s="976"/>
      <c r="H44" s="976"/>
      <c r="I44" s="976"/>
      <c r="J44" s="976"/>
      <c r="K44" s="976"/>
      <c r="L44" s="976"/>
      <c r="M44" s="976"/>
      <c r="N44" s="976"/>
      <c r="O44" s="976"/>
      <c r="P44" s="976"/>
      <c r="Q44" s="976"/>
      <c r="R44" s="976"/>
      <c r="S44" s="976"/>
      <c r="T44" s="976"/>
      <c r="U44" s="965"/>
      <c r="V44" s="965"/>
      <c r="W44" s="965"/>
      <c r="X44" s="965"/>
      <c r="Y44" s="965"/>
      <c r="Z44" s="966"/>
      <c r="AA44" s="967"/>
      <c r="AB44" s="1744"/>
      <c r="AC44" s="1745"/>
      <c r="AD44" s="1746"/>
      <c r="AE44" s="1747" t="s">
        <v>2322</v>
      </c>
      <c r="AF44" s="1747"/>
      <c r="AG44" s="1747"/>
      <c r="AH44" s="1748">
        <f>SUMIF(unos!E:E,AE44,unos!G:G)</f>
        <v>0</v>
      </c>
      <c r="AI44" s="1748"/>
      <c r="AJ44" s="1748"/>
      <c r="AK44" s="1748"/>
      <c r="AL44" s="1748"/>
      <c r="AM44" s="1748"/>
      <c r="AN44" s="1748"/>
      <c r="AO44" s="1748"/>
      <c r="AP44" s="1748"/>
      <c r="AQ44" s="1748"/>
      <c r="AR44" s="1748">
        <f>SUMIF(unos!E:E,AE44,unos!F:F)</f>
        <v>0</v>
      </c>
      <c r="AS44" s="1748"/>
      <c r="AT44" s="1748"/>
      <c r="AU44" s="1748"/>
      <c r="AV44" s="1748"/>
      <c r="AW44" s="1748"/>
      <c r="AX44" s="1748"/>
      <c r="AY44" s="1748"/>
      <c r="AZ44" s="1748"/>
      <c r="BA44" s="1756"/>
    </row>
    <row r="45" spans="1:53" ht="18.75" customHeight="1">
      <c r="A45" s="1736" t="s">
        <v>333</v>
      </c>
      <c r="B45" s="1737"/>
      <c r="C45" s="1737"/>
      <c r="D45" s="1737"/>
      <c r="E45" s="964" t="s">
        <v>2704</v>
      </c>
      <c r="F45" s="965"/>
      <c r="G45" s="965"/>
      <c r="H45" s="965"/>
      <c r="I45" s="965"/>
      <c r="J45" s="965"/>
      <c r="K45" s="965"/>
      <c r="L45" s="965"/>
      <c r="M45" s="965"/>
      <c r="N45" s="965"/>
      <c r="O45" s="965"/>
      <c r="P45" s="965"/>
      <c r="Q45" s="965"/>
      <c r="R45" s="965"/>
      <c r="S45" s="965"/>
      <c r="T45" s="965"/>
      <c r="U45" s="965"/>
      <c r="V45" s="965"/>
      <c r="W45" s="965"/>
      <c r="X45" s="965"/>
      <c r="Y45" s="965"/>
      <c r="Z45" s="966"/>
      <c r="AA45" s="967"/>
      <c r="AB45" s="1744"/>
      <c r="AC45" s="1745"/>
      <c r="AD45" s="1746"/>
      <c r="AE45" s="1747" t="s">
        <v>2323</v>
      </c>
      <c r="AF45" s="1747"/>
      <c r="AG45" s="1747"/>
      <c r="AH45" s="1748">
        <f>SUM(AH46:AQ48)</f>
        <v>0</v>
      </c>
      <c r="AI45" s="1748"/>
      <c r="AJ45" s="1748"/>
      <c r="AK45" s="1748"/>
      <c r="AL45" s="1748"/>
      <c r="AM45" s="1748"/>
      <c r="AN45" s="1748"/>
      <c r="AO45" s="1748"/>
      <c r="AP45" s="1748"/>
      <c r="AQ45" s="1748"/>
      <c r="AR45" s="1748">
        <f>SUM(AR46:BA48)</f>
        <v>0</v>
      </c>
      <c r="AS45" s="1748"/>
      <c r="AT45" s="1748"/>
      <c r="AU45" s="1748"/>
      <c r="AV45" s="1748"/>
      <c r="AW45" s="1748"/>
      <c r="AX45" s="1748"/>
      <c r="AY45" s="1748"/>
      <c r="AZ45" s="1748"/>
      <c r="BA45" s="1756"/>
    </row>
    <row r="46" spans="1:53" ht="18.75" customHeight="1">
      <c r="A46" s="1736" t="s">
        <v>2705</v>
      </c>
      <c r="B46" s="1737"/>
      <c r="C46" s="1737"/>
      <c r="D46" s="1737"/>
      <c r="E46" s="964"/>
      <c r="F46" s="965" t="s">
        <v>2706</v>
      </c>
      <c r="G46" s="965"/>
      <c r="H46" s="965"/>
      <c r="I46" s="965"/>
      <c r="J46" s="965"/>
      <c r="K46" s="965"/>
      <c r="L46" s="965"/>
      <c r="M46" s="965"/>
      <c r="N46" s="965"/>
      <c r="O46" s="965"/>
      <c r="P46" s="965"/>
      <c r="Q46" s="965"/>
      <c r="R46" s="965"/>
      <c r="S46" s="965"/>
      <c r="T46" s="965"/>
      <c r="U46" s="965"/>
      <c r="V46" s="965"/>
      <c r="W46" s="965"/>
      <c r="X46" s="965"/>
      <c r="Y46" s="965"/>
      <c r="Z46" s="966"/>
      <c r="AA46" s="967"/>
      <c r="AB46" s="1744"/>
      <c r="AC46" s="1745"/>
      <c r="AD46" s="1746"/>
      <c r="AE46" s="1747" t="s">
        <v>2324</v>
      </c>
      <c r="AF46" s="1747"/>
      <c r="AG46" s="1747"/>
      <c r="AH46" s="1748">
        <f>SUMIF(unos!E:E,AE46,unos!G:G)</f>
        <v>0</v>
      </c>
      <c r="AI46" s="1748"/>
      <c r="AJ46" s="1748"/>
      <c r="AK46" s="1748"/>
      <c r="AL46" s="1748"/>
      <c r="AM46" s="1748"/>
      <c r="AN46" s="1748"/>
      <c r="AO46" s="1748"/>
      <c r="AP46" s="1748"/>
      <c r="AQ46" s="1748"/>
      <c r="AR46" s="1748">
        <f>SUMIF(unos!E:E,AE46,unos!F:F)</f>
        <v>0</v>
      </c>
      <c r="AS46" s="1748"/>
      <c r="AT46" s="1748"/>
      <c r="AU46" s="1748"/>
      <c r="AV46" s="1748"/>
      <c r="AW46" s="1748"/>
      <c r="AX46" s="1748"/>
      <c r="AY46" s="1748"/>
      <c r="AZ46" s="1748"/>
      <c r="BA46" s="1756"/>
    </row>
    <row r="47" spans="1:53" ht="18.75" customHeight="1">
      <c r="A47" s="1736" t="s">
        <v>2707</v>
      </c>
      <c r="B47" s="1737"/>
      <c r="C47" s="1737"/>
      <c r="D47" s="1737"/>
      <c r="E47" s="964"/>
      <c r="F47" s="965" t="s">
        <v>2708</v>
      </c>
      <c r="G47" s="965"/>
      <c r="H47" s="965"/>
      <c r="I47" s="965"/>
      <c r="J47" s="965"/>
      <c r="K47" s="965"/>
      <c r="L47" s="965"/>
      <c r="M47" s="965"/>
      <c r="N47" s="965"/>
      <c r="O47" s="965"/>
      <c r="P47" s="965"/>
      <c r="Q47" s="965"/>
      <c r="R47" s="965"/>
      <c r="S47" s="965"/>
      <c r="T47" s="965"/>
      <c r="U47" s="965"/>
      <c r="V47" s="965"/>
      <c r="W47" s="965"/>
      <c r="X47" s="965"/>
      <c r="Y47" s="965"/>
      <c r="Z47" s="966"/>
      <c r="AA47" s="967"/>
      <c r="AB47" s="1744"/>
      <c r="AC47" s="1745"/>
      <c r="AD47" s="1746"/>
      <c r="AE47" s="1747" t="s">
        <v>2325</v>
      </c>
      <c r="AF47" s="1747"/>
      <c r="AG47" s="1747"/>
      <c r="AH47" s="1748">
        <f>SUMIF(unos!E:E,AE47,unos!G:G)</f>
        <v>0</v>
      </c>
      <c r="AI47" s="1748"/>
      <c r="AJ47" s="1748"/>
      <c r="AK47" s="1748"/>
      <c r="AL47" s="1748"/>
      <c r="AM47" s="1748"/>
      <c r="AN47" s="1748"/>
      <c r="AO47" s="1748"/>
      <c r="AP47" s="1748"/>
      <c r="AQ47" s="1748"/>
      <c r="AR47" s="1748">
        <f>SUMIF(unos!E:E,AE47,unos!F:F)</f>
        <v>0</v>
      </c>
      <c r="AS47" s="1748"/>
      <c r="AT47" s="1748"/>
      <c r="AU47" s="1748"/>
      <c r="AV47" s="1748"/>
      <c r="AW47" s="1748"/>
      <c r="AX47" s="1748"/>
      <c r="AY47" s="1748"/>
      <c r="AZ47" s="1748"/>
      <c r="BA47" s="1756"/>
    </row>
    <row r="48" spans="1:53" ht="18.75" customHeight="1">
      <c r="A48" s="1736" t="s">
        <v>2709</v>
      </c>
      <c r="B48" s="1737"/>
      <c r="C48" s="1737"/>
      <c r="D48" s="1737"/>
      <c r="E48" s="964"/>
      <c r="F48" s="965" t="s">
        <v>2710</v>
      </c>
      <c r="G48" s="965"/>
      <c r="H48" s="965"/>
      <c r="I48" s="965"/>
      <c r="J48" s="965"/>
      <c r="K48" s="965"/>
      <c r="L48" s="965"/>
      <c r="M48" s="965"/>
      <c r="N48" s="965"/>
      <c r="O48" s="965"/>
      <c r="P48" s="965"/>
      <c r="Q48" s="965"/>
      <c r="R48" s="965"/>
      <c r="S48" s="965"/>
      <c r="T48" s="965"/>
      <c r="U48" s="965"/>
      <c r="V48" s="965"/>
      <c r="W48" s="965"/>
      <c r="X48" s="965"/>
      <c r="Y48" s="965"/>
      <c r="Z48" s="966"/>
      <c r="AA48" s="967"/>
      <c r="AB48" s="1744"/>
      <c r="AC48" s="1745"/>
      <c r="AD48" s="1746"/>
      <c r="AE48" s="1747" t="s">
        <v>1160</v>
      </c>
      <c r="AF48" s="1747"/>
      <c r="AG48" s="1747"/>
      <c r="AH48" s="1748">
        <f>SUMIF(unos!E:E,AE48,unos!G:G)</f>
        <v>0</v>
      </c>
      <c r="AI48" s="1748"/>
      <c r="AJ48" s="1748"/>
      <c r="AK48" s="1748"/>
      <c r="AL48" s="1748"/>
      <c r="AM48" s="1748"/>
      <c r="AN48" s="1748"/>
      <c r="AO48" s="1748"/>
      <c r="AP48" s="1748"/>
      <c r="AQ48" s="1748"/>
      <c r="AR48" s="1748">
        <f>SUMIF(unos!E:E,AE48,unos!F:F)</f>
        <v>0</v>
      </c>
      <c r="AS48" s="1748"/>
      <c r="AT48" s="1748"/>
      <c r="AU48" s="1748"/>
      <c r="AV48" s="1748"/>
      <c r="AW48" s="1748"/>
      <c r="AX48" s="1748"/>
      <c r="AY48" s="1748"/>
      <c r="AZ48" s="1748"/>
      <c r="BA48" s="1756"/>
    </row>
    <row r="49" spans="1:53" ht="18.75" customHeight="1">
      <c r="A49" s="1736" t="s">
        <v>878</v>
      </c>
      <c r="B49" s="1737"/>
      <c r="C49" s="1737"/>
      <c r="D49" s="1737"/>
      <c r="E49" s="964" t="s">
        <v>2711</v>
      </c>
      <c r="F49" s="965"/>
      <c r="G49" s="965"/>
      <c r="H49" s="965"/>
      <c r="I49" s="965"/>
      <c r="J49" s="965"/>
      <c r="K49" s="965"/>
      <c r="L49" s="965"/>
      <c r="M49" s="965"/>
      <c r="N49" s="965"/>
      <c r="O49" s="965"/>
      <c r="P49" s="965"/>
      <c r="Q49" s="965"/>
      <c r="R49" s="965"/>
      <c r="S49" s="965"/>
      <c r="T49" s="965"/>
      <c r="U49" s="965"/>
      <c r="V49" s="965"/>
      <c r="W49" s="965"/>
      <c r="X49" s="965"/>
      <c r="Y49" s="965"/>
      <c r="Z49" s="966"/>
      <c r="AA49" s="967"/>
      <c r="AB49" s="1744"/>
      <c r="AC49" s="1745"/>
      <c r="AD49" s="1746"/>
      <c r="AE49" s="1747" t="s">
        <v>1161</v>
      </c>
      <c r="AF49" s="1747"/>
      <c r="AG49" s="1747"/>
      <c r="AH49" s="1748">
        <f>SUMIF(unos!E:E,AE49,unos!G:G)</f>
        <v>0</v>
      </c>
      <c r="AI49" s="1748"/>
      <c r="AJ49" s="1748"/>
      <c r="AK49" s="1748"/>
      <c r="AL49" s="1748"/>
      <c r="AM49" s="1748"/>
      <c r="AN49" s="1748"/>
      <c r="AO49" s="1748"/>
      <c r="AP49" s="1748"/>
      <c r="AQ49" s="1748"/>
      <c r="AR49" s="1748">
        <f>SUMIF(unos!E:E,AE49,unos!F:F)</f>
        <v>0</v>
      </c>
      <c r="AS49" s="1748"/>
      <c r="AT49" s="1748"/>
      <c r="AU49" s="1748"/>
      <c r="AV49" s="1748"/>
      <c r="AW49" s="1748"/>
      <c r="AX49" s="1748"/>
      <c r="AY49" s="1748"/>
      <c r="AZ49" s="1748"/>
      <c r="BA49" s="1756"/>
    </row>
    <row r="50" spans="1:53" ht="18.75" customHeight="1">
      <c r="A50" s="1736" t="s">
        <v>2712</v>
      </c>
      <c r="B50" s="1737"/>
      <c r="C50" s="1737"/>
      <c r="D50" s="1737"/>
      <c r="E50" s="964" t="s">
        <v>2713</v>
      </c>
      <c r="F50" s="965"/>
      <c r="G50" s="965"/>
      <c r="H50" s="965"/>
      <c r="I50" s="965"/>
      <c r="J50" s="965"/>
      <c r="K50" s="965"/>
      <c r="L50" s="965"/>
      <c r="M50" s="965"/>
      <c r="N50" s="965"/>
      <c r="O50" s="965"/>
      <c r="P50" s="965"/>
      <c r="Q50" s="965"/>
      <c r="R50" s="965"/>
      <c r="S50" s="965"/>
      <c r="T50" s="965"/>
      <c r="U50" s="965"/>
      <c r="V50" s="965"/>
      <c r="W50" s="965"/>
      <c r="X50" s="965"/>
      <c r="Y50" s="965"/>
      <c r="Z50" s="966"/>
      <c r="AA50" s="967"/>
      <c r="AB50" s="1744"/>
      <c r="AC50" s="1745"/>
      <c r="AD50" s="1746"/>
      <c r="AE50" s="1747" t="s">
        <v>140</v>
      </c>
      <c r="AF50" s="1747"/>
      <c r="AG50" s="1747"/>
      <c r="AH50" s="1748">
        <f>SUMIF(unos!E:E,AE50,unos!G:G)</f>
        <v>0</v>
      </c>
      <c r="AI50" s="1748"/>
      <c r="AJ50" s="1748"/>
      <c r="AK50" s="1748"/>
      <c r="AL50" s="1748"/>
      <c r="AM50" s="1748"/>
      <c r="AN50" s="1748"/>
      <c r="AO50" s="1748"/>
      <c r="AP50" s="1748"/>
      <c r="AQ50" s="1748"/>
      <c r="AR50" s="1748">
        <f>SUMIF(unos!E:E,AE50,unos!F:F)</f>
        <v>0</v>
      </c>
      <c r="AS50" s="1748"/>
      <c r="AT50" s="1748"/>
      <c r="AU50" s="1748"/>
      <c r="AV50" s="1748"/>
      <c r="AW50" s="1748"/>
      <c r="AX50" s="1748"/>
      <c r="AY50" s="1748"/>
      <c r="AZ50" s="1748"/>
      <c r="BA50" s="1756"/>
    </row>
    <row r="51" spans="1:53" ht="18.75" customHeight="1">
      <c r="A51" s="1736" t="s">
        <v>2714</v>
      </c>
      <c r="B51" s="1737"/>
      <c r="C51" s="1737"/>
      <c r="D51" s="1737"/>
      <c r="E51" s="964" t="s">
        <v>2715</v>
      </c>
      <c r="F51" s="965"/>
      <c r="G51" s="965"/>
      <c r="H51" s="965"/>
      <c r="I51" s="965"/>
      <c r="J51" s="965"/>
      <c r="K51" s="965"/>
      <c r="L51" s="965"/>
      <c r="M51" s="965"/>
      <c r="N51" s="965"/>
      <c r="O51" s="965"/>
      <c r="P51" s="965"/>
      <c r="Q51" s="965"/>
      <c r="R51" s="965"/>
      <c r="S51" s="965"/>
      <c r="T51" s="965"/>
      <c r="U51" s="965"/>
      <c r="V51" s="965"/>
      <c r="W51" s="965"/>
      <c r="X51" s="965"/>
      <c r="Y51" s="965"/>
      <c r="Z51" s="966"/>
      <c r="AA51" s="967"/>
      <c r="AB51" s="1744"/>
      <c r="AC51" s="1745"/>
      <c r="AD51" s="1746"/>
      <c r="AE51" s="1747" t="s">
        <v>1162</v>
      </c>
      <c r="AF51" s="1747"/>
      <c r="AG51" s="1747"/>
      <c r="AH51" s="1748">
        <f>SUMIF(unos!E:E,AE51,unos!G:G)</f>
        <v>0</v>
      </c>
      <c r="AI51" s="1748"/>
      <c r="AJ51" s="1748"/>
      <c r="AK51" s="1748"/>
      <c r="AL51" s="1748"/>
      <c r="AM51" s="1748"/>
      <c r="AN51" s="1748"/>
      <c r="AO51" s="1748"/>
      <c r="AP51" s="1748"/>
      <c r="AQ51" s="1748"/>
      <c r="AR51" s="1748">
        <f>SUMIF(unos!E:E,AE51,unos!F:F)</f>
        <v>0</v>
      </c>
      <c r="AS51" s="1748"/>
      <c r="AT51" s="1748"/>
      <c r="AU51" s="1748"/>
      <c r="AV51" s="1748"/>
      <c r="AW51" s="1748"/>
      <c r="AX51" s="1748"/>
      <c r="AY51" s="1748"/>
      <c r="AZ51" s="1748"/>
      <c r="BA51" s="1756"/>
    </row>
    <row r="52" spans="1:53" ht="18.75" customHeight="1">
      <c r="A52" s="1736" t="s">
        <v>1184</v>
      </c>
      <c r="B52" s="1737"/>
      <c r="C52" s="1737"/>
      <c r="D52" s="1737"/>
      <c r="E52" s="964" t="s">
        <v>2716</v>
      </c>
      <c r="F52" s="965"/>
      <c r="G52" s="965"/>
      <c r="H52" s="965"/>
      <c r="I52" s="965"/>
      <c r="J52" s="965"/>
      <c r="K52" s="965"/>
      <c r="L52" s="965"/>
      <c r="M52" s="965"/>
      <c r="N52" s="965"/>
      <c r="O52" s="965"/>
      <c r="P52" s="965"/>
      <c r="Q52" s="965"/>
      <c r="R52" s="965"/>
      <c r="S52" s="965"/>
      <c r="T52" s="965"/>
      <c r="U52" s="965"/>
      <c r="V52" s="965"/>
      <c r="W52" s="965"/>
      <c r="X52" s="965"/>
      <c r="Y52" s="965"/>
      <c r="Z52" s="966"/>
      <c r="AA52" s="967"/>
      <c r="AB52" s="1744"/>
      <c r="AC52" s="1745"/>
      <c r="AD52" s="1746"/>
      <c r="AE52" s="1747" t="s">
        <v>1163</v>
      </c>
      <c r="AF52" s="1747"/>
      <c r="AG52" s="1747"/>
      <c r="AH52" s="1748">
        <f>SUMIF(unos!E:E,AE52,unos!G:G)</f>
        <v>0</v>
      </c>
      <c r="AI52" s="1748"/>
      <c r="AJ52" s="1748"/>
      <c r="AK52" s="1748"/>
      <c r="AL52" s="1748"/>
      <c r="AM52" s="1748"/>
      <c r="AN52" s="1748"/>
      <c r="AO52" s="1748"/>
      <c r="AP52" s="1748"/>
      <c r="AQ52" s="1748"/>
      <c r="AR52" s="1748">
        <f>SUMIF(unos!E:E,AE52,unos!F:F)</f>
        <v>0</v>
      </c>
      <c r="AS52" s="1748"/>
      <c r="AT52" s="1748"/>
      <c r="AU52" s="1748"/>
      <c r="AV52" s="1748"/>
      <c r="AW52" s="1748"/>
      <c r="AX52" s="1748"/>
      <c r="AY52" s="1748"/>
      <c r="AZ52" s="1748"/>
      <c r="BA52" s="1756"/>
    </row>
    <row r="53" spans="1:53" ht="31.5" customHeight="1">
      <c r="A53" s="1789" t="s">
        <v>2717</v>
      </c>
      <c r="B53" s="1790"/>
      <c r="C53" s="1790"/>
      <c r="D53" s="1791"/>
      <c r="E53" s="964" t="s">
        <v>2718</v>
      </c>
      <c r="F53" s="965"/>
      <c r="G53" s="965"/>
      <c r="H53" s="965"/>
      <c r="I53" s="965"/>
      <c r="J53" s="965"/>
      <c r="K53" s="965"/>
      <c r="L53" s="965"/>
      <c r="M53" s="965"/>
      <c r="N53" s="965"/>
      <c r="O53" s="965"/>
      <c r="P53" s="965"/>
      <c r="Q53" s="965"/>
      <c r="R53" s="965"/>
      <c r="S53" s="965"/>
      <c r="T53" s="965"/>
      <c r="U53" s="965"/>
      <c r="V53" s="965"/>
      <c r="W53" s="965"/>
      <c r="X53" s="965"/>
      <c r="Y53" s="965"/>
      <c r="Z53" s="966"/>
      <c r="AA53" s="967"/>
      <c r="AB53" s="1744"/>
      <c r="AC53" s="1745"/>
      <c r="AD53" s="1746"/>
      <c r="AE53" s="1747" t="s">
        <v>141</v>
      </c>
      <c r="AF53" s="1747"/>
      <c r="AG53" s="1747"/>
      <c r="AH53" s="1748">
        <f>SUMIF(unos!E:E,AE53,unos!G:G)</f>
        <v>0</v>
      </c>
      <c r="AI53" s="1748"/>
      <c r="AJ53" s="1748"/>
      <c r="AK53" s="1748"/>
      <c r="AL53" s="1748"/>
      <c r="AM53" s="1748"/>
      <c r="AN53" s="1748"/>
      <c r="AO53" s="1748"/>
      <c r="AP53" s="1748"/>
      <c r="AQ53" s="1748"/>
      <c r="AR53" s="1748">
        <f>SUMIF(unos!E:E,AE53,unos!F:F)</f>
        <v>0</v>
      </c>
      <c r="AS53" s="1748"/>
      <c r="AT53" s="1748"/>
      <c r="AU53" s="1748"/>
      <c r="AV53" s="1748"/>
      <c r="AW53" s="1748"/>
      <c r="AX53" s="1748"/>
      <c r="AY53" s="1748"/>
      <c r="AZ53" s="1748"/>
      <c r="BA53" s="1756"/>
    </row>
    <row r="54" spans="1:53" ht="31.5" customHeight="1">
      <c r="A54" s="1789" t="s">
        <v>2719</v>
      </c>
      <c r="B54" s="1790"/>
      <c r="C54" s="1790"/>
      <c r="D54" s="1791"/>
      <c r="E54" s="964" t="s">
        <v>2720</v>
      </c>
      <c r="F54" s="965"/>
      <c r="G54" s="965"/>
      <c r="H54" s="965"/>
      <c r="I54" s="965"/>
      <c r="J54" s="965"/>
      <c r="K54" s="965"/>
      <c r="L54" s="965"/>
      <c r="M54" s="965"/>
      <c r="N54" s="965"/>
      <c r="O54" s="965"/>
      <c r="P54" s="965"/>
      <c r="Q54" s="965"/>
      <c r="R54" s="965"/>
      <c r="S54" s="965"/>
      <c r="T54" s="965"/>
      <c r="U54" s="965"/>
      <c r="V54" s="965"/>
      <c r="W54" s="965"/>
      <c r="X54" s="965"/>
      <c r="Y54" s="965"/>
      <c r="Z54" s="966"/>
      <c r="AA54" s="967"/>
      <c r="AB54" s="1744"/>
      <c r="AC54" s="1745"/>
      <c r="AD54" s="1746"/>
      <c r="AE54" s="1747" t="s">
        <v>143</v>
      </c>
      <c r="AF54" s="1747"/>
      <c r="AG54" s="1747"/>
      <c r="AH54" s="1748">
        <f>SUMIF(unos!E:E,AE54,unos!G:G)</f>
        <v>0</v>
      </c>
      <c r="AI54" s="1748"/>
      <c r="AJ54" s="1748"/>
      <c r="AK54" s="1748"/>
      <c r="AL54" s="1748"/>
      <c r="AM54" s="1748"/>
      <c r="AN54" s="1748"/>
      <c r="AO54" s="1748"/>
      <c r="AP54" s="1748"/>
      <c r="AQ54" s="1748"/>
      <c r="AR54" s="1748">
        <f>SUMIF(unos!E:E,AE54,unos!F:F)</f>
        <v>0</v>
      </c>
      <c r="AS54" s="1748"/>
      <c r="AT54" s="1748"/>
      <c r="AU54" s="1748"/>
      <c r="AV54" s="1748"/>
      <c r="AW54" s="1748"/>
      <c r="AX54" s="1748"/>
      <c r="AY54" s="1748"/>
      <c r="AZ54" s="1748"/>
      <c r="BA54" s="1756"/>
    </row>
    <row r="55" spans="1:53" ht="18.75" customHeight="1">
      <c r="A55" s="1736"/>
      <c r="B55" s="1737"/>
      <c r="C55" s="1737"/>
      <c r="D55" s="1737"/>
      <c r="E55" s="964"/>
      <c r="F55" s="968" t="s">
        <v>2722</v>
      </c>
      <c r="G55" s="965"/>
      <c r="H55" s="965"/>
      <c r="I55" s="965"/>
      <c r="J55" s="965"/>
      <c r="K55" s="965"/>
      <c r="L55" s="965"/>
      <c r="M55" s="965"/>
      <c r="N55" s="965"/>
      <c r="O55" s="965"/>
      <c r="P55" s="965"/>
      <c r="Q55" s="965"/>
      <c r="R55" s="965"/>
      <c r="S55" s="965"/>
      <c r="T55" s="965"/>
      <c r="U55" s="965"/>
      <c r="V55" s="965"/>
      <c r="W55" s="965"/>
      <c r="X55" s="965"/>
      <c r="Y55" s="965"/>
      <c r="Z55" s="966"/>
      <c r="AA55" s="967"/>
      <c r="AB55" s="1744"/>
      <c r="AC55" s="1745"/>
      <c r="AD55" s="1746"/>
      <c r="AE55" s="1747" t="s">
        <v>1164</v>
      </c>
      <c r="AF55" s="1747"/>
      <c r="AG55" s="1747"/>
      <c r="AH55" s="1748">
        <f>IF(AH28-AH42&lt;=0,0,AH28-AH42)</f>
        <v>0</v>
      </c>
      <c r="AI55" s="1748"/>
      <c r="AJ55" s="1748"/>
      <c r="AK55" s="1748"/>
      <c r="AL55" s="1748"/>
      <c r="AM55" s="1748"/>
      <c r="AN55" s="1748"/>
      <c r="AO55" s="1748"/>
      <c r="AP55" s="1748"/>
      <c r="AQ55" s="1748"/>
      <c r="AR55" s="1748">
        <f>IF(AR28-AR42&lt;=0,0,AR28-AR42)</f>
        <v>0</v>
      </c>
      <c r="AS55" s="1748"/>
      <c r="AT55" s="1748"/>
      <c r="AU55" s="1748"/>
      <c r="AV55" s="1748"/>
      <c r="AW55" s="1748"/>
      <c r="AX55" s="1748"/>
      <c r="AY55" s="1748"/>
      <c r="AZ55" s="1748"/>
      <c r="BA55" s="1756"/>
    </row>
    <row r="56" spans="1:53" ht="18.75" customHeight="1">
      <c r="A56" s="1736"/>
      <c r="B56" s="1737"/>
      <c r="C56" s="1737"/>
      <c r="D56" s="1737"/>
      <c r="E56" s="964"/>
      <c r="F56" s="968" t="s">
        <v>2721</v>
      </c>
      <c r="G56" s="965"/>
      <c r="H56" s="965"/>
      <c r="I56" s="965"/>
      <c r="J56" s="965"/>
      <c r="K56" s="965"/>
      <c r="L56" s="965"/>
      <c r="M56" s="965"/>
      <c r="N56" s="965"/>
      <c r="O56" s="965"/>
      <c r="P56" s="965"/>
      <c r="Q56" s="965"/>
      <c r="R56" s="965"/>
      <c r="S56" s="965"/>
      <c r="T56" s="965"/>
      <c r="U56" s="965"/>
      <c r="V56" s="965"/>
      <c r="W56" s="965"/>
      <c r="X56" s="965"/>
      <c r="Y56" s="965"/>
      <c r="Z56" s="966"/>
      <c r="AA56" s="967"/>
      <c r="AB56" s="1744"/>
      <c r="AC56" s="1745"/>
      <c r="AD56" s="1746"/>
      <c r="AE56" s="1747" t="s">
        <v>1165</v>
      </c>
      <c r="AF56" s="1747"/>
      <c r="AG56" s="1747"/>
      <c r="AH56" s="1748">
        <f>IF(AH42-AH28&lt;=0,0,AH42-AH28)</f>
        <v>0</v>
      </c>
      <c r="AI56" s="1748"/>
      <c r="AJ56" s="1748"/>
      <c r="AK56" s="1748"/>
      <c r="AL56" s="1748"/>
      <c r="AM56" s="1748"/>
      <c r="AN56" s="1748"/>
      <c r="AO56" s="1748"/>
      <c r="AP56" s="1748"/>
      <c r="AQ56" s="1748"/>
      <c r="AR56" s="1748">
        <f>IF(AR42-AR28&lt;=0,0,AR42-AR28)</f>
        <v>0</v>
      </c>
      <c r="AS56" s="1748"/>
      <c r="AT56" s="1748"/>
      <c r="AU56" s="1748"/>
      <c r="AV56" s="1748"/>
      <c r="AW56" s="1748"/>
      <c r="AX56" s="1748"/>
      <c r="AY56" s="1748"/>
      <c r="AZ56" s="1748"/>
      <c r="BA56" s="1756"/>
    </row>
    <row r="57" spans="1:53" ht="18.75" customHeight="1">
      <c r="A57" s="1736"/>
      <c r="B57" s="1737"/>
      <c r="C57" s="1737"/>
      <c r="D57" s="1737"/>
      <c r="E57" s="964"/>
      <c r="F57" s="965" t="s">
        <v>2723</v>
      </c>
      <c r="G57" s="965"/>
      <c r="H57" s="965"/>
      <c r="I57" s="965"/>
      <c r="J57" s="965"/>
      <c r="K57" s="965"/>
      <c r="L57" s="965"/>
      <c r="M57" s="965"/>
      <c r="N57" s="965"/>
      <c r="O57" s="965"/>
      <c r="P57" s="965"/>
      <c r="Q57" s="965"/>
      <c r="R57" s="965"/>
      <c r="S57" s="965"/>
      <c r="T57" s="965"/>
      <c r="U57" s="965"/>
      <c r="V57" s="965"/>
      <c r="W57" s="965"/>
      <c r="X57" s="965"/>
      <c r="Y57" s="965"/>
      <c r="Z57" s="966"/>
      <c r="AA57" s="967"/>
      <c r="AB57" s="1744"/>
      <c r="AC57" s="1745"/>
      <c r="AD57" s="1746"/>
      <c r="AE57" s="1747"/>
      <c r="AF57" s="1747"/>
      <c r="AG57" s="1747"/>
      <c r="AH57" s="1748"/>
      <c r="AI57" s="1748"/>
      <c r="AJ57" s="1748"/>
      <c r="AK57" s="1748"/>
      <c r="AL57" s="1748"/>
      <c r="AM57" s="1748"/>
      <c r="AN57" s="1748"/>
      <c r="AO57" s="1748"/>
      <c r="AP57" s="1748"/>
      <c r="AQ57" s="1748"/>
      <c r="AR57" s="1748"/>
      <c r="AS57" s="1748"/>
      <c r="AT57" s="1748"/>
      <c r="AU57" s="1748"/>
      <c r="AV57" s="1748"/>
      <c r="AW57" s="1748"/>
      <c r="AX57" s="1748"/>
      <c r="AY57" s="1748"/>
      <c r="AZ57" s="1748"/>
      <c r="BA57" s="1756"/>
    </row>
    <row r="58" spans="1:53" ht="18.75" customHeight="1">
      <c r="A58" s="1736" t="s">
        <v>371</v>
      </c>
      <c r="B58" s="1737"/>
      <c r="C58" s="1737"/>
      <c r="D58" s="1737"/>
      <c r="E58" s="964"/>
      <c r="F58" s="968" t="s">
        <v>2600</v>
      </c>
      <c r="G58" s="965"/>
      <c r="H58" s="965"/>
      <c r="I58" s="965"/>
      <c r="J58" s="965"/>
      <c r="K58" s="965"/>
      <c r="L58" s="965"/>
      <c r="M58" s="965"/>
      <c r="N58" s="965"/>
      <c r="O58" s="965"/>
      <c r="P58" s="965"/>
      <c r="Q58" s="965"/>
      <c r="R58" s="965"/>
      <c r="S58" s="965"/>
      <c r="T58" s="965"/>
      <c r="U58" s="965"/>
      <c r="V58" s="965"/>
      <c r="W58" s="965"/>
      <c r="X58" s="965"/>
      <c r="Y58" s="965"/>
      <c r="Z58" s="966"/>
      <c r="AA58" s="967"/>
      <c r="AB58" s="1744"/>
      <c r="AC58" s="1745"/>
      <c r="AD58" s="1746"/>
      <c r="AE58" s="1747" t="s">
        <v>1166</v>
      </c>
      <c r="AF58" s="1747"/>
      <c r="AG58" s="1747"/>
      <c r="AH58" s="1748">
        <f>SUM(AH59:AH64)</f>
        <v>0</v>
      </c>
      <c r="AI58" s="1748"/>
      <c r="AJ58" s="1748"/>
      <c r="AK58" s="1748"/>
      <c r="AL58" s="1748"/>
      <c r="AM58" s="1748"/>
      <c r="AN58" s="1748"/>
      <c r="AO58" s="1748"/>
      <c r="AP58" s="1748"/>
      <c r="AQ58" s="1748"/>
      <c r="AR58" s="1748">
        <f>SUM(AR59:AR64)</f>
        <v>0</v>
      </c>
      <c r="AS58" s="1748"/>
      <c r="AT58" s="1748"/>
      <c r="AU58" s="1748"/>
      <c r="AV58" s="1748"/>
      <c r="AW58" s="1748"/>
      <c r="AX58" s="1748"/>
      <c r="AY58" s="1748"/>
      <c r="AZ58" s="1748"/>
      <c r="BA58" s="1756"/>
    </row>
    <row r="59" spans="1:53" ht="18.75" customHeight="1">
      <c r="A59" s="1736" t="s">
        <v>892</v>
      </c>
      <c r="B59" s="1737"/>
      <c r="C59" s="1737"/>
      <c r="D59" s="1737"/>
      <c r="E59" s="964" t="s">
        <v>2601</v>
      </c>
      <c r="F59" s="965"/>
      <c r="G59" s="965"/>
      <c r="H59" s="965"/>
      <c r="I59" s="965"/>
      <c r="J59" s="965"/>
      <c r="K59" s="965"/>
      <c r="L59" s="965"/>
      <c r="M59" s="965"/>
      <c r="N59" s="965"/>
      <c r="O59" s="965"/>
      <c r="P59" s="965"/>
      <c r="Q59" s="965"/>
      <c r="R59" s="965"/>
      <c r="S59" s="965"/>
      <c r="T59" s="965"/>
      <c r="U59" s="965"/>
      <c r="V59" s="965"/>
      <c r="W59" s="965"/>
      <c r="X59" s="965"/>
      <c r="Y59" s="965"/>
      <c r="Z59" s="966"/>
      <c r="AA59" s="967"/>
      <c r="AB59" s="1744"/>
      <c r="AC59" s="1745"/>
      <c r="AD59" s="1746"/>
      <c r="AE59" s="1747" t="s">
        <v>144</v>
      </c>
      <c r="AF59" s="1747"/>
      <c r="AG59" s="1747"/>
      <c r="AH59" s="1748">
        <f>SUMIF(unos!E:E,AE59,unos!G:G)</f>
        <v>0</v>
      </c>
      <c r="AI59" s="1748"/>
      <c r="AJ59" s="1748"/>
      <c r="AK59" s="1748"/>
      <c r="AL59" s="1748"/>
      <c r="AM59" s="1748"/>
      <c r="AN59" s="1748"/>
      <c r="AO59" s="1748"/>
      <c r="AP59" s="1748"/>
      <c r="AQ59" s="1748"/>
      <c r="AR59" s="1748">
        <f>SUMIF(unos!E:E,AE59,unos!F:F)</f>
        <v>0</v>
      </c>
      <c r="AS59" s="1748"/>
      <c r="AT59" s="1748"/>
      <c r="AU59" s="1748"/>
      <c r="AV59" s="1748"/>
      <c r="AW59" s="1748"/>
      <c r="AX59" s="1748"/>
      <c r="AY59" s="1748"/>
      <c r="AZ59" s="1748"/>
      <c r="BA59" s="1756"/>
    </row>
    <row r="60" spans="1:53" ht="18.75" customHeight="1">
      <c r="A60" s="1736" t="s">
        <v>2010</v>
      </c>
      <c r="B60" s="1737"/>
      <c r="C60" s="1737"/>
      <c r="D60" s="1737"/>
      <c r="E60" s="964" t="s">
        <v>2602</v>
      </c>
      <c r="F60" s="965"/>
      <c r="G60" s="965"/>
      <c r="H60" s="965"/>
      <c r="I60" s="965"/>
      <c r="J60" s="965"/>
      <c r="K60" s="965"/>
      <c r="L60" s="965"/>
      <c r="M60" s="965"/>
      <c r="N60" s="965"/>
      <c r="O60" s="965"/>
      <c r="P60" s="965"/>
      <c r="Q60" s="965"/>
      <c r="R60" s="965"/>
      <c r="S60" s="965"/>
      <c r="T60" s="965"/>
      <c r="U60" s="965"/>
      <c r="V60" s="965"/>
      <c r="W60" s="965"/>
      <c r="X60" s="965"/>
      <c r="Y60" s="965"/>
      <c r="Z60" s="966"/>
      <c r="AA60" s="967"/>
      <c r="AB60" s="1744"/>
      <c r="AC60" s="1745"/>
      <c r="AD60" s="1746"/>
      <c r="AE60" s="1747" t="s">
        <v>1167</v>
      </c>
      <c r="AF60" s="1747"/>
      <c r="AG60" s="1747"/>
      <c r="AH60" s="1748">
        <f>SUMIF(unos!E:E,AE60,unos!G:G)</f>
        <v>0</v>
      </c>
      <c r="AI60" s="1748"/>
      <c r="AJ60" s="1748"/>
      <c r="AK60" s="1748"/>
      <c r="AL60" s="1748"/>
      <c r="AM60" s="1748"/>
      <c r="AN60" s="1748"/>
      <c r="AO60" s="1748"/>
      <c r="AP60" s="1748"/>
      <c r="AQ60" s="1748"/>
      <c r="AR60" s="1748">
        <f>SUMIF(unos!E:E,AE60,unos!F:F)</f>
        <v>0</v>
      </c>
      <c r="AS60" s="1748"/>
      <c r="AT60" s="1748"/>
      <c r="AU60" s="1748"/>
      <c r="AV60" s="1748"/>
      <c r="AW60" s="1748"/>
      <c r="AX60" s="1748"/>
      <c r="AY60" s="1748"/>
      <c r="AZ60" s="1748"/>
      <c r="BA60" s="1756"/>
    </row>
    <row r="61" spans="1:53" ht="18.75" customHeight="1">
      <c r="A61" s="1736" t="s">
        <v>2011</v>
      </c>
      <c r="B61" s="1737"/>
      <c r="C61" s="1737"/>
      <c r="D61" s="1737"/>
      <c r="E61" s="964" t="s">
        <v>2603</v>
      </c>
      <c r="F61" s="965"/>
      <c r="G61" s="965"/>
      <c r="H61" s="965"/>
      <c r="I61" s="965"/>
      <c r="J61" s="965"/>
      <c r="K61" s="965"/>
      <c r="L61" s="965"/>
      <c r="M61" s="965"/>
      <c r="N61" s="965"/>
      <c r="O61" s="965"/>
      <c r="P61" s="965"/>
      <c r="Q61" s="965"/>
      <c r="R61" s="965"/>
      <c r="S61" s="965"/>
      <c r="T61" s="965"/>
      <c r="U61" s="965"/>
      <c r="V61" s="965"/>
      <c r="W61" s="965"/>
      <c r="X61" s="965"/>
      <c r="Y61" s="965"/>
      <c r="Z61" s="966"/>
      <c r="AA61" s="967"/>
      <c r="AB61" s="1744"/>
      <c r="AC61" s="1745"/>
      <c r="AD61" s="1746"/>
      <c r="AE61" s="1747" t="s">
        <v>142</v>
      </c>
      <c r="AF61" s="1747"/>
      <c r="AG61" s="1747"/>
      <c r="AH61" s="1748">
        <f>SUMIF(unos!E:E,AE61,unos!G:G)</f>
        <v>0</v>
      </c>
      <c r="AI61" s="1748"/>
      <c r="AJ61" s="1748"/>
      <c r="AK61" s="1748"/>
      <c r="AL61" s="1748"/>
      <c r="AM61" s="1748"/>
      <c r="AN61" s="1748"/>
      <c r="AO61" s="1748"/>
      <c r="AP61" s="1748"/>
      <c r="AQ61" s="1748"/>
      <c r="AR61" s="1748">
        <f>SUMIF(unos!E:E,AE61,unos!F:F)</f>
        <v>0</v>
      </c>
      <c r="AS61" s="1748"/>
      <c r="AT61" s="1748"/>
      <c r="AU61" s="1748"/>
      <c r="AV61" s="1748"/>
      <c r="AW61" s="1748"/>
      <c r="AX61" s="1748"/>
      <c r="AY61" s="1748"/>
      <c r="AZ61" s="1748"/>
      <c r="BA61" s="1756"/>
    </row>
    <row r="62" spans="1:53" ht="18.75" customHeight="1">
      <c r="A62" s="1736" t="s">
        <v>2012</v>
      </c>
      <c r="B62" s="1737"/>
      <c r="C62" s="1737"/>
      <c r="D62" s="1737"/>
      <c r="E62" s="964" t="s">
        <v>2604</v>
      </c>
      <c r="F62" s="965"/>
      <c r="G62" s="965"/>
      <c r="H62" s="965"/>
      <c r="I62" s="965"/>
      <c r="J62" s="965"/>
      <c r="K62" s="965"/>
      <c r="L62" s="965"/>
      <c r="M62" s="965"/>
      <c r="N62" s="965"/>
      <c r="O62" s="965"/>
      <c r="P62" s="965"/>
      <c r="Q62" s="965"/>
      <c r="R62" s="965"/>
      <c r="S62" s="965"/>
      <c r="T62" s="965"/>
      <c r="U62" s="965"/>
      <c r="V62" s="965"/>
      <c r="W62" s="965"/>
      <c r="X62" s="965"/>
      <c r="Y62" s="965"/>
      <c r="Z62" s="966"/>
      <c r="AA62" s="967"/>
      <c r="AB62" s="1744"/>
      <c r="AC62" s="1745"/>
      <c r="AD62" s="1746"/>
      <c r="AE62" s="1747" t="s">
        <v>1168</v>
      </c>
      <c r="AF62" s="1747"/>
      <c r="AG62" s="1747"/>
      <c r="AH62" s="1748">
        <f>SUMIF(unos!E:E,AE62,unos!G:G)</f>
        <v>0</v>
      </c>
      <c r="AI62" s="1748"/>
      <c r="AJ62" s="1748"/>
      <c r="AK62" s="1748"/>
      <c r="AL62" s="1748"/>
      <c r="AM62" s="1748"/>
      <c r="AN62" s="1748"/>
      <c r="AO62" s="1748"/>
      <c r="AP62" s="1748"/>
      <c r="AQ62" s="1748"/>
      <c r="AR62" s="1748">
        <f>SUMIF(unos!E:E,AE62,unos!F:F)</f>
        <v>0</v>
      </c>
      <c r="AS62" s="1748"/>
      <c r="AT62" s="1748"/>
      <c r="AU62" s="1748"/>
      <c r="AV62" s="1748"/>
      <c r="AW62" s="1748"/>
      <c r="AX62" s="1748"/>
      <c r="AY62" s="1748"/>
      <c r="AZ62" s="1748"/>
      <c r="BA62" s="1756"/>
    </row>
    <row r="63" spans="1:53" ht="18.75" customHeight="1">
      <c r="A63" s="1736" t="s">
        <v>2360</v>
      </c>
      <c r="B63" s="1737"/>
      <c r="C63" s="1737"/>
      <c r="D63" s="1737"/>
      <c r="E63" s="964" t="s">
        <v>2605</v>
      </c>
      <c r="F63" s="965"/>
      <c r="G63" s="965"/>
      <c r="H63" s="965"/>
      <c r="I63" s="965"/>
      <c r="J63" s="965"/>
      <c r="K63" s="965"/>
      <c r="L63" s="965"/>
      <c r="M63" s="965"/>
      <c r="N63" s="965"/>
      <c r="O63" s="965"/>
      <c r="P63" s="965"/>
      <c r="Q63" s="965"/>
      <c r="R63" s="965"/>
      <c r="S63" s="965"/>
      <c r="T63" s="965"/>
      <c r="U63" s="965"/>
      <c r="V63" s="965"/>
      <c r="W63" s="965"/>
      <c r="X63" s="965"/>
      <c r="Y63" s="965"/>
      <c r="Z63" s="966"/>
      <c r="AA63" s="967"/>
      <c r="AB63" s="1744"/>
      <c r="AC63" s="1745"/>
      <c r="AD63" s="1746"/>
      <c r="AE63" s="1747" t="s">
        <v>1169</v>
      </c>
      <c r="AF63" s="1747"/>
      <c r="AG63" s="1747"/>
      <c r="AH63" s="1748">
        <f>SUMIF(unos!E:E,AE63,unos!G:G)</f>
        <v>0</v>
      </c>
      <c r="AI63" s="1748"/>
      <c r="AJ63" s="1748"/>
      <c r="AK63" s="1748"/>
      <c r="AL63" s="1748"/>
      <c r="AM63" s="1748"/>
      <c r="AN63" s="1748"/>
      <c r="AO63" s="1748"/>
      <c r="AP63" s="1748"/>
      <c r="AQ63" s="1748"/>
      <c r="AR63" s="1748">
        <f>SUMIF(unos!E:E,AE63,unos!F:F)</f>
        <v>0</v>
      </c>
      <c r="AS63" s="1748"/>
      <c r="AT63" s="1748"/>
      <c r="AU63" s="1748"/>
      <c r="AV63" s="1748"/>
      <c r="AW63" s="1748"/>
      <c r="AX63" s="1748"/>
      <c r="AY63" s="1748"/>
      <c r="AZ63" s="1748"/>
      <c r="BA63" s="1756"/>
    </row>
    <row r="64" spans="1:53" ht="18.75" customHeight="1">
      <c r="A64" s="1736" t="s">
        <v>2361</v>
      </c>
      <c r="B64" s="1737"/>
      <c r="C64" s="1737"/>
      <c r="D64" s="1737"/>
      <c r="E64" s="977" t="s">
        <v>2606</v>
      </c>
      <c r="F64" s="978"/>
      <c r="G64" s="978"/>
      <c r="H64" s="978"/>
      <c r="I64" s="978"/>
      <c r="J64" s="978"/>
      <c r="K64" s="978"/>
      <c r="L64" s="978"/>
      <c r="M64" s="978"/>
      <c r="N64" s="978"/>
      <c r="O64" s="978"/>
      <c r="P64" s="978"/>
      <c r="Q64" s="978"/>
      <c r="R64" s="978"/>
      <c r="S64" s="978"/>
      <c r="T64" s="978"/>
      <c r="U64" s="965"/>
      <c r="V64" s="965"/>
      <c r="W64" s="965"/>
      <c r="X64" s="965"/>
      <c r="Y64" s="965"/>
      <c r="Z64" s="966"/>
      <c r="AA64" s="967"/>
      <c r="AB64" s="1744"/>
      <c r="AC64" s="1745"/>
      <c r="AD64" s="1746"/>
      <c r="AE64" s="1747" t="s">
        <v>1170</v>
      </c>
      <c r="AF64" s="1747"/>
      <c r="AG64" s="1747"/>
      <c r="AH64" s="1748">
        <f>SUMIF(unos!E:E,AE64,unos!G:G)</f>
        <v>0</v>
      </c>
      <c r="AI64" s="1748"/>
      <c r="AJ64" s="1748"/>
      <c r="AK64" s="1748"/>
      <c r="AL64" s="1748"/>
      <c r="AM64" s="1748"/>
      <c r="AN64" s="1748"/>
      <c r="AO64" s="1748"/>
      <c r="AP64" s="1748"/>
      <c r="AQ64" s="1748"/>
      <c r="AR64" s="1748">
        <f>SUMIF(unos!E:E,AE64,unos!F:F)</f>
        <v>0</v>
      </c>
      <c r="AS64" s="1748"/>
      <c r="AT64" s="1748"/>
      <c r="AU64" s="1748"/>
      <c r="AV64" s="1748"/>
      <c r="AW64" s="1748"/>
      <c r="AX64" s="1748"/>
      <c r="AY64" s="1748"/>
      <c r="AZ64" s="1748"/>
      <c r="BA64" s="1756"/>
    </row>
    <row r="65" spans="1:53" ht="18.75" customHeight="1">
      <c r="A65" s="1736" t="s">
        <v>879</v>
      </c>
      <c r="B65" s="1737"/>
      <c r="C65" s="1737"/>
      <c r="D65" s="1737"/>
      <c r="E65" s="964"/>
      <c r="F65" s="968" t="s">
        <v>2607</v>
      </c>
      <c r="G65" s="965"/>
      <c r="H65" s="965"/>
      <c r="I65" s="965"/>
      <c r="J65" s="965"/>
      <c r="K65" s="965"/>
      <c r="L65" s="965"/>
      <c r="M65" s="965"/>
      <c r="N65" s="965"/>
      <c r="O65" s="965"/>
      <c r="P65" s="965"/>
      <c r="Q65" s="965"/>
      <c r="R65" s="965"/>
      <c r="S65" s="965"/>
      <c r="T65" s="965"/>
      <c r="U65" s="965"/>
      <c r="V65" s="965"/>
      <c r="W65" s="965"/>
      <c r="X65" s="965"/>
      <c r="Y65" s="965"/>
      <c r="Z65" s="966"/>
      <c r="AA65" s="967"/>
      <c r="AB65" s="1744"/>
      <c r="AC65" s="1745"/>
      <c r="AD65" s="1746"/>
      <c r="AE65" s="1747" t="s">
        <v>184</v>
      </c>
      <c r="AF65" s="1747"/>
      <c r="AG65" s="1747"/>
      <c r="AH65" s="1748">
        <f>SUM(AH66:AH70)</f>
        <v>0</v>
      </c>
      <c r="AI65" s="1748"/>
      <c r="AJ65" s="1748"/>
      <c r="AK65" s="1748"/>
      <c r="AL65" s="1748"/>
      <c r="AM65" s="1748"/>
      <c r="AN65" s="1748"/>
      <c r="AO65" s="1748"/>
      <c r="AP65" s="1748"/>
      <c r="AQ65" s="1748"/>
      <c r="AR65" s="1748">
        <f>SUM(AR66:AR70)</f>
        <v>0</v>
      </c>
      <c r="AS65" s="1748"/>
      <c r="AT65" s="1748"/>
      <c r="AU65" s="1748"/>
      <c r="AV65" s="1748"/>
      <c r="AW65" s="1748"/>
      <c r="AX65" s="1748"/>
      <c r="AY65" s="1748"/>
      <c r="AZ65" s="1748"/>
      <c r="BA65" s="1756"/>
    </row>
    <row r="66" spans="1:53" ht="18.75" customHeight="1">
      <c r="A66" s="1736" t="s">
        <v>1747</v>
      </c>
      <c r="B66" s="1737"/>
      <c r="C66" s="1737"/>
      <c r="D66" s="1737"/>
      <c r="E66" s="964" t="s">
        <v>2608</v>
      </c>
      <c r="F66" s="965"/>
      <c r="G66" s="965"/>
      <c r="H66" s="965"/>
      <c r="I66" s="965"/>
      <c r="J66" s="965"/>
      <c r="K66" s="965"/>
      <c r="L66" s="965"/>
      <c r="M66" s="965"/>
      <c r="N66" s="965"/>
      <c r="O66" s="965"/>
      <c r="P66" s="965"/>
      <c r="Q66" s="965"/>
      <c r="R66" s="965"/>
      <c r="S66" s="965"/>
      <c r="T66" s="965"/>
      <c r="U66" s="965"/>
      <c r="V66" s="965"/>
      <c r="W66" s="965"/>
      <c r="X66" s="965"/>
      <c r="Y66" s="965"/>
      <c r="Z66" s="966"/>
      <c r="AA66" s="967"/>
      <c r="AB66" s="1744"/>
      <c r="AC66" s="1745"/>
      <c r="AD66" s="1746"/>
      <c r="AE66" s="1747" t="s">
        <v>185</v>
      </c>
      <c r="AF66" s="1747"/>
      <c r="AG66" s="1747"/>
      <c r="AH66" s="1748">
        <f>SUMIF(unos!E:E,AE66,unos!G:G)</f>
        <v>0</v>
      </c>
      <c r="AI66" s="1748"/>
      <c r="AJ66" s="1748"/>
      <c r="AK66" s="1748"/>
      <c r="AL66" s="1748"/>
      <c r="AM66" s="1748"/>
      <c r="AN66" s="1748"/>
      <c r="AO66" s="1748"/>
      <c r="AP66" s="1748"/>
      <c r="AQ66" s="1748"/>
      <c r="AR66" s="1748">
        <f>SUMIF(unos!E:E,AE66,unos!F:F)</f>
        <v>0</v>
      </c>
      <c r="AS66" s="1748"/>
      <c r="AT66" s="1748"/>
      <c r="AU66" s="1748"/>
      <c r="AV66" s="1748"/>
      <c r="AW66" s="1748"/>
      <c r="AX66" s="1748"/>
      <c r="AY66" s="1748"/>
      <c r="AZ66" s="1748"/>
      <c r="BA66" s="1756"/>
    </row>
    <row r="67" spans="1:53" ht="18.75" customHeight="1">
      <c r="A67" s="1736" t="s">
        <v>1748</v>
      </c>
      <c r="B67" s="1737"/>
      <c r="C67" s="1737"/>
      <c r="D67" s="1737"/>
      <c r="E67" s="964" t="s">
        <v>2609</v>
      </c>
      <c r="F67" s="965"/>
      <c r="G67" s="965"/>
      <c r="H67" s="965"/>
      <c r="I67" s="965"/>
      <c r="J67" s="965"/>
      <c r="K67" s="965"/>
      <c r="L67" s="965"/>
      <c r="M67" s="965"/>
      <c r="N67" s="965"/>
      <c r="O67" s="965"/>
      <c r="P67" s="965"/>
      <c r="Q67" s="965"/>
      <c r="R67" s="965"/>
      <c r="S67" s="965"/>
      <c r="T67" s="965"/>
      <c r="U67" s="965"/>
      <c r="V67" s="965"/>
      <c r="W67" s="965"/>
      <c r="X67" s="965"/>
      <c r="Y67" s="965"/>
      <c r="Z67" s="966"/>
      <c r="AA67" s="967"/>
      <c r="AB67" s="1744"/>
      <c r="AC67" s="1745"/>
      <c r="AD67" s="1746"/>
      <c r="AE67" s="1747" t="s">
        <v>186</v>
      </c>
      <c r="AF67" s="1747"/>
      <c r="AG67" s="1747"/>
      <c r="AH67" s="1748">
        <f>SUMIF(unos!E:E,AE67,unos!G:G)</f>
        <v>0</v>
      </c>
      <c r="AI67" s="1748"/>
      <c r="AJ67" s="1748"/>
      <c r="AK67" s="1748"/>
      <c r="AL67" s="1748"/>
      <c r="AM67" s="1748"/>
      <c r="AN67" s="1748"/>
      <c r="AO67" s="1748"/>
      <c r="AP67" s="1748"/>
      <c r="AQ67" s="1748"/>
      <c r="AR67" s="1748">
        <f>SUMIF(unos!E:E,AE67,unos!F:F)</f>
        <v>0</v>
      </c>
      <c r="AS67" s="1748"/>
      <c r="AT67" s="1748"/>
      <c r="AU67" s="1748"/>
      <c r="AV67" s="1748"/>
      <c r="AW67" s="1748"/>
      <c r="AX67" s="1748"/>
      <c r="AY67" s="1748"/>
      <c r="AZ67" s="1748"/>
      <c r="BA67" s="1756"/>
    </row>
    <row r="68" spans="1:53" ht="18.75" customHeight="1">
      <c r="A68" s="1736" t="s">
        <v>1749</v>
      </c>
      <c r="B68" s="1737"/>
      <c r="C68" s="1737"/>
      <c r="D68" s="1737"/>
      <c r="E68" s="964" t="s">
        <v>2610</v>
      </c>
      <c r="F68" s="965"/>
      <c r="G68" s="965"/>
      <c r="H68" s="965"/>
      <c r="I68" s="965"/>
      <c r="J68" s="965"/>
      <c r="K68" s="965"/>
      <c r="L68" s="965"/>
      <c r="M68" s="965"/>
      <c r="N68" s="965"/>
      <c r="O68" s="965"/>
      <c r="P68" s="965"/>
      <c r="Q68" s="965"/>
      <c r="R68" s="965"/>
      <c r="S68" s="965"/>
      <c r="T68" s="965"/>
      <c r="U68" s="965"/>
      <c r="V68" s="965"/>
      <c r="W68" s="965"/>
      <c r="X68" s="965"/>
      <c r="Y68" s="965"/>
      <c r="Z68" s="966"/>
      <c r="AA68" s="967"/>
      <c r="AB68" s="1744"/>
      <c r="AC68" s="1745"/>
      <c r="AD68" s="1746"/>
      <c r="AE68" s="1747" t="s">
        <v>187</v>
      </c>
      <c r="AF68" s="1747"/>
      <c r="AG68" s="1747"/>
      <c r="AH68" s="1748">
        <f>SUMIF(unos!E:E,AE68,unos!G:G)</f>
        <v>0</v>
      </c>
      <c r="AI68" s="1748"/>
      <c r="AJ68" s="1748"/>
      <c r="AK68" s="1748"/>
      <c r="AL68" s="1748"/>
      <c r="AM68" s="1748"/>
      <c r="AN68" s="1748"/>
      <c r="AO68" s="1748"/>
      <c r="AP68" s="1748"/>
      <c r="AQ68" s="1748"/>
      <c r="AR68" s="1748">
        <f>SUMIF(unos!E:E,AE68,unos!F:F)</f>
        <v>0</v>
      </c>
      <c r="AS68" s="1748"/>
      <c r="AT68" s="1748"/>
      <c r="AU68" s="1748"/>
      <c r="AV68" s="1748"/>
      <c r="AW68" s="1748"/>
      <c r="AX68" s="1748"/>
      <c r="AY68" s="1748"/>
      <c r="AZ68" s="1748"/>
      <c r="BA68" s="1756"/>
    </row>
    <row r="69" spans="1:53" ht="18.75" customHeight="1">
      <c r="A69" s="1736" t="s">
        <v>1750</v>
      </c>
      <c r="B69" s="1737"/>
      <c r="C69" s="1737"/>
      <c r="D69" s="1737"/>
      <c r="E69" s="964" t="s">
        <v>2611</v>
      </c>
      <c r="F69" s="965"/>
      <c r="G69" s="965"/>
      <c r="H69" s="965"/>
      <c r="I69" s="965"/>
      <c r="J69" s="965"/>
      <c r="K69" s="965"/>
      <c r="L69" s="965"/>
      <c r="M69" s="965"/>
      <c r="N69" s="965"/>
      <c r="O69" s="965"/>
      <c r="P69" s="965"/>
      <c r="Q69" s="965"/>
      <c r="R69" s="965"/>
      <c r="S69" s="965"/>
      <c r="T69" s="965"/>
      <c r="U69" s="965"/>
      <c r="V69" s="965"/>
      <c r="W69" s="965"/>
      <c r="X69" s="965"/>
      <c r="Y69" s="965"/>
      <c r="Z69" s="966"/>
      <c r="AA69" s="967"/>
      <c r="AB69" s="1744"/>
      <c r="AC69" s="1745"/>
      <c r="AD69" s="1746"/>
      <c r="AE69" s="1747" t="s">
        <v>188</v>
      </c>
      <c r="AF69" s="1747"/>
      <c r="AG69" s="1747"/>
      <c r="AH69" s="1748">
        <f>SUMIF(unos!E:E,AE69,unos!G:G)</f>
        <v>0</v>
      </c>
      <c r="AI69" s="1748"/>
      <c r="AJ69" s="1748"/>
      <c r="AK69" s="1748"/>
      <c r="AL69" s="1748"/>
      <c r="AM69" s="1748"/>
      <c r="AN69" s="1748"/>
      <c r="AO69" s="1748"/>
      <c r="AP69" s="1748"/>
      <c r="AQ69" s="1748"/>
      <c r="AR69" s="1748">
        <f>SUMIF(unos!E:E,AE69,unos!F:F)</f>
        <v>0</v>
      </c>
      <c r="AS69" s="1748"/>
      <c r="AT69" s="1748"/>
      <c r="AU69" s="1748"/>
      <c r="AV69" s="1748"/>
      <c r="AW69" s="1748"/>
      <c r="AX69" s="1748"/>
      <c r="AY69" s="1748"/>
      <c r="AZ69" s="1748"/>
      <c r="BA69" s="1756"/>
    </row>
    <row r="70" spans="1:53" ht="18.75" customHeight="1" thickBot="1">
      <c r="A70" s="1742" t="s">
        <v>1751</v>
      </c>
      <c r="B70" s="1743"/>
      <c r="C70" s="1743"/>
      <c r="D70" s="1743"/>
      <c r="E70" s="969" t="s">
        <v>2612</v>
      </c>
      <c r="F70" s="970"/>
      <c r="G70" s="970"/>
      <c r="H70" s="970"/>
      <c r="I70" s="970"/>
      <c r="J70" s="970"/>
      <c r="K70" s="970"/>
      <c r="L70" s="970"/>
      <c r="M70" s="970"/>
      <c r="N70" s="970"/>
      <c r="O70" s="970"/>
      <c r="P70" s="970"/>
      <c r="Q70" s="970"/>
      <c r="R70" s="970"/>
      <c r="S70" s="970"/>
      <c r="T70" s="970"/>
      <c r="U70" s="970"/>
      <c r="V70" s="970"/>
      <c r="W70" s="970"/>
      <c r="X70" s="970"/>
      <c r="Y70" s="970"/>
      <c r="Z70" s="971"/>
      <c r="AA70" s="972"/>
      <c r="AB70" s="1749"/>
      <c r="AC70" s="1750"/>
      <c r="AD70" s="1751"/>
      <c r="AE70" s="1752" t="s">
        <v>189</v>
      </c>
      <c r="AF70" s="1752"/>
      <c r="AG70" s="1752"/>
      <c r="AH70" s="1734">
        <f>SUMIF(unos!E:E,AE70,unos!G:G)</f>
        <v>0</v>
      </c>
      <c r="AI70" s="1734"/>
      <c r="AJ70" s="1734"/>
      <c r="AK70" s="1734"/>
      <c r="AL70" s="1734"/>
      <c r="AM70" s="1734"/>
      <c r="AN70" s="1734"/>
      <c r="AO70" s="1734"/>
      <c r="AP70" s="1734"/>
      <c r="AQ70" s="1734"/>
      <c r="AR70" s="1734">
        <f>SUMIF(unos!E:E,AE70,unos!F:F)</f>
        <v>0</v>
      </c>
      <c r="AS70" s="1734"/>
      <c r="AT70" s="1734"/>
      <c r="AU70" s="1734"/>
      <c r="AV70" s="1734"/>
      <c r="AW70" s="1734"/>
      <c r="AX70" s="1734"/>
      <c r="AY70" s="1734"/>
      <c r="AZ70" s="1734"/>
      <c r="BA70" s="1735"/>
    </row>
    <row r="71" spans="1:53" s="947" customFormat="1" ht="15.75" customHeight="1">
      <c r="A71" s="1738"/>
      <c r="B71" s="1738"/>
      <c r="C71" s="1738"/>
      <c r="D71" s="1738"/>
      <c r="E71" s="1771"/>
      <c r="F71" s="1771"/>
      <c r="G71" s="1771"/>
      <c r="H71" s="1771"/>
      <c r="I71" s="1771"/>
      <c r="J71" s="1771"/>
      <c r="K71" s="1771"/>
      <c r="L71" s="1771"/>
      <c r="M71" s="1771"/>
      <c r="N71" s="1771"/>
      <c r="O71" s="1771"/>
      <c r="P71" s="1771"/>
      <c r="Q71" s="1771"/>
      <c r="R71" s="1771"/>
      <c r="S71" s="1771"/>
      <c r="T71" s="1771"/>
      <c r="U71" s="1757"/>
      <c r="V71" s="1757"/>
      <c r="W71" s="1757"/>
      <c r="X71" s="1757"/>
      <c r="Y71" s="1757"/>
      <c r="Z71" s="1769"/>
      <c r="AA71" s="1769"/>
      <c r="AB71" s="1769"/>
      <c r="AC71" s="1769"/>
      <c r="AD71" s="1769"/>
      <c r="AE71" s="1769"/>
      <c r="AF71" s="1769"/>
      <c r="AG71" s="1769"/>
      <c r="AH71" s="1769"/>
      <c r="AI71" s="1769"/>
      <c r="AJ71" s="1769"/>
      <c r="AK71" s="1769"/>
      <c r="AL71" s="1769"/>
      <c r="AM71" s="1769"/>
      <c r="AN71" s="1769"/>
      <c r="AO71" s="1769"/>
      <c r="AP71" s="1769"/>
      <c r="AQ71" s="1769"/>
      <c r="AR71" s="1769"/>
      <c r="AS71" s="1769"/>
      <c r="AT71" s="1769"/>
      <c r="AU71" s="1774" t="s">
        <v>2631</v>
      </c>
      <c r="AV71" s="1774"/>
      <c r="AW71" s="1774"/>
      <c r="AX71" s="1774"/>
      <c r="AY71" s="1774"/>
      <c r="AZ71" s="1774"/>
      <c r="BA71" s="1774"/>
    </row>
    <row r="72" spans="1:53" s="947" customFormat="1" ht="15.75" customHeight="1" thickBot="1">
      <c r="A72" s="940"/>
      <c r="B72" s="940"/>
      <c r="C72" s="940"/>
      <c r="D72" s="940"/>
      <c r="E72" s="936"/>
      <c r="F72" s="936"/>
      <c r="G72" s="936"/>
      <c r="H72" s="936"/>
      <c r="I72" s="936"/>
      <c r="J72" s="936"/>
      <c r="K72" s="936"/>
      <c r="L72" s="936"/>
      <c r="M72" s="936"/>
      <c r="N72" s="936"/>
      <c r="O72" s="936"/>
      <c r="P72" s="936"/>
      <c r="Q72" s="936"/>
      <c r="R72" s="936"/>
      <c r="S72" s="936"/>
      <c r="T72" s="936"/>
      <c r="U72" s="939"/>
      <c r="V72" s="939"/>
      <c r="W72" s="939"/>
      <c r="X72" s="939"/>
      <c r="Y72" s="939"/>
      <c r="Z72" s="938"/>
      <c r="AA72" s="938"/>
      <c r="AB72" s="938"/>
      <c r="AC72" s="938"/>
      <c r="AD72" s="938"/>
      <c r="AE72" s="938"/>
      <c r="AF72" s="938"/>
      <c r="AG72" s="938"/>
      <c r="AH72" s="938"/>
      <c r="AI72" s="938"/>
      <c r="AJ72" s="938"/>
      <c r="AK72" s="938"/>
      <c r="AL72" s="938"/>
      <c r="AM72" s="938"/>
      <c r="AN72" s="938"/>
      <c r="AO72" s="938"/>
      <c r="AP72" s="938"/>
      <c r="AQ72" s="938"/>
      <c r="AR72" s="938"/>
      <c r="AS72" s="938"/>
      <c r="AT72" s="938"/>
      <c r="AU72" s="938"/>
      <c r="AV72" s="938"/>
      <c r="AW72" s="938"/>
      <c r="AX72" s="938"/>
      <c r="AY72" s="938"/>
      <c r="AZ72" s="938"/>
      <c r="BA72" s="938"/>
    </row>
    <row r="73" spans="1:53" ht="13.5" customHeight="1" thickBot="1">
      <c r="A73" s="1764" t="s">
        <v>522</v>
      </c>
      <c r="B73" s="1765"/>
      <c r="C73" s="1765"/>
      <c r="D73" s="1765"/>
      <c r="E73" s="1766">
        <v>2</v>
      </c>
      <c r="F73" s="1767"/>
      <c r="G73" s="1767"/>
      <c r="H73" s="1767"/>
      <c r="I73" s="1767"/>
      <c r="J73" s="1767"/>
      <c r="K73" s="1767"/>
      <c r="L73" s="1767"/>
      <c r="M73" s="1767"/>
      <c r="N73" s="1767"/>
      <c r="O73" s="1767"/>
      <c r="P73" s="1767"/>
      <c r="Q73" s="1767"/>
      <c r="R73" s="1767"/>
      <c r="S73" s="1767"/>
      <c r="T73" s="1767"/>
      <c r="U73" s="956"/>
      <c r="V73" s="956"/>
      <c r="W73" s="956"/>
      <c r="X73" s="956"/>
      <c r="Y73" s="956"/>
      <c r="Z73" s="956"/>
      <c r="AA73" s="957"/>
      <c r="AB73" s="1766">
        <v>3</v>
      </c>
      <c r="AC73" s="1767"/>
      <c r="AD73" s="1768"/>
      <c r="AE73" s="1766">
        <v>4</v>
      </c>
      <c r="AF73" s="1767"/>
      <c r="AG73" s="1768"/>
      <c r="AH73" s="1766">
        <v>5</v>
      </c>
      <c r="AI73" s="1767"/>
      <c r="AJ73" s="1767"/>
      <c r="AK73" s="1767"/>
      <c r="AL73" s="1767"/>
      <c r="AM73" s="1767"/>
      <c r="AN73" s="1767"/>
      <c r="AO73" s="1767"/>
      <c r="AP73" s="1767"/>
      <c r="AQ73" s="1768"/>
      <c r="AR73" s="1766">
        <v>6</v>
      </c>
      <c r="AS73" s="1767"/>
      <c r="AT73" s="1767"/>
      <c r="AU73" s="1767"/>
      <c r="AV73" s="1767"/>
      <c r="AW73" s="1767"/>
      <c r="AX73" s="1767"/>
      <c r="AY73" s="1767"/>
      <c r="AZ73" s="1767"/>
      <c r="BA73" s="1770"/>
    </row>
    <row r="74" spans="1:53" ht="20.25" customHeight="1">
      <c r="A74" s="1736"/>
      <c r="B74" s="1737"/>
      <c r="C74" s="1737"/>
      <c r="D74" s="1737"/>
      <c r="E74" s="973"/>
      <c r="F74" s="959" t="s">
        <v>2613</v>
      </c>
      <c r="G74" s="960"/>
      <c r="H74" s="960"/>
      <c r="I74" s="960"/>
      <c r="J74" s="960"/>
      <c r="K74" s="960"/>
      <c r="L74" s="960"/>
      <c r="M74" s="960"/>
      <c r="N74" s="960"/>
      <c r="O74" s="960"/>
      <c r="P74" s="960"/>
      <c r="Q74" s="960"/>
      <c r="R74" s="960"/>
      <c r="S74" s="960"/>
      <c r="T74" s="960"/>
      <c r="U74" s="960"/>
      <c r="V74" s="960"/>
      <c r="W74" s="960"/>
      <c r="X74" s="960"/>
      <c r="Y74" s="960"/>
      <c r="Z74" s="974"/>
      <c r="AA74" s="975"/>
      <c r="AB74" s="1744"/>
      <c r="AC74" s="1745"/>
      <c r="AD74" s="1746"/>
      <c r="AE74" s="1747" t="s">
        <v>190</v>
      </c>
      <c r="AF74" s="1747"/>
      <c r="AG74" s="1747"/>
      <c r="AH74" s="1748">
        <f>IF(AH58-AH65&lt;=0,0,AH58-AH65)</f>
        <v>0</v>
      </c>
      <c r="AI74" s="1748"/>
      <c r="AJ74" s="1748"/>
      <c r="AK74" s="1748"/>
      <c r="AL74" s="1748"/>
      <c r="AM74" s="1748"/>
      <c r="AN74" s="1748"/>
      <c r="AO74" s="1748"/>
      <c r="AP74" s="1748"/>
      <c r="AQ74" s="1748"/>
      <c r="AR74" s="1748">
        <f>IF(AR58-AR65&lt;=0,0,AR58-AR65)</f>
        <v>0</v>
      </c>
      <c r="AS74" s="1748"/>
      <c r="AT74" s="1748"/>
      <c r="AU74" s="1748"/>
      <c r="AV74" s="1748"/>
      <c r="AW74" s="1748"/>
      <c r="AX74" s="1748"/>
      <c r="AY74" s="1748"/>
      <c r="AZ74" s="1748"/>
      <c r="BA74" s="1756"/>
    </row>
    <row r="75" spans="1:53" ht="20.25" customHeight="1">
      <c r="A75" s="1736"/>
      <c r="B75" s="1737"/>
      <c r="C75" s="1737"/>
      <c r="D75" s="1737"/>
      <c r="E75" s="964"/>
      <c r="F75" s="968" t="s">
        <v>2614</v>
      </c>
      <c r="G75" s="965"/>
      <c r="H75" s="965"/>
      <c r="I75" s="965"/>
      <c r="J75" s="965"/>
      <c r="K75" s="965"/>
      <c r="L75" s="965"/>
      <c r="M75" s="965"/>
      <c r="N75" s="965"/>
      <c r="O75" s="965"/>
      <c r="P75" s="965"/>
      <c r="Q75" s="965"/>
      <c r="R75" s="965"/>
      <c r="S75" s="965"/>
      <c r="T75" s="965"/>
      <c r="U75" s="965"/>
      <c r="V75" s="965"/>
      <c r="W75" s="965"/>
      <c r="X75" s="965"/>
      <c r="Y75" s="965"/>
      <c r="Z75" s="966"/>
      <c r="AA75" s="967"/>
      <c r="AB75" s="1744"/>
      <c r="AC75" s="1745"/>
      <c r="AD75" s="1746"/>
      <c r="AE75" s="1747" t="s">
        <v>191</v>
      </c>
      <c r="AF75" s="1747"/>
      <c r="AG75" s="1747"/>
      <c r="AH75" s="1748">
        <f>IF(AH65-AH58&lt;=0,0,AH65-AH58)</f>
        <v>0</v>
      </c>
      <c r="AI75" s="1748"/>
      <c r="AJ75" s="1748"/>
      <c r="AK75" s="1748"/>
      <c r="AL75" s="1748"/>
      <c r="AM75" s="1748"/>
      <c r="AN75" s="1748"/>
      <c r="AO75" s="1748"/>
      <c r="AP75" s="1748"/>
      <c r="AQ75" s="1748"/>
      <c r="AR75" s="1748">
        <f>IF(AR65-AR58&lt;=0,0,AR65-AR58)</f>
        <v>0</v>
      </c>
      <c r="AS75" s="1748"/>
      <c r="AT75" s="1748"/>
      <c r="AU75" s="1748"/>
      <c r="AV75" s="1748"/>
      <c r="AW75" s="1748"/>
      <c r="AX75" s="1748"/>
      <c r="AY75" s="1748"/>
      <c r="AZ75" s="1748"/>
      <c r="BA75" s="1756"/>
    </row>
    <row r="76" spans="1:53" ht="20.25" customHeight="1">
      <c r="A76" s="1736"/>
      <c r="B76" s="1737"/>
      <c r="C76" s="1737"/>
      <c r="D76" s="1737"/>
      <c r="E76" s="964"/>
      <c r="F76" s="968" t="s">
        <v>2615</v>
      </c>
      <c r="G76" s="976"/>
      <c r="H76" s="976"/>
      <c r="I76" s="976"/>
      <c r="J76" s="976"/>
      <c r="K76" s="976"/>
      <c r="L76" s="976"/>
      <c r="M76" s="976"/>
      <c r="N76" s="976"/>
      <c r="O76" s="976"/>
      <c r="P76" s="976"/>
      <c r="Q76" s="976"/>
      <c r="R76" s="976"/>
      <c r="S76" s="976"/>
      <c r="T76" s="976"/>
      <c r="U76" s="965"/>
      <c r="V76" s="965"/>
      <c r="W76" s="965"/>
      <c r="X76" s="965"/>
      <c r="Y76" s="965"/>
      <c r="Z76" s="966"/>
      <c r="AA76" s="967"/>
      <c r="AB76" s="1744"/>
      <c r="AC76" s="1745"/>
      <c r="AD76" s="1746"/>
      <c r="AE76" s="1747" t="s">
        <v>192</v>
      </c>
      <c r="AF76" s="1747"/>
      <c r="AG76" s="1747"/>
      <c r="AH76" s="1748">
        <f>IF(AH55-AH56+AH74-AH75&lt;=0,0,AH55-AH56+AH74-AH75)</f>
        <v>0</v>
      </c>
      <c r="AI76" s="1748"/>
      <c r="AJ76" s="1748"/>
      <c r="AK76" s="1748"/>
      <c r="AL76" s="1748"/>
      <c r="AM76" s="1748"/>
      <c r="AN76" s="1748"/>
      <c r="AO76" s="1748"/>
      <c r="AP76" s="1748"/>
      <c r="AQ76" s="1748"/>
      <c r="AR76" s="1748">
        <f>IF(AR55-AR56+AR74-AR75&lt;=0,0,AR55-AR56+AR74-AR75)</f>
        <v>0</v>
      </c>
      <c r="AS76" s="1748"/>
      <c r="AT76" s="1748"/>
      <c r="AU76" s="1748"/>
      <c r="AV76" s="1748"/>
      <c r="AW76" s="1748"/>
      <c r="AX76" s="1748"/>
      <c r="AY76" s="1748"/>
      <c r="AZ76" s="1748"/>
      <c r="BA76" s="1756"/>
    </row>
    <row r="77" spans="1:53" ht="20.25" customHeight="1">
      <c r="A77" s="1736"/>
      <c r="B77" s="1737"/>
      <c r="C77" s="1737"/>
      <c r="D77" s="1737"/>
      <c r="E77" s="964"/>
      <c r="F77" s="968" t="s">
        <v>2616</v>
      </c>
      <c r="G77" s="965"/>
      <c r="H77" s="965"/>
      <c r="I77" s="965"/>
      <c r="J77" s="965"/>
      <c r="K77" s="965"/>
      <c r="L77" s="965"/>
      <c r="M77" s="965"/>
      <c r="N77" s="965"/>
      <c r="O77" s="965"/>
      <c r="P77" s="965"/>
      <c r="Q77" s="965"/>
      <c r="R77" s="965"/>
      <c r="S77" s="965"/>
      <c r="T77" s="965"/>
      <c r="U77" s="965"/>
      <c r="V77" s="965"/>
      <c r="W77" s="965"/>
      <c r="X77" s="965"/>
      <c r="Y77" s="965"/>
      <c r="Z77" s="966"/>
      <c r="AA77" s="967"/>
      <c r="AB77" s="1744"/>
      <c r="AC77" s="1745"/>
      <c r="AD77" s="1746"/>
      <c r="AE77" s="1747" t="s">
        <v>168</v>
      </c>
      <c r="AF77" s="1747"/>
      <c r="AG77" s="1747"/>
      <c r="AH77" s="1748">
        <f>IF(AH55-AH56+AH74-AH75&gt;=0,0,SUM(AH55-AH56+AH74-AH75)*-1)</f>
        <v>0</v>
      </c>
      <c r="AI77" s="1748"/>
      <c r="AJ77" s="1748"/>
      <c r="AK77" s="1748"/>
      <c r="AL77" s="1748"/>
      <c r="AM77" s="1748"/>
      <c r="AN77" s="1748"/>
      <c r="AO77" s="1748"/>
      <c r="AP77" s="1748"/>
      <c r="AQ77" s="1748"/>
      <c r="AR77" s="1748">
        <f>IF(AR55-AR56+AR74-AR75&gt;=0,0,SUM(AR55-AR56+AR74-AR75)*-1)</f>
        <v>0</v>
      </c>
      <c r="AS77" s="1748"/>
      <c r="AT77" s="1748"/>
      <c r="AU77" s="1748"/>
      <c r="AV77" s="1748"/>
      <c r="AW77" s="1748"/>
      <c r="AX77" s="1748"/>
      <c r="AY77" s="1748"/>
      <c r="AZ77" s="1748"/>
      <c r="BA77" s="1756"/>
    </row>
    <row r="78" spans="1:53" ht="20.25" customHeight="1">
      <c r="A78" s="1736"/>
      <c r="B78" s="1737"/>
      <c r="C78" s="1737"/>
      <c r="D78" s="1737"/>
      <c r="E78" s="964"/>
      <c r="F78" s="965" t="s">
        <v>2617</v>
      </c>
      <c r="G78" s="965"/>
      <c r="H78" s="965"/>
      <c r="I78" s="965"/>
      <c r="J78" s="965"/>
      <c r="K78" s="965"/>
      <c r="L78" s="965"/>
      <c r="M78" s="965"/>
      <c r="N78" s="965"/>
      <c r="O78" s="965"/>
      <c r="P78" s="965"/>
      <c r="Q78" s="965"/>
      <c r="R78" s="965"/>
      <c r="S78" s="965"/>
      <c r="T78" s="965"/>
      <c r="U78" s="965"/>
      <c r="V78" s="965"/>
      <c r="W78" s="965"/>
      <c r="X78" s="965"/>
      <c r="Y78" s="965"/>
      <c r="Z78" s="966"/>
      <c r="AA78" s="967"/>
      <c r="AB78" s="1744"/>
      <c r="AC78" s="1745"/>
      <c r="AD78" s="1746"/>
      <c r="AE78" s="1747"/>
      <c r="AF78" s="1747"/>
      <c r="AG78" s="1747"/>
      <c r="AH78" s="1748"/>
      <c r="AI78" s="1748"/>
      <c r="AJ78" s="1748"/>
      <c r="AK78" s="1748"/>
      <c r="AL78" s="1748"/>
      <c r="AM78" s="1748"/>
      <c r="AN78" s="1748"/>
      <c r="AO78" s="1748"/>
      <c r="AP78" s="1748"/>
      <c r="AQ78" s="1748"/>
      <c r="AR78" s="1748"/>
      <c r="AS78" s="1748"/>
      <c r="AT78" s="1748"/>
      <c r="AU78" s="1748"/>
      <c r="AV78" s="1748"/>
      <c r="AW78" s="1748"/>
      <c r="AX78" s="1748"/>
      <c r="AY78" s="1748"/>
      <c r="AZ78" s="1748"/>
      <c r="BA78" s="1756"/>
    </row>
    <row r="79" spans="1:53" ht="30" customHeight="1">
      <c r="A79" s="1736" t="s">
        <v>2618</v>
      </c>
      <c r="B79" s="1737"/>
      <c r="C79" s="1737"/>
      <c r="D79" s="1737"/>
      <c r="E79" s="1785" t="s">
        <v>2619</v>
      </c>
      <c r="F79" s="1777"/>
      <c r="G79" s="1777"/>
      <c r="H79" s="1777"/>
      <c r="I79" s="1777"/>
      <c r="J79" s="1777"/>
      <c r="K79" s="1777"/>
      <c r="L79" s="1777"/>
      <c r="M79" s="1777"/>
      <c r="N79" s="1777"/>
      <c r="O79" s="1777"/>
      <c r="P79" s="1777"/>
      <c r="Q79" s="1777"/>
      <c r="R79" s="1777"/>
      <c r="S79" s="1777"/>
      <c r="T79" s="1777"/>
      <c r="U79" s="1777"/>
      <c r="V79" s="1777"/>
      <c r="W79" s="1777"/>
      <c r="X79" s="1777"/>
      <c r="Y79" s="1777"/>
      <c r="Z79" s="1777"/>
      <c r="AA79" s="1778"/>
      <c r="AB79" s="1744"/>
      <c r="AC79" s="1745"/>
      <c r="AD79" s="1746"/>
      <c r="AE79" s="1747" t="s">
        <v>169</v>
      </c>
      <c r="AF79" s="1747"/>
      <c r="AG79" s="1747"/>
      <c r="AH79" s="1748">
        <f>SUM(AH80:AH88)</f>
        <v>0</v>
      </c>
      <c r="AI79" s="1748"/>
      <c r="AJ79" s="1748"/>
      <c r="AK79" s="1748"/>
      <c r="AL79" s="1748"/>
      <c r="AM79" s="1748"/>
      <c r="AN79" s="1748"/>
      <c r="AO79" s="1748"/>
      <c r="AP79" s="1748"/>
      <c r="AQ79" s="1748"/>
      <c r="AR79" s="1748">
        <f>SUM(AR80:AR88)</f>
        <v>0</v>
      </c>
      <c r="AS79" s="1748"/>
      <c r="AT79" s="1748"/>
      <c r="AU79" s="1748"/>
      <c r="AV79" s="1748"/>
      <c r="AW79" s="1748"/>
      <c r="AX79" s="1748"/>
      <c r="AY79" s="1748"/>
      <c r="AZ79" s="1748"/>
      <c r="BA79" s="1756"/>
    </row>
    <row r="80" spans="1:53" ht="20.25" customHeight="1">
      <c r="A80" s="1736" t="s">
        <v>2362</v>
      </c>
      <c r="B80" s="1737"/>
      <c r="C80" s="1737"/>
      <c r="D80" s="1737"/>
      <c r="E80" s="964" t="s">
        <v>2620</v>
      </c>
      <c r="F80" s="965"/>
      <c r="G80" s="965"/>
      <c r="H80" s="965"/>
      <c r="I80" s="965"/>
      <c r="J80" s="965"/>
      <c r="K80" s="965"/>
      <c r="L80" s="965"/>
      <c r="M80" s="965"/>
      <c r="N80" s="965"/>
      <c r="O80" s="965"/>
      <c r="P80" s="965"/>
      <c r="Q80" s="965"/>
      <c r="R80" s="965"/>
      <c r="S80" s="965"/>
      <c r="T80" s="965"/>
      <c r="U80" s="965"/>
      <c r="V80" s="965"/>
      <c r="W80" s="965"/>
      <c r="X80" s="965"/>
      <c r="Y80" s="965"/>
      <c r="Z80" s="966"/>
      <c r="AA80" s="967"/>
      <c r="AB80" s="1744"/>
      <c r="AC80" s="1745"/>
      <c r="AD80" s="1746"/>
      <c r="AE80" s="1747" t="s">
        <v>170</v>
      </c>
      <c r="AF80" s="1747"/>
      <c r="AG80" s="1747"/>
      <c r="AH80" s="1748">
        <f>SUMIF(unos!E:E,AE80,unos!G:G)</f>
        <v>0</v>
      </c>
      <c r="AI80" s="1748"/>
      <c r="AJ80" s="1748"/>
      <c r="AK80" s="1748"/>
      <c r="AL80" s="1748"/>
      <c r="AM80" s="1748"/>
      <c r="AN80" s="1748"/>
      <c r="AO80" s="1748"/>
      <c r="AP80" s="1748"/>
      <c r="AQ80" s="1748"/>
      <c r="AR80" s="1748">
        <f>SUMIF(unos!E:E,AE80,unos!F:F)</f>
        <v>0</v>
      </c>
      <c r="AS80" s="1748"/>
      <c r="AT80" s="1748"/>
      <c r="AU80" s="1748"/>
      <c r="AV80" s="1748"/>
      <c r="AW80" s="1748"/>
      <c r="AX80" s="1748"/>
      <c r="AY80" s="1748"/>
      <c r="AZ80" s="1748"/>
      <c r="BA80" s="1756"/>
    </row>
    <row r="81" spans="1:53" ht="20.25" customHeight="1">
      <c r="A81" s="1736" t="s">
        <v>2363</v>
      </c>
      <c r="B81" s="1737"/>
      <c r="C81" s="1737"/>
      <c r="D81" s="1737"/>
      <c r="E81" s="964" t="s">
        <v>2621</v>
      </c>
      <c r="F81" s="965"/>
      <c r="G81" s="965"/>
      <c r="H81" s="965"/>
      <c r="I81" s="965"/>
      <c r="J81" s="965"/>
      <c r="K81" s="965"/>
      <c r="L81" s="965"/>
      <c r="M81" s="965"/>
      <c r="N81" s="965"/>
      <c r="O81" s="965"/>
      <c r="P81" s="965"/>
      <c r="Q81" s="965"/>
      <c r="R81" s="965"/>
      <c r="S81" s="965"/>
      <c r="T81" s="965"/>
      <c r="U81" s="965"/>
      <c r="V81" s="965"/>
      <c r="W81" s="965"/>
      <c r="X81" s="965"/>
      <c r="Y81" s="965"/>
      <c r="Z81" s="966"/>
      <c r="AA81" s="967"/>
      <c r="AB81" s="1744"/>
      <c r="AC81" s="1745"/>
      <c r="AD81" s="1746"/>
      <c r="AE81" s="1747" t="s">
        <v>171</v>
      </c>
      <c r="AF81" s="1747"/>
      <c r="AG81" s="1747"/>
      <c r="AH81" s="1748">
        <f>SUMIF(unos!E:E,AE81,unos!G:G)</f>
        <v>0</v>
      </c>
      <c r="AI81" s="1748"/>
      <c r="AJ81" s="1748"/>
      <c r="AK81" s="1748"/>
      <c r="AL81" s="1748"/>
      <c r="AM81" s="1748"/>
      <c r="AN81" s="1748"/>
      <c r="AO81" s="1748"/>
      <c r="AP81" s="1748"/>
      <c r="AQ81" s="1748"/>
      <c r="AR81" s="1748">
        <f>SUMIF(unos!E:E,AE81,unos!F:F)</f>
        <v>0</v>
      </c>
      <c r="AS81" s="1748"/>
      <c r="AT81" s="1748"/>
      <c r="AU81" s="1748"/>
      <c r="AV81" s="1748"/>
      <c r="AW81" s="1748"/>
      <c r="AX81" s="1748"/>
      <c r="AY81" s="1748"/>
      <c r="AZ81" s="1748"/>
      <c r="BA81" s="1756"/>
    </row>
    <row r="82" spans="1:53" ht="20.25" customHeight="1">
      <c r="A82" s="1736" t="s">
        <v>2364</v>
      </c>
      <c r="B82" s="1737"/>
      <c r="C82" s="1737"/>
      <c r="D82" s="1737"/>
      <c r="E82" s="964" t="s">
        <v>2549</v>
      </c>
      <c r="F82" s="965"/>
      <c r="G82" s="965"/>
      <c r="H82" s="965"/>
      <c r="I82" s="965"/>
      <c r="J82" s="965"/>
      <c r="K82" s="965"/>
      <c r="L82" s="965"/>
      <c r="M82" s="965"/>
      <c r="N82" s="965"/>
      <c r="O82" s="965"/>
      <c r="P82" s="965"/>
      <c r="Q82" s="965"/>
      <c r="R82" s="965"/>
      <c r="S82" s="965"/>
      <c r="T82" s="965"/>
      <c r="U82" s="965"/>
      <c r="V82" s="965"/>
      <c r="W82" s="965"/>
      <c r="X82" s="965"/>
      <c r="Y82" s="965"/>
      <c r="Z82" s="966"/>
      <c r="AA82" s="967"/>
      <c r="AB82" s="1744"/>
      <c r="AC82" s="1745"/>
      <c r="AD82" s="1746"/>
      <c r="AE82" s="1747" t="s">
        <v>172</v>
      </c>
      <c r="AF82" s="1747"/>
      <c r="AG82" s="1747"/>
      <c r="AH82" s="1748">
        <f>SUMIF(unos!E:E,AE82,unos!G:G)</f>
        <v>0</v>
      </c>
      <c r="AI82" s="1748"/>
      <c r="AJ82" s="1748"/>
      <c r="AK82" s="1748"/>
      <c r="AL82" s="1748"/>
      <c r="AM82" s="1748"/>
      <c r="AN82" s="1748"/>
      <c r="AO82" s="1748"/>
      <c r="AP82" s="1748"/>
      <c r="AQ82" s="1748"/>
      <c r="AR82" s="1748">
        <f>SUMIF(unos!E:E,AE82,unos!F:F)</f>
        <v>0</v>
      </c>
      <c r="AS82" s="1748"/>
      <c r="AT82" s="1748"/>
      <c r="AU82" s="1748"/>
      <c r="AV82" s="1748"/>
      <c r="AW82" s="1748"/>
      <c r="AX82" s="1748"/>
      <c r="AY82" s="1748"/>
      <c r="AZ82" s="1748"/>
      <c r="BA82" s="1756"/>
    </row>
    <row r="83" spans="1:53" ht="20.25" customHeight="1">
      <c r="A83" s="1736" t="s">
        <v>2366</v>
      </c>
      <c r="B83" s="1737"/>
      <c r="C83" s="1737"/>
      <c r="D83" s="1737"/>
      <c r="E83" s="964" t="s">
        <v>2550</v>
      </c>
      <c r="F83" s="965"/>
      <c r="G83" s="965"/>
      <c r="H83" s="965"/>
      <c r="I83" s="965"/>
      <c r="J83" s="965"/>
      <c r="K83" s="965"/>
      <c r="L83" s="965"/>
      <c r="M83" s="965"/>
      <c r="N83" s="965"/>
      <c r="O83" s="965"/>
      <c r="P83" s="965"/>
      <c r="Q83" s="965"/>
      <c r="R83" s="965"/>
      <c r="S83" s="965"/>
      <c r="T83" s="965"/>
      <c r="U83" s="965"/>
      <c r="V83" s="965"/>
      <c r="W83" s="965"/>
      <c r="X83" s="965"/>
      <c r="Y83" s="965"/>
      <c r="Z83" s="966"/>
      <c r="AA83" s="967"/>
      <c r="AB83" s="1744"/>
      <c r="AC83" s="1745"/>
      <c r="AD83" s="1746"/>
      <c r="AE83" s="1747" t="s">
        <v>173</v>
      </c>
      <c r="AF83" s="1747"/>
      <c r="AG83" s="1747"/>
      <c r="AH83" s="1748">
        <f>SUMIF(unos!E:E,AE83,unos!G:G)</f>
        <v>0</v>
      </c>
      <c r="AI83" s="1748"/>
      <c r="AJ83" s="1748"/>
      <c r="AK83" s="1748"/>
      <c r="AL83" s="1748"/>
      <c r="AM83" s="1748"/>
      <c r="AN83" s="1748"/>
      <c r="AO83" s="1748"/>
      <c r="AP83" s="1748"/>
      <c r="AQ83" s="1748"/>
      <c r="AR83" s="1748">
        <f>SUMIF(unos!E:E,AE83,unos!F:F)</f>
        <v>0</v>
      </c>
      <c r="AS83" s="1748"/>
      <c r="AT83" s="1748"/>
      <c r="AU83" s="1748"/>
      <c r="AV83" s="1748"/>
      <c r="AW83" s="1748"/>
      <c r="AX83" s="1748"/>
      <c r="AY83" s="1748"/>
      <c r="AZ83" s="1748"/>
      <c r="BA83" s="1756"/>
    </row>
    <row r="84" spans="1:53" ht="20.25" customHeight="1">
      <c r="A84" s="1736" t="s">
        <v>2367</v>
      </c>
      <c r="B84" s="1737"/>
      <c r="C84" s="1737"/>
      <c r="D84" s="1737"/>
      <c r="E84" s="964" t="s">
        <v>2551</v>
      </c>
      <c r="F84" s="965"/>
      <c r="G84" s="965"/>
      <c r="H84" s="965"/>
      <c r="I84" s="965"/>
      <c r="J84" s="965"/>
      <c r="K84" s="965"/>
      <c r="L84" s="965"/>
      <c r="M84" s="965"/>
      <c r="N84" s="965"/>
      <c r="O84" s="965"/>
      <c r="P84" s="965"/>
      <c r="Q84" s="965"/>
      <c r="R84" s="965"/>
      <c r="S84" s="965"/>
      <c r="T84" s="965"/>
      <c r="U84" s="965"/>
      <c r="V84" s="965"/>
      <c r="W84" s="965"/>
      <c r="X84" s="965"/>
      <c r="Y84" s="965"/>
      <c r="Z84" s="966"/>
      <c r="AA84" s="967"/>
      <c r="AB84" s="1744"/>
      <c r="AC84" s="1745"/>
      <c r="AD84" s="1746"/>
      <c r="AE84" s="1747" t="s">
        <v>174</v>
      </c>
      <c r="AF84" s="1747"/>
      <c r="AG84" s="1747"/>
      <c r="AH84" s="1748">
        <f>SUMIF(unos!E:E,AE84,unos!G:G)</f>
        <v>0</v>
      </c>
      <c r="AI84" s="1748"/>
      <c r="AJ84" s="1748"/>
      <c r="AK84" s="1748"/>
      <c r="AL84" s="1748"/>
      <c r="AM84" s="1748"/>
      <c r="AN84" s="1748"/>
      <c r="AO84" s="1748"/>
      <c r="AP84" s="1748"/>
      <c r="AQ84" s="1748"/>
      <c r="AR84" s="1748">
        <f>SUMIF(unos!E:E,AE84,unos!F:F)</f>
        <v>0</v>
      </c>
      <c r="AS84" s="1748"/>
      <c r="AT84" s="1748"/>
      <c r="AU84" s="1748"/>
      <c r="AV84" s="1748"/>
      <c r="AW84" s="1748"/>
      <c r="AX84" s="1748"/>
      <c r="AY84" s="1748"/>
      <c r="AZ84" s="1748"/>
      <c r="BA84" s="1756"/>
    </row>
    <row r="85" spans="1:53" ht="20.25" customHeight="1">
      <c r="A85" s="1736" t="s">
        <v>2368</v>
      </c>
      <c r="B85" s="1737"/>
      <c r="C85" s="1737"/>
      <c r="D85" s="1737"/>
      <c r="E85" s="964" t="s">
        <v>2552</v>
      </c>
      <c r="F85" s="965"/>
      <c r="G85" s="965"/>
      <c r="H85" s="965"/>
      <c r="I85" s="965"/>
      <c r="J85" s="965"/>
      <c r="K85" s="965"/>
      <c r="L85" s="965"/>
      <c r="M85" s="965"/>
      <c r="N85" s="965"/>
      <c r="O85" s="965"/>
      <c r="P85" s="965"/>
      <c r="Q85" s="965"/>
      <c r="R85" s="965"/>
      <c r="S85" s="965"/>
      <c r="T85" s="965"/>
      <c r="U85" s="965"/>
      <c r="V85" s="965"/>
      <c r="W85" s="965"/>
      <c r="X85" s="965"/>
      <c r="Y85" s="965"/>
      <c r="Z85" s="966"/>
      <c r="AA85" s="967"/>
      <c r="AB85" s="1744"/>
      <c r="AC85" s="1745"/>
      <c r="AD85" s="1746"/>
      <c r="AE85" s="1747" t="s">
        <v>175</v>
      </c>
      <c r="AF85" s="1747"/>
      <c r="AG85" s="1747"/>
      <c r="AH85" s="1748">
        <f>SUMIF(unos!E:E,AE85,unos!G:G)</f>
        <v>0</v>
      </c>
      <c r="AI85" s="1748"/>
      <c r="AJ85" s="1748"/>
      <c r="AK85" s="1748"/>
      <c r="AL85" s="1748"/>
      <c r="AM85" s="1748"/>
      <c r="AN85" s="1748"/>
      <c r="AO85" s="1748"/>
      <c r="AP85" s="1748"/>
      <c r="AQ85" s="1748"/>
      <c r="AR85" s="1748">
        <f>SUMIF(unos!E:E,AE85,unos!F:F)</f>
        <v>0</v>
      </c>
      <c r="AS85" s="1748"/>
      <c r="AT85" s="1748"/>
      <c r="AU85" s="1748"/>
      <c r="AV85" s="1748"/>
      <c r="AW85" s="1748"/>
      <c r="AX85" s="1748"/>
      <c r="AY85" s="1748"/>
      <c r="AZ85" s="1748"/>
      <c r="BA85" s="1756"/>
    </row>
    <row r="86" spans="1:53" ht="20.25" customHeight="1">
      <c r="A86" s="1736" t="s">
        <v>2369</v>
      </c>
      <c r="B86" s="1737"/>
      <c r="C86" s="1737"/>
      <c r="D86" s="1737"/>
      <c r="E86" s="964" t="s">
        <v>2553</v>
      </c>
      <c r="F86" s="965"/>
      <c r="G86" s="965"/>
      <c r="H86" s="965"/>
      <c r="I86" s="965"/>
      <c r="J86" s="965"/>
      <c r="K86" s="965"/>
      <c r="L86" s="965"/>
      <c r="M86" s="965"/>
      <c r="N86" s="965"/>
      <c r="O86" s="965"/>
      <c r="P86" s="965"/>
      <c r="Q86" s="965"/>
      <c r="R86" s="965"/>
      <c r="S86" s="965"/>
      <c r="T86" s="965"/>
      <c r="U86" s="965"/>
      <c r="V86" s="965"/>
      <c r="W86" s="965"/>
      <c r="X86" s="965"/>
      <c r="Y86" s="965"/>
      <c r="Z86" s="966"/>
      <c r="AA86" s="967"/>
      <c r="AB86" s="1744"/>
      <c r="AC86" s="1745"/>
      <c r="AD86" s="1746"/>
      <c r="AE86" s="1747" t="s">
        <v>176</v>
      </c>
      <c r="AF86" s="1747"/>
      <c r="AG86" s="1747"/>
      <c r="AH86" s="1748">
        <f>SUMIF(unos!E:E,AE86,unos!G:G)</f>
        <v>0</v>
      </c>
      <c r="AI86" s="1748"/>
      <c r="AJ86" s="1748"/>
      <c r="AK86" s="1748"/>
      <c r="AL86" s="1748"/>
      <c r="AM86" s="1748"/>
      <c r="AN86" s="1748"/>
      <c r="AO86" s="1748"/>
      <c r="AP86" s="1748"/>
      <c r="AQ86" s="1748"/>
      <c r="AR86" s="1748">
        <f>SUMIF(unos!E:E,AE86,unos!F:F)</f>
        <v>0</v>
      </c>
      <c r="AS86" s="1748"/>
      <c r="AT86" s="1748"/>
      <c r="AU86" s="1748"/>
      <c r="AV86" s="1748"/>
      <c r="AW86" s="1748"/>
      <c r="AX86" s="1748"/>
      <c r="AY86" s="1748"/>
      <c r="AZ86" s="1748"/>
      <c r="BA86" s="1756"/>
    </row>
    <row r="87" spans="1:53" ht="20.25" customHeight="1">
      <c r="A87" s="1736" t="s">
        <v>2370</v>
      </c>
      <c r="B87" s="1737"/>
      <c r="C87" s="1737"/>
      <c r="D87" s="1737"/>
      <c r="E87" s="964" t="s">
        <v>2554</v>
      </c>
      <c r="F87" s="965"/>
      <c r="G87" s="965"/>
      <c r="H87" s="965"/>
      <c r="I87" s="965"/>
      <c r="J87" s="965"/>
      <c r="K87" s="965"/>
      <c r="L87" s="965"/>
      <c r="M87" s="965"/>
      <c r="N87" s="965"/>
      <c r="O87" s="965"/>
      <c r="P87" s="965"/>
      <c r="Q87" s="965"/>
      <c r="R87" s="965"/>
      <c r="S87" s="965"/>
      <c r="T87" s="965"/>
      <c r="U87" s="965"/>
      <c r="V87" s="965"/>
      <c r="W87" s="965"/>
      <c r="X87" s="965"/>
      <c r="Y87" s="965"/>
      <c r="Z87" s="966"/>
      <c r="AA87" s="967"/>
      <c r="AB87" s="1744"/>
      <c r="AC87" s="1745"/>
      <c r="AD87" s="1746"/>
      <c r="AE87" s="1747" t="s">
        <v>177</v>
      </c>
      <c r="AF87" s="1747"/>
      <c r="AG87" s="1747"/>
      <c r="AH87" s="1748">
        <f>SUMIF(unos!E:E,AE87,unos!G:G)</f>
        <v>0</v>
      </c>
      <c r="AI87" s="1748"/>
      <c r="AJ87" s="1748"/>
      <c r="AK87" s="1748"/>
      <c r="AL87" s="1748"/>
      <c r="AM87" s="1748"/>
      <c r="AN87" s="1748"/>
      <c r="AO87" s="1748"/>
      <c r="AP87" s="1748"/>
      <c r="AQ87" s="1748"/>
      <c r="AR87" s="1748">
        <f>SUMIF(unos!E:E,AE87,unos!F:F)</f>
        <v>0</v>
      </c>
      <c r="AS87" s="1748"/>
      <c r="AT87" s="1748"/>
      <c r="AU87" s="1748"/>
      <c r="AV87" s="1748"/>
      <c r="AW87" s="1748"/>
      <c r="AX87" s="1748"/>
      <c r="AY87" s="1748"/>
      <c r="AZ87" s="1748"/>
      <c r="BA87" s="1756"/>
    </row>
    <row r="88" spans="1:53" ht="20.25" customHeight="1">
      <c r="A88" s="1736" t="s">
        <v>2371</v>
      </c>
      <c r="B88" s="1737"/>
      <c r="C88" s="1737"/>
      <c r="D88" s="1737"/>
      <c r="E88" s="964" t="s">
        <v>2555</v>
      </c>
      <c r="F88" s="965"/>
      <c r="G88" s="965"/>
      <c r="H88" s="965"/>
      <c r="I88" s="965"/>
      <c r="J88" s="965"/>
      <c r="K88" s="965"/>
      <c r="L88" s="965"/>
      <c r="M88" s="965"/>
      <c r="N88" s="965"/>
      <c r="O88" s="965"/>
      <c r="P88" s="965"/>
      <c r="Q88" s="965"/>
      <c r="R88" s="965"/>
      <c r="S88" s="965"/>
      <c r="T88" s="965"/>
      <c r="U88" s="965"/>
      <c r="V88" s="965"/>
      <c r="W88" s="965"/>
      <c r="X88" s="965"/>
      <c r="Y88" s="965"/>
      <c r="Z88" s="966"/>
      <c r="AA88" s="967"/>
      <c r="AB88" s="1744"/>
      <c r="AC88" s="1745"/>
      <c r="AD88" s="1746"/>
      <c r="AE88" s="1747" t="s">
        <v>178</v>
      </c>
      <c r="AF88" s="1747"/>
      <c r="AG88" s="1747"/>
      <c r="AH88" s="1748">
        <f>SUMIF(unos!E:E,AE88,unos!G:G)</f>
        <v>0</v>
      </c>
      <c r="AI88" s="1748"/>
      <c r="AJ88" s="1748"/>
      <c r="AK88" s="1748"/>
      <c r="AL88" s="1748"/>
      <c r="AM88" s="1748"/>
      <c r="AN88" s="1748"/>
      <c r="AO88" s="1748"/>
      <c r="AP88" s="1748"/>
      <c r="AQ88" s="1748"/>
      <c r="AR88" s="1748">
        <f>SUMIF(unos!E:E,AE88,unos!F:F)</f>
        <v>0</v>
      </c>
      <c r="AS88" s="1748"/>
      <c r="AT88" s="1748"/>
      <c r="AU88" s="1748"/>
      <c r="AV88" s="1748"/>
      <c r="AW88" s="1748"/>
      <c r="AX88" s="1748"/>
      <c r="AY88" s="1748"/>
      <c r="AZ88" s="1748"/>
      <c r="BA88" s="1756"/>
    </row>
    <row r="89" spans="1:53" ht="30" customHeight="1">
      <c r="A89" s="1787" t="s">
        <v>2556</v>
      </c>
      <c r="B89" s="1788"/>
      <c r="C89" s="1788"/>
      <c r="D89" s="1788"/>
      <c r="E89" s="1785" t="s">
        <v>2557</v>
      </c>
      <c r="F89" s="1775"/>
      <c r="G89" s="1775"/>
      <c r="H89" s="1775"/>
      <c r="I89" s="1775"/>
      <c r="J89" s="1775"/>
      <c r="K89" s="1775"/>
      <c r="L89" s="1775"/>
      <c r="M89" s="1775"/>
      <c r="N89" s="1775"/>
      <c r="O89" s="1775"/>
      <c r="P89" s="1775"/>
      <c r="Q89" s="1775"/>
      <c r="R89" s="1775"/>
      <c r="S89" s="1775"/>
      <c r="T89" s="1775"/>
      <c r="U89" s="1775"/>
      <c r="V89" s="1775"/>
      <c r="W89" s="1775"/>
      <c r="X89" s="1775"/>
      <c r="Y89" s="1775"/>
      <c r="Z89" s="1775"/>
      <c r="AA89" s="1776"/>
      <c r="AB89" s="1744"/>
      <c r="AC89" s="1745"/>
      <c r="AD89" s="1746"/>
      <c r="AE89" s="1747" t="s">
        <v>193</v>
      </c>
      <c r="AF89" s="1747"/>
      <c r="AG89" s="1747"/>
      <c r="AH89" s="1748">
        <f>SUM(AH90:AH98)</f>
        <v>0</v>
      </c>
      <c r="AI89" s="1748"/>
      <c r="AJ89" s="1748"/>
      <c r="AK89" s="1748"/>
      <c r="AL89" s="1748"/>
      <c r="AM89" s="1748"/>
      <c r="AN89" s="1748"/>
      <c r="AO89" s="1748"/>
      <c r="AP89" s="1748"/>
      <c r="AQ89" s="1748"/>
      <c r="AR89" s="1748">
        <f>SUM(AR90:AR98)</f>
        <v>0</v>
      </c>
      <c r="AS89" s="1748"/>
      <c r="AT89" s="1748"/>
      <c r="AU89" s="1748"/>
      <c r="AV89" s="1748"/>
      <c r="AW89" s="1748"/>
      <c r="AX89" s="1748"/>
      <c r="AY89" s="1748"/>
      <c r="AZ89" s="1748"/>
      <c r="BA89" s="1756"/>
    </row>
    <row r="90" spans="1:53" ht="20.25" customHeight="1">
      <c r="A90" s="1736" t="s">
        <v>1752</v>
      </c>
      <c r="B90" s="1737"/>
      <c r="C90" s="1737"/>
      <c r="D90" s="1737"/>
      <c r="E90" s="964" t="s">
        <v>2558</v>
      </c>
      <c r="F90" s="965"/>
      <c r="G90" s="965"/>
      <c r="H90" s="965"/>
      <c r="I90" s="965"/>
      <c r="J90" s="965"/>
      <c r="K90" s="965"/>
      <c r="L90" s="965"/>
      <c r="M90" s="965"/>
      <c r="N90" s="965"/>
      <c r="O90" s="965"/>
      <c r="P90" s="965"/>
      <c r="Q90" s="965"/>
      <c r="R90" s="965"/>
      <c r="S90" s="965"/>
      <c r="T90" s="965"/>
      <c r="U90" s="965"/>
      <c r="V90" s="965"/>
      <c r="W90" s="965"/>
      <c r="X90" s="965"/>
      <c r="Y90" s="965"/>
      <c r="Z90" s="966"/>
      <c r="AA90" s="967"/>
      <c r="AB90" s="1744"/>
      <c r="AC90" s="1745"/>
      <c r="AD90" s="1746"/>
      <c r="AE90" s="1747" t="s">
        <v>194</v>
      </c>
      <c r="AF90" s="1747"/>
      <c r="AG90" s="1747"/>
      <c r="AH90" s="1748">
        <f>SUMIF(unos!E:E,AE90,unos!G:G)</f>
        <v>0</v>
      </c>
      <c r="AI90" s="1748"/>
      <c r="AJ90" s="1748"/>
      <c r="AK90" s="1748"/>
      <c r="AL90" s="1748"/>
      <c r="AM90" s="1748"/>
      <c r="AN90" s="1748"/>
      <c r="AO90" s="1748"/>
      <c r="AP90" s="1748"/>
      <c r="AQ90" s="1748"/>
      <c r="AR90" s="1748">
        <f>SUMIF(unos!E:E,AE90,unos!F:F)</f>
        <v>0</v>
      </c>
      <c r="AS90" s="1748"/>
      <c r="AT90" s="1748"/>
      <c r="AU90" s="1748"/>
      <c r="AV90" s="1748"/>
      <c r="AW90" s="1748"/>
      <c r="AX90" s="1748"/>
      <c r="AY90" s="1748"/>
      <c r="AZ90" s="1748"/>
      <c r="BA90" s="1756"/>
    </row>
    <row r="91" spans="1:53" ht="20.25" customHeight="1">
      <c r="A91" s="1736" t="s">
        <v>1753</v>
      </c>
      <c r="B91" s="1737"/>
      <c r="C91" s="1737"/>
      <c r="D91" s="1737"/>
      <c r="E91" s="964" t="s">
        <v>2559</v>
      </c>
      <c r="F91" s="965"/>
      <c r="G91" s="965"/>
      <c r="H91" s="965"/>
      <c r="I91" s="965"/>
      <c r="J91" s="965"/>
      <c r="K91" s="965"/>
      <c r="L91" s="965"/>
      <c r="M91" s="965"/>
      <c r="N91" s="965"/>
      <c r="O91" s="965"/>
      <c r="P91" s="965"/>
      <c r="Q91" s="965"/>
      <c r="R91" s="965"/>
      <c r="S91" s="965"/>
      <c r="T91" s="965"/>
      <c r="U91" s="965"/>
      <c r="V91" s="965"/>
      <c r="W91" s="965"/>
      <c r="X91" s="965"/>
      <c r="Y91" s="965"/>
      <c r="Z91" s="966"/>
      <c r="AA91" s="967"/>
      <c r="AB91" s="1744"/>
      <c r="AC91" s="1745"/>
      <c r="AD91" s="1746"/>
      <c r="AE91" s="1747" t="s">
        <v>195</v>
      </c>
      <c r="AF91" s="1747"/>
      <c r="AG91" s="1747"/>
      <c r="AH91" s="1748">
        <f>SUMIF(unos!E:E,AE91,unos!G:G)</f>
        <v>0</v>
      </c>
      <c r="AI91" s="1748"/>
      <c r="AJ91" s="1748"/>
      <c r="AK91" s="1748"/>
      <c r="AL91" s="1748"/>
      <c r="AM91" s="1748"/>
      <c r="AN91" s="1748"/>
      <c r="AO91" s="1748"/>
      <c r="AP91" s="1748"/>
      <c r="AQ91" s="1748"/>
      <c r="AR91" s="1748">
        <f>SUMIF(unos!E:E,AE91,unos!F:F)</f>
        <v>0</v>
      </c>
      <c r="AS91" s="1748"/>
      <c r="AT91" s="1748"/>
      <c r="AU91" s="1748"/>
      <c r="AV91" s="1748"/>
      <c r="AW91" s="1748"/>
      <c r="AX91" s="1748"/>
      <c r="AY91" s="1748"/>
      <c r="AZ91" s="1748"/>
      <c r="BA91" s="1756"/>
    </row>
    <row r="92" spans="1:53" ht="20.25" customHeight="1">
      <c r="A92" s="1736" t="s">
        <v>1754</v>
      </c>
      <c r="B92" s="1737"/>
      <c r="C92" s="1737"/>
      <c r="D92" s="1737"/>
      <c r="E92" s="964" t="s">
        <v>2560</v>
      </c>
      <c r="F92" s="965"/>
      <c r="G92" s="965"/>
      <c r="H92" s="965"/>
      <c r="I92" s="965"/>
      <c r="J92" s="965"/>
      <c r="K92" s="965"/>
      <c r="L92" s="965"/>
      <c r="M92" s="965"/>
      <c r="N92" s="965"/>
      <c r="O92" s="965"/>
      <c r="P92" s="965"/>
      <c r="Q92" s="965"/>
      <c r="R92" s="965"/>
      <c r="S92" s="965"/>
      <c r="T92" s="965"/>
      <c r="U92" s="965"/>
      <c r="V92" s="965"/>
      <c r="W92" s="965"/>
      <c r="X92" s="965"/>
      <c r="Y92" s="965"/>
      <c r="Z92" s="966"/>
      <c r="AA92" s="967"/>
      <c r="AB92" s="1744"/>
      <c r="AC92" s="1745"/>
      <c r="AD92" s="1746"/>
      <c r="AE92" s="1747" t="s">
        <v>196</v>
      </c>
      <c r="AF92" s="1747"/>
      <c r="AG92" s="1747"/>
      <c r="AH92" s="1748">
        <f>SUMIF(unos!E:E,AE92,unos!G:G)</f>
        <v>0</v>
      </c>
      <c r="AI92" s="1748"/>
      <c r="AJ92" s="1748"/>
      <c r="AK92" s="1748"/>
      <c r="AL92" s="1748"/>
      <c r="AM92" s="1748"/>
      <c r="AN92" s="1748"/>
      <c r="AO92" s="1748"/>
      <c r="AP92" s="1748"/>
      <c r="AQ92" s="1748"/>
      <c r="AR92" s="1748">
        <f>SUMIF(unos!E:E,AE92,unos!F:F)</f>
        <v>0</v>
      </c>
      <c r="AS92" s="1748"/>
      <c r="AT92" s="1748"/>
      <c r="AU92" s="1748"/>
      <c r="AV92" s="1748"/>
      <c r="AW92" s="1748"/>
      <c r="AX92" s="1748"/>
      <c r="AY92" s="1748"/>
      <c r="AZ92" s="1748"/>
      <c r="BA92" s="1756"/>
    </row>
    <row r="93" spans="1:53" ht="20.25" customHeight="1">
      <c r="A93" s="1736" t="s">
        <v>1756</v>
      </c>
      <c r="B93" s="1737"/>
      <c r="C93" s="1737"/>
      <c r="D93" s="1737"/>
      <c r="E93" s="964" t="s">
        <v>2561</v>
      </c>
      <c r="F93" s="965"/>
      <c r="G93" s="965"/>
      <c r="H93" s="965"/>
      <c r="I93" s="965"/>
      <c r="J93" s="965"/>
      <c r="K93" s="965"/>
      <c r="L93" s="965"/>
      <c r="M93" s="965"/>
      <c r="N93" s="965"/>
      <c r="O93" s="965"/>
      <c r="P93" s="965"/>
      <c r="Q93" s="965"/>
      <c r="R93" s="965"/>
      <c r="S93" s="965"/>
      <c r="T93" s="965"/>
      <c r="U93" s="965"/>
      <c r="V93" s="965"/>
      <c r="W93" s="965"/>
      <c r="X93" s="965"/>
      <c r="Y93" s="965"/>
      <c r="Z93" s="966"/>
      <c r="AA93" s="967"/>
      <c r="AB93" s="1744"/>
      <c r="AC93" s="1745"/>
      <c r="AD93" s="1746"/>
      <c r="AE93" s="1747" t="s">
        <v>927</v>
      </c>
      <c r="AF93" s="1747"/>
      <c r="AG93" s="1747"/>
      <c r="AH93" s="1748">
        <f>SUMIF(unos!E:E,AE93,unos!G:G)</f>
        <v>0</v>
      </c>
      <c r="AI93" s="1748"/>
      <c r="AJ93" s="1748"/>
      <c r="AK93" s="1748"/>
      <c r="AL93" s="1748"/>
      <c r="AM93" s="1748"/>
      <c r="AN93" s="1748"/>
      <c r="AO93" s="1748"/>
      <c r="AP93" s="1748"/>
      <c r="AQ93" s="1748"/>
      <c r="AR93" s="1748">
        <f>SUMIF(unos!E:E,AE93,unos!F:F)</f>
        <v>0</v>
      </c>
      <c r="AS93" s="1748"/>
      <c r="AT93" s="1748"/>
      <c r="AU93" s="1748"/>
      <c r="AV93" s="1748"/>
      <c r="AW93" s="1748"/>
      <c r="AX93" s="1748"/>
      <c r="AY93" s="1748"/>
      <c r="AZ93" s="1748"/>
      <c r="BA93" s="1756"/>
    </row>
    <row r="94" spans="1:53" ht="20.25" customHeight="1">
      <c r="A94" s="1736" t="s">
        <v>1757</v>
      </c>
      <c r="B94" s="1737"/>
      <c r="C94" s="1737"/>
      <c r="D94" s="1737"/>
      <c r="E94" s="964" t="s">
        <v>2562</v>
      </c>
      <c r="F94" s="965"/>
      <c r="G94" s="965"/>
      <c r="H94" s="965"/>
      <c r="I94" s="965"/>
      <c r="J94" s="965"/>
      <c r="K94" s="965"/>
      <c r="L94" s="965"/>
      <c r="M94" s="965"/>
      <c r="N94" s="965"/>
      <c r="O94" s="965"/>
      <c r="P94" s="965"/>
      <c r="Q94" s="965"/>
      <c r="R94" s="965"/>
      <c r="S94" s="965"/>
      <c r="T94" s="965"/>
      <c r="U94" s="965"/>
      <c r="V94" s="965"/>
      <c r="W94" s="965"/>
      <c r="X94" s="965"/>
      <c r="Y94" s="965"/>
      <c r="Z94" s="966"/>
      <c r="AA94" s="967"/>
      <c r="AB94" s="1744"/>
      <c r="AC94" s="1745"/>
      <c r="AD94" s="1746"/>
      <c r="AE94" s="1747" t="s">
        <v>928</v>
      </c>
      <c r="AF94" s="1747"/>
      <c r="AG94" s="1747"/>
      <c r="AH94" s="1748">
        <f>SUMIF(unos!E:E,AE94,unos!G:G)</f>
        <v>0</v>
      </c>
      <c r="AI94" s="1748"/>
      <c r="AJ94" s="1748"/>
      <c r="AK94" s="1748"/>
      <c r="AL94" s="1748"/>
      <c r="AM94" s="1748"/>
      <c r="AN94" s="1748"/>
      <c r="AO94" s="1748"/>
      <c r="AP94" s="1748"/>
      <c r="AQ94" s="1748"/>
      <c r="AR94" s="1748">
        <f>SUMIF(unos!E:E,AE94,unos!F:F)</f>
        <v>0</v>
      </c>
      <c r="AS94" s="1748"/>
      <c r="AT94" s="1748"/>
      <c r="AU94" s="1748"/>
      <c r="AV94" s="1748"/>
      <c r="AW94" s="1748"/>
      <c r="AX94" s="1748"/>
      <c r="AY94" s="1748"/>
      <c r="AZ94" s="1748"/>
      <c r="BA94" s="1756"/>
    </row>
    <row r="95" spans="1:53" ht="20.25" customHeight="1">
      <c r="A95" s="1736" t="s">
        <v>1758</v>
      </c>
      <c r="B95" s="1737"/>
      <c r="C95" s="1737"/>
      <c r="D95" s="1737"/>
      <c r="E95" s="964" t="s">
        <v>2563</v>
      </c>
      <c r="F95" s="965"/>
      <c r="G95" s="965"/>
      <c r="H95" s="965"/>
      <c r="I95" s="965"/>
      <c r="J95" s="965"/>
      <c r="K95" s="965"/>
      <c r="L95" s="965"/>
      <c r="M95" s="965"/>
      <c r="N95" s="965"/>
      <c r="O95" s="965"/>
      <c r="P95" s="965"/>
      <c r="Q95" s="965"/>
      <c r="R95" s="965"/>
      <c r="S95" s="965"/>
      <c r="T95" s="965"/>
      <c r="U95" s="965"/>
      <c r="V95" s="965"/>
      <c r="W95" s="965"/>
      <c r="X95" s="965"/>
      <c r="Y95" s="965"/>
      <c r="Z95" s="966"/>
      <c r="AA95" s="967"/>
      <c r="AB95" s="1744"/>
      <c r="AC95" s="1745"/>
      <c r="AD95" s="1746"/>
      <c r="AE95" s="1747" t="s">
        <v>929</v>
      </c>
      <c r="AF95" s="1747"/>
      <c r="AG95" s="1747"/>
      <c r="AH95" s="1748">
        <f>SUMIF(unos!E:E,AE95,unos!G:G)</f>
        <v>0</v>
      </c>
      <c r="AI95" s="1748"/>
      <c r="AJ95" s="1748"/>
      <c r="AK95" s="1748"/>
      <c r="AL95" s="1748"/>
      <c r="AM95" s="1748"/>
      <c r="AN95" s="1748"/>
      <c r="AO95" s="1748"/>
      <c r="AP95" s="1748"/>
      <c r="AQ95" s="1748"/>
      <c r="AR95" s="1748">
        <f>SUMIF(unos!E:E,AE95,unos!F:F)</f>
        <v>0</v>
      </c>
      <c r="AS95" s="1748"/>
      <c r="AT95" s="1748"/>
      <c r="AU95" s="1748"/>
      <c r="AV95" s="1748"/>
      <c r="AW95" s="1748"/>
      <c r="AX95" s="1748"/>
      <c r="AY95" s="1748"/>
      <c r="AZ95" s="1748"/>
      <c r="BA95" s="1756"/>
    </row>
    <row r="96" spans="1:53" ht="20.25" customHeight="1">
      <c r="A96" s="1736" t="s">
        <v>1759</v>
      </c>
      <c r="B96" s="1737"/>
      <c r="C96" s="1737"/>
      <c r="D96" s="1737"/>
      <c r="E96" s="977" t="s">
        <v>2564</v>
      </c>
      <c r="F96" s="978"/>
      <c r="G96" s="978"/>
      <c r="H96" s="978"/>
      <c r="I96" s="978"/>
      <c r="J96" s="978"/>
      <c r="K96" s="978"/>
      <c r="L96" s="978"/>
      <c r="M96" s="978"/>
      <c r="N96" s="978"/>
      <c r="O96" s="978"/>
      <c r="P96" s="978"/>
      <c r="Q96" s="978"/>
      <c r="R96" s="978"/>
      <c r="S96" s="978"/>
      <c r="T96" s="978"/>
      <c r="U96" s="965"/>
      <c r="V96" s="965"/>
      <c r="W96" s="965"/>
      <c r="X96" s="965"/>
      <c r="Y96" s="965"/>
      <c r="Z96" s="966"/>
      <c r="AA96" s="967"/>
      <c r="AB96" s="1744"/>
      <c r="AC96" s="1745"/>
      <c r="AD96" s="1746"/>
      <c r="AE96" s="1747" t="s">
        <v>930</v>
      </c>
      <c r="AF96" s="1747"/>
      <c r="AG96" s="1747"/>
      <c r="AH96" s="1748">
        <f>SUMIF(unos!E:E,AE96,unos!G:G)</f>
        <v>0</v>
      </c>
      <c r="AI96" s="1748"/>
      <c r="AJ96" s="1748"/>
      <c r="AK96" s="1748"/>
      <c r="AL96" s="1748"/>
      <c r="AM96" s="1748"/>
      <c r="AN96" s="1748"/>
      <c r="AO96" s="1748"/>
      <c r="AP96" s="1748"/>
      <c r="AQ96" s="1748"/>
      <c r="AR96" s="1748">
        <f>SUMIF(unos!E:E,AE96,unos!F:F)</f>
        <v>0</v>
      </c>
      <c r="AS96" s="1748"/>
      <c r="AT96" s="1748"/>
      <c r="AU96" s="1748"/>
      <c r="AV96" s="1748"/>
      <c r="AW96" s="1748"/>
      <c r="AX96" s="1748"/>
      <c r="AY96" s="1748"/>
      <c r="AZ96" s="1748"/>
      <c r="BA96" s="1756"/>
    </row>
    <row r="97" spans="1:53" ht="20.25" customHeight="1">
      <c r="A97" s="1736" t="s">
        <v>1760</v>
      </c>
      <c r="B97" s="1737"/>
      <c r="C97" s="1737"/>
      <c r="D97" s="1737"/>
      <c r="E97" s="964" t="s">
        <v>2565</v>
      </c>
      <c r="F97" s="965"/>
      <c r="G97" s="965"/>
      <c r="H97" s="965"/>
      <c r="I97" s="965"/>
      <c r="J97" s="965"/>
      <c r="K97" s="965"/>
      <c r="L97" s="965"/>
      <c r="M97" s="965"/>
      <c r="N97" s="965"/>
      <c r="O97" s="965"/>
      <c r="P97" s="965"/>
      <c r="Q97" s="965"/>
      <c r="R97" s="965"/>
      <c r="S97" s="965"/>
      <c r="T97" s="965"/>
      <c r="U97" s="965"/>
      <c r="V97" s="965"/>
      <c r="W97" s="965"/>
      <c r="X97" s="965"/>
      <c r="Y97" s="965"/>
      <c r="Z97" s="966"/>
      <c r="AA97" s="967"/>
      <c r="AB97" s="1744"/>
      <c r="AC97" s="1745"/>
      <c r="AD97" s="1746"/>
      <c r="AE97" s="1747" t="s">
        <v>931</v>
      </c>
      <c r="AF97" s="1747"/>
      <c r="AG97" s="1747"/>
      <c r="AH97" s="1748">
        <f>SUMIF(unos!E:E,AE97,unos!G:G)</f>
        <v>0</v>
      </c>
      <c r="AI97" s="1748"/>
      <c r="AJ97" s="1748"/>
      <c r="AK97" s="1748"/>
      <c r="AL97" s="1748"/>
      <c r="AM97" s="1748"/>
      <c r="AN97" s="1748"/>
      <c r="AO97" s="1748"/>
      <c r="AP97" s="1748"/>
      <c r="AQ97" s="1748"/>
      <c r="AR97" s="1748">
        <f>SUMIF(unos!E:E,AE97,unos!F:F)</f>
        <v>0</v>
      </c>
      <c r="AS97" s="1748"/>
      <c r="AT97" s="1748"/>
      <c r="AU97" s="1748"/>
      <c r="AV97" s="1748"/>
      <c r="AW97" s="1748"/>
      <c r="AX97" s="1748"/>
      <c r="AY97" s="1748"/>
      <c r="AZ97" s="1748"/>
      <c r="BA97" s="1756"/>
    </row>
    <row r="98" spans="1:53" ht="20.25" customHeight="1">
      <c r="A98" s="1736" t="s">
        <v>1761</v>
      </c>
      <c r="B98" s="1737"/>
      <c r="C98" s="1737"/>
      <c r="D98" s="1737"/>
      <c r="E98" s="964" t="s">
        <v>2566</v>
      </c>
      <c r="F98" s="965"/>
      <c r="G98" s="965"/>
      <c r="H98" s="965"/>
      <c r="I98" s="965"/>
      <c r="J98" s="965"/>
      <c r="K98" s="965"/>
      <c r="L98" s="965"/>
      <c r="M98" s="965"/>
      <c r="N98" s="965"/>
      <c r="O98" s="965"/>
      <c r="P98" s="965"/>
      <c r="Q98" s="965"/>
      <c r="R98" s="965"/>
      <c r="S98" s="965"/>
      <c r="T98" s="965"/>
      <c r="U98" s="965"/>
      <c r="V98" s="965"/>
      <c r="W98" s="965"/>
      <c r="X98" s="965"/>
      <c r="Y98" s="965"/>
      <c r="Z98" s="966"/>
      <c r="AA98" s="967"/>
      <c r="AB98" s="1744"/>
      <c r="AC98" s="1745"/>
      <c r="AD98" s="1746"/>
      <c r="AE98" s="1747" t="s">
        <v>932</v>
      </c>
      <c r="AF98" s="1747"/>
      <c r="AG98" s="1747"/>
      <c r="AH98" s="1748">
        <f>SUMIF(unos!E:E,AE98,unos!G:G)</f>
        <v>0</v>
      </c>
      <c r="AI98" s="1748"/>
      <c r="AJ98" s="1748"/>
      <c r="AK98" s="1748"/>
      <c r="AL98" s="1748"/>
      <c r="AM98" s="1748"/>
      <c r="AN98" s="1748"/>
      <c r="AO98" s="1748"/>
      <c r="AP98" s="1748"/>
      <c r="AQ98" s="1748"/>
      <c r="AR98" s="1748">
        <f>SUMIF(unos!E:E,AE98,unos!F:F)</f>
        <v>0</v>
      </c>
      <c r="AS98" s="1748"/>
      <c r="AT98" s="1748"/>
      <c r="AU98" s="1748"/>
      <c r="AV98" s="1748"/>
      <c r="AW98" s="1748"/>
      <c r="AX98" s="1748"/>
      <c r="AY98" s="1748"/>
      <c r="AZ98" s="1748"/>
      <c r="BA98" s="1756"/>
    </row>
    <row r="99" spans="1:53" ht="20.25" customHeight="1">
      <c r="A99" s="1736"/>
      <c r="B99" s="1737"/>
      <c r="C99" s="1737"/>
      <c r="D99" s="1737"/>
      <c r="E99" s="964"/>
      <c r="F99" s="968" t="s">
        <v>1908</v>
      </c>
      <c r="G99" s="965"/>
      <c r="H99" s="965"/>
      <c r="I99" s="965"/>
      <c r="J99" s="965"/>
      <c r="K99" s="965"/>
      <c r="L99" s="965"/>
      <c r="M99" s="965"/>
      <c r="N99" s="965"/>
      <c r="O99" s="965"/>
      <c r="P99" s="965"/>
      <c r="Q99" s="965"/>
      <c r="R99" s="965"/>
      <c r="S99" s="965"/>
      <c r="T99" s="965"/>
      <c r="U99" s="965"/>
      <c r="V99" s="965"/>
      <c r="W99" s="965"/>
      <c r="X99" s="965"/>
      <c r="Y99" s="965"/>
      <c r="Z99" s="966"/>
      <c r="AA99" s="967"/>
      <c r="AB99" s="1744"/>
      <c r="AC99" s="1745"/>
      <c r="AD99" s="1746"/>
      <c r="AE99" s="1747" t="s">
        <v>933</v>
      </c>
      <c r="AF99" s="1747"/>
      <c r="AG99" s="1747"/>
      <c r="AH99" s="1748">
        <f>IF(AH79-AH89&lt;=0,0,AH79-AH89)</f>
        <v>0</v>
      </c>
      <c r="AI99" s="1748"/>
      <c r="AJ99" s="1748"/>
      <c r="AK99" s="1748"/>
      <c r="AL99" s="1748"/>
      <c r="AM99" s="1748"/>
      <c r="AN99" s="1748"/>
      <c r="AO99" s="1748"/>
      <c r="AP99" s="1748"/>
      <c r="AQ99" s="1748"/>
      <c r="AR99" s="1748">
        <f>IF(AR79-AR89&lt;=0,0,AR79-AR89)</f>
        <v>0</v>
      </c>
      <c r="AS99" s="1748"/>
      <c r="AT99" s="1748"/>
      <c r="AU99" s="1748"/>
      <c r="AV99" s="1748"/>
      <c r="AW99" s="1748"/>
      <c r="AX99" s="1748"/>
      <c r="AY99" s="1748"/>
      <c r="AZ99" s="1748"/>
      <c r="BA99" s="1756"/>
    </row>
    <row r="100" spans="1:53" ht="20.25" customHeight="1" thickBot="1">
      <c r="A100" s="1742"/>
      <c r="B100" s="1743"/>
      <c r="C100" s="1743"/>
      <c r="D100" s="1743"/>
      <c r="E100" s="969"/>
      <c r="F100" s="979" t="s">
        <v>1909</v>
      </c>
      <c r="G100" s="970"/>
      <c r="H100" s="970"/>
      <c r="I100" s="970"/>
      <c r="J100" s="970"/>
      <c r="K100" s="970"/>
      <c r="L100" s="970"/>
      <c r="M100" s="970"/>
      <c r="N100" s="970"/>
      <c r="O100" s="970"/>
      <c r="P100" s="970"/>
      <c r="Q100" s="970"/>
      <c r="R100" s="970"/>
      <c r="S100" s="970"/>
      <c r="T100" s="970"/>
      <c r="U100" s="970"/>
      <c r="V100" s="970"/>
      <c r="W100" s="970"/>
      <c r="X100" s="970"/>
      <c r="Y100" s="970"/>
      <c r="Z100" s="971"/>
      <c r="AA100" s="972"/>
      <c r="AB100" s="1749"/>
      <c r="AC100" s="1750"/>
      <c r="AD100" s="1751"/>
      <c r="AE100" s="1752" t="s">
        <v>934</v>
      </c>
      <c r="AF100" s="1752"/>
      <c r="AG100" s="1752"/>
      <c r="AH100" s="1734">
        <f>IF(AH89-AH79&lt;=0,0,AH89-AH79)</f>
        <v>0</v>
      </c>
      <c r="AI100" s="1734"/>
      <c r="AJ100" s="1734"/>
      <c r="AK100" s="1734"/>
      <c r="AL100" s="1734"/>
      <c r="AM100" s="1734"/>
      <c r="AN100" s="1734"/>
      <c r="AO100" s="1734"/>
      <c r="AP100" s="1734"/>
      <c r="AQ100" s="1734"/>
      <c r="AR100" s="1734">
        <f>IF(AR89-AR79&lt;=0,0,AR89-AR79)</f>
        <v>0</v>
      </c>
      <c r="AS100" s="1734"/>
      <c r="AT100" s="1734"/>
      <c r="AU100" s="1734"/>
      <c r="AV100" s="1734"/>
      <c r="AW100" s="1734"/>
      <c r="AX100" s="1734"/>
      <c r="AY100" s="1734"/>
      <c r="AZ100" s="1734"/>
      <c r="BA100" s="1735"/>
    </row>
    <row r="101" spans="1:53" s="947" customFormat="1" ht="22.5" customHeight="1">
      <c r="A101" s="1738"/>
      <c r="B101" s="1738"/>
      <c r="C101" s="1738"/>
      <c r="D101" s="1738"/>
      <c r="E101" s="1771"/>
      <c r="F101" s="1771"/>
      <c r="G101" s="1771"/>
      <c r="H101" s="1771"/>
      <c r="I101" s="1771"/>
      <c r="J101" s="1771"/>
      <c r="K101" s="1771"/>
      <c r="L101" s="1771"/>
      <c r="M101" s="1771"/>
      <c r="N101" s="1771"/>
      <c r="O101" s="1771"/>
      <c r="P101" s="1771"/>
      <c r="Q101" s="1771"/>
      <c r="R101" s="1771"/>
      <c r="S101" s="1771"/>
      <c r="T101" s="1771"/>
      <c r="U101" s="1757"/>
      <c r="V101" s="1757"/>
      <c r="W101" s="1757"/>
      <c r="X101" s="1757"/>
      <c r="Y101" s="1757"/>
      <c r="Z101" s="1769"/>
      <c r="AA101" s="1769"/>
      <c r="AB101" s="1769"/>
      <c r="AC101" s="1769"/>
      <c r="AD101" s="1769"/>
      <c r="AE101" s="1769"/>
      <c r="AF101" s="1769"/>
      <c r="AG101" s="1769"/>
      <c r="AH101" s="1769"/>
      <c r="AI101" s="1769"/>
      <c r="AJ101" s="1769"/>
      <c r="AK101" s="1769"/>
      <c r="AL101" s="1769"/>
      <c r="AM101" s="1769"/>
      <c r="AN101" s="1769"/>
      <c r="AO101" s="1769"/>
      <c r="AP101" s="1769"/>
      <c r="AQ101" s="1769"/>
      <c r="AR101" s="1769"/>
      <c r="AS101" s="1769"/>
      <c r="AT101" s="1769"/>
      <c r="AU101" s="1774" t="s">
        <v>2388</v>
      </c>
      <c r="AV101" s="1774"/>
      <c r="AW101" s="1774"/>
      <c r="AX101" s="1774"/>
      <c r="AY101" s="1774"/>
      <c r="AZ101" s="1774"/>
      <c r="BA101" s="1774"/>
    </row>
    <row r="102" spans="1:53" s="947" customFormat="1" ht="20.25" customHeight="1" thickBot="1">
      <c r="A102" s="940"/>
      <c r="B102" s="940"/>
      <c r="C102" s="940"/>
      <c r="D102" s="940"/>
      <c r="E102" s="936"/>
      <c r="F102" s="936"/>
      <c r="G102" s="936"/>
      <c r="H102" s="936"/>
      <c r="I102" s="936"/>
      <c r="J102" s="936"/>
      <c r="K102" s="936"/>
      <c r="L102" s="936"/>
      <c r="M102" s="936"/>
      <c r="N102" s="936"/>
      <c r="O102" s="936"/>
      <c r="P102" s="936"/>
      <c r="Q102" s="936"/>
      <c r="R102" s="936"/>
      <c r="S102" s="936"/>
      <c r="T102" s="936"/>
      <c r="U102" s="939"/>
      <c r="V102" s="939"/>
      <c r="W102" s="939"/>
      <c r="X102" s="939"/>
      <c r="Y102" s="939"/>
      <c r="Z102" s="938"/>
      <c r="AA102" s="938"/>
      <c r="AB102" s="938"/>
      <c r="AC102" s="938"/>
      <c r="AD102" s="938"/>
      <c r="AE102" s="938"/>
      <c r="AF102" s="938"/>
      <c r="AG102" s="938"/>
      <c r="AH102" s="938"/>
      <c r="AI102" s="938"/>
      <c r="AJ102" s="938"/>
      <c r="AK102" s="938"/>
      <c r="AL102" s="938"/>
      <c r="AM102" s="938"/>
      <c r="AN102" s="938"/>
      <c r="AO102" s="938"/>
      <c r="AP102" s="938"/>
      <c r="AQ102" s="938"/>
      <c r="AR102" s="938"/>
      <c r="AS102" s="938"/>
      <c r="AT102" s="938"/>
      <c r="AU102" s="938"/>
      <c r="AV102" s="938"/>
      <c r="AW102" s="938"/>
      <c r="AX102" s="938"/>
      <c r="AY102" s="938"/>
      <c r="AZ102" s="938"/>
      <c r="BA102" s="938"/>
    </row>
    <row r="103" spans="1:53" ht="13.5" customHeight="1" thickBot="1">
      <c r="A103" s="1764" t="s">
        <v>522</v>
      </c>
      <c r="B103" s="1765"/>
      <c r="C103" s="1765"/>
      <c r="D103" s="1765"/>
      <c r="E103" s="1766">
        <v>2</v>
      </c>
      <c r="F103" s="1767"/>
      <c r="G103" s="1767"/>
      <c r="H103" s="1767"/>
      <c r="I103" s="1767"/>
      <c r="J103" s="1767"/>
      <c r="K103" s="1767"/>
      <c r="L103" s="1767"/>
      <c r="M103" s="1767"/>
      <c r="N103" s="1767"/>
      <c r="O103" s="1767"/>
      <c r="P103" s="1767"/>
      <c r="Q103" s="1767"/>
      <c r="R103" s="1767"/>
      <c r="S103" s="1767"/>
      <c r="T103" s="1767"/>
      <c r="U103" s="956"/>
      <c r="V103" s="956"/>
      <c r="W103" s="956"/>
      <c r="X103" s="956"/>
      <c r="Y103" s="956"/>
      <c r="Z103" s="956"/>
      <c r="AA103" s="957"/>
      <c r="AB103" s="1766">
        <v>3</v>
      </c>
      <c r="AC103" s="1767"/>
      <c r="AD103" s="1768"/>
      <c r="AE103" s="1766">
        <v>4</v>
      </c>
      <c r="AF103" s="1767"/>
      <c r="AG103" s="1768"/>
      <c r="AH103" s="1766">
        <v>5</v>
      </c>
      <c r="AI103" s="1767"/>
      <c r="AJ103" s="1767"/>
      <c r="AK103" s="1767"/>
      <c r="AL103" s="1767"/>
      <c r="AM103" s="1767"/>
      <c r="AN103" s="1767"/>
      <c r="AO103" s="1767"/>
      <c r="AP103" s="1767"/>
      <c r="AQ103" s="1768"/>
      <c r="AR103" s="1766">
        <v>6</v>
      </c>
      <c r="AS103" s="1767"/>
      <c r="AT103" s="1767"/>
      <c r="AU103" s="1767"/>
      <c r="AV103" s="1767"/>
      <c r="AW103" s="1767"/>
      <c r="AX103" s="1767"/>
      <c r="AY103" s="1767"/>
      <c r="AZ103" s="1767"/>
      <c r="BA103" s="1770"/>
    </row>
    <row r="104" spans="1:53" ht="29.25" customHeight="1">
      <c r="A104" s="1736"/>
      <c r="B104" s="1737"/>
      <c r="C104" s="1737"/>
      <c r="D104" s="1737"/>
      <c r="E104" s="1781" t="s">
        <v>1910</v>
      </c>
      <c r="F104" s="1782"/>
      <c r="G104" s="1782"/>
      <c r="H104" s="1782"/>
      <c r="I104" s="1782"/>
      <c r="J104" s="1782"/>
      <c r="K104" s="1782"/>
      <c r="L104" s="1782"/>
      <c r="M104" s="1782"/>
      <c r="N104" s="1782"/>
      <c r="O104" s="1782"/>
      <c r="P104" s="1782"/>
      <c r="Q104" s="1782"/>
      <c r="R104" s="1782"/>
      <c r="S104" s="1782"/>
      <c r="T104" s="1782"/>
      <c r="U104" s="1782"/>
      <c r="V104" s="1782"/>
      <c r="W104" s="1782"/>
      <c r="X104" s="1782"/>
      <c r="Y104" s="1782"/>
      <c r="Z104" s="1782"/>
      <c r="AA104" s="1783"/>
      <c r="AB104" s="1744"/>
      <c r="AC104" s="1745"/>
      <c r="AD104" s="1746"/>
      <c r="AE104" s="1747"/>
      <c r="AF104" s="1747"/>
      <c r="AG104" s="1747"/>
      <c r="AH104" s="1748"/>
      <c r="AI104" s="1748"/>
      <c r="AJ104" s="1748"/>
      <c r="AK104" s="1748"/>
      <c r="AL104" s="1748"/>
      <c r="AM104" s="1748"/>
      <c r="AN104" s="1748"/>
      <c r="AO104" s="1748"/>
      <c r="AP104" s="1748"/>
      <c r="AQ104" s="1748"/>
      <c r="AR104" s="1748"/>
      <c r="AS104" s="1748"/>
      <c r="AT104" s="1748"/>
      <c r="AU104" s="1748"/>
      <c r="AV104" s="1748"/>
      <c r="AW104" s="1748"/>
      <c r="AX104" s="1748"/>
      <c r="AY104" s="1748"/>
      <c r="AZ104" s="1748"/>
      <c r="BA104" s="1756"/>
    </row>
    <row r="105" spans="1:53" ht="18.75" customHeight="1">
      <c r="A105" s="1736" t="s">
        <v>1911</v>
      </c>
      <c r="B105" s="1737"/>
      <c r="C105" s="1737"/>
      <c r="D105" s="1737"/>
      <c r="E105" s="964"/>
      <c r="F105" s="968" t="s">
        <v>1912</v>
      </c>
      <c r="G105" s="965"/>
      <c r="H105" s="965"/>
      <c r="I105" s="965"/>
      <c r="J105" s="965"/>
      <c r="K105" s="965"/>
      <c r="L105" s="965"/>
      <c r="M105" s="965"/>
      <c r="N105" s="965"/>
      <c r="O105" s="965"/>
      <c r="P105" s="965"/>
      <c r="Q105" s="965"/>
      <c r="R105" s="965"/>
      <c r="S105" s="965"/>
      <c r="T105" s="965"/>
      <c r="U105" s="965"/>
      <c r="V105" s="965"/>
      <c r="W105" s="965"/>
      <c r="X105" s="965"/>
      <c r="Y105" s="965"/>
      <c r="Z105" s="966"/>
      <c r="AA105" s="967"/>
      <c r="AB105" s="1744"/>
      <c r="AC105" s="1745"/>
      <c r="AD105" s="1746"/>
      <c r="AE105" s="1747" t="s">
        <v>935</v>
      </c>
      <c r="AF105" s="1747"/>
      <c r="AG105" s="1747"/>
      <c r="AH105" s="1748">
        <f>SUM(AH106:AH114)</f>
        <v>0</v>
      </c>
      <c r="AI105" s="1748"/>
      <c r="AJ105" s="1748"/>
      <c r="AK105" s="1748"/>
      <c r="AL105" s="1748"/>
      <c r="AM105" s="1748"/>
      <c r="AN105" s="1748"/>
      <c r="AO105" s="1748"/>
      <c r="AP105" s="1748"/>
      <c r="AQ105" s="1748"/>
      <c r="AR105" s="1748">
        <f>SUM(AR106:BA114)</f>
        <v>0</v>
      </c>
      <c r="AS105" s="1748"/>
      <c r="AT105" s="1748"/>
      <c r="AU105" s="1748"/>
      <c r="AV105" s="1748"/>
      <c r="AW105" s="1748"/>
      <c r="AX105" s="1748"/>
      <c r="AY105" s="1748"/>
      <c r="AZ105" s="1748"/>
      <c r="BA105" s="1756"/>
    </row>
    <row r="106" spans="1:53" ht="18.75" customHeight="1">
      <c r="A106" s="1736" t="s">
        <v>2372</v>
      </c>
      <c r="B106" s="1737"/>
      <c r="C106" s="1737"/>
      <c r="D106" s="1737"/>
      <c r="E106" s="964" t="s">
        <v>1913</v>
      </c>
      <c r="F106" s="976"/>
      <c r="G106" s="976"/>
      <c r="H106" s="976"/>
      <c r="I106" s="976"/>
      <c r="J106" s="976"/>
      <c r="K106" s="976"/>
      <c r="L106" s="976"/>
      <c r="M106" s="976"/>
      <c r="N106" s="976"/>
      <c r="O106" s="976"/>
      <c r="P106" s="976"/>
      <c r="Q106" s="976"/>
      <c r="R106" s="976"/>
      <c r="S106" s="976"/>
      <c r="T106" s="976"/>
      <c r="U106" s="965"/>
      <c r="V106" s="965"/>
      <c r="W106" s="965"/>
      <c r="X106" s="965"/>
      <c r="Y106" s="965"/>
      <c r="Z106" s="966"/>
      <c r="AA106" s="967"/>
      <c r="AB106" s="1744"/>
      <c r="AC106" s="1745"/>
      <c r="AD106" s="1746"/>
      <c r="AE106" s="1747" t="s">
        <v>936</v>
      </c>
      <c r="AF106" s="1747"/>
      <c r="AG106" s="1747"/>
      <c r="AH106" s="1748">
        <f>SUMIF(unos!E:E,AE106,unos!G:G)</f>
        <v>0</v>
      </c>
      <c r="AI106" s="1748"/>
      <c r="AJ106" s="1748"/>
      <c r="AK106" s="1748"/>
      <c r="AL106" s="1748"/>
      <c r="AM106" s="1748"/>
      <c r="AN106" s="1748"/>
      <c r="AO106" s="1748"/>
      <c r="AP106" s="1748"/>
      <c r="AQ106" s="1748"/>
      <c r="AR106" s="1748">
        <f>SUMIF(unos!E:E,AE106,unos!F:F)</f>
        <v>0</v>
      </c>
      <c r="AS106" s="1748"/>
      <c r="AT106" s="1748"/>
      <c r="AU106" s="1748"/>
      <c r="AV106" s="1748"/>
      <c r="AW106" s="1748"/>
      <c r="AX106" s="1748"/>
      <c r="AY106" s="1748"/>
      <c r="AZ106" s="1748"/>
      <c r="BA106" s="1756"/>
    </row>
    <row r="107" spans="1:53" ht="18.75" customHeight="1">
      <c r="A107" s="1736" t="s">
        <v>2373</v>
      </c>
      <c r="B107" s="1737"/>
      <c r="C107" s="1737"/>
      <c r="D107" s="1737"/>
      <c r="E107" s="964" t="s">
        <v>1914</v>
      </c>
      <c r="F107" s="965"/>
      <c r="G107" s="965"/>
      <c r="H107" s="965"/>
      <c r="I107" s="965"/>
      <c r="J107" s="965"/>
      <c r="K107" s="965"/>
      <c r="L107" s="965"/>
      <c r="M107" s="965"/>
      <c r="N107" s="965"/>
      <c r="O107" s="965"/>
      <c r="P107" s="965"/>
      <c r="Q107" s="965"/>
      <c r="R107" s="965"/>
      <c r="S107" s="965"/>
      <c r="T107" s="965"/>
      <c r="U107" s="965"/>
      <c r="V107" s="965"/>
      <c r="W107" s="965"/>
      <c r="X107" s="965"/>
      <c r="Y107" s="965"/>
      <c r="Z107" s="966"/>
      <c r="AA107" s="967"/>
      <c r="AB107" s="1744"/>
      <c r="AC107" s="1745"/>
      <c r="AD107" s="1746"/>
      <c r="AE107" s="1747" t="s">
        <v>937</v>
      </c>
      <c r="AF107" s="1747"/>
      <c r="AG107" s="1747"/>
      <c r="AH107" s="1748">
        <f>SUMIF(unos!E:E,AE107,unos!G:G)</f>
        <v>0</v>
      </c>
      <c r="AI107" s="1748"/>
      <c r="AJ107" s="1748"/>
      <c r="AK107" s="1748"/>
      <c r="AL107" s="1748"/>
      <c r="AM107" s="1748"/>
      <c r="AN107" s="1748"/>
      <c r="AO107" s="1748"/>
      <c r="AP107" s="1748"/>
      <c r="AQ107" s="1748"/>
      <c r="AR107" s="1748">
        <f>SUMIF(unos!E:E,AE107,unos!F:F)</f>
        <v>0</v>
      </c>
      <c r="AS107" s="1748"/>
      <c r="AT107" s="1748"/>
      <c r="AU107" s="1748"/>
      <c r="AV107" s="1748"/>
      <c r="AW107" s="1748"/>
      <c r="AX107" s="1748"/>
      <c r="AY107" s="1748"/>
      <c r="AZ107" s="1748"/>
      <c r="BA107" s="1756"/>
    </row>
    <row r="108" spans="1:53" ht="26.25" customHeight="1">
      <c r="A108" s="1736" t="s">
        <v>2374</v>
      </c>
      <c r="B108" s="1737"/>
      <c r="C108" s="1737"/>
      <c r="D108" s="1737"/>
      <c r="E108" s="980" t="s">
        <v>675</v>
      </c>
      <c r="F108" s="1775" t="s">
        <v>1916</v>
      </c>
      <c r="G108" s="1775"/>
      <c r="H108" s="1775"/>
      <c r="I108" s="1775"/>
      <c r="J108" s="1775"/>
      <c r="K108" s="1775"/>
      <c r="L108" s="1775"/>
      <c r="M108" s="1775"/>
      <c r="N108" s="1775"/>
      <c r="O108" s="1775"/>
      <c r="P108" s="1775"/>
      <c r="Q108" s="1775"/>
      <c r="R108" s="1775"/>
      <c r="S108" s="1775"/>
      <c r="T108" s="1775"/>
      <c r="U108" s="1775"/>
      <c r="V108" s="1775"/>
      <c r="W108" s="1775"/>
      <c r="X108" s="1775"/>
      <c r="Y108" s="1775"/>
      <c r="Z108" s="1775"/>
      <c r="AA108" s="1776"/>
      <c r="AB108" s="1744"/>
      <c r="AC108" s="1745"/>
      <c r="AD108" s="1746"/>
      <c r="AE108" s="1747" t="s">
        <v>938</v>
      </c>
      <c r="AF108" s="1747"/>
      <c r="AG108" s="1747"/>
      <c r="AH108" s="1748">
        <f>SUMIF(unos!E:E,AE108,unos!G:G)</f>
        <v>0</v>
      </c>
      <c r="AI108" s="1748"/>
      <c r="AJ108" s="1748"/>
      <c r="AK108" s="1748"/>
      <c r="AL108" s="1748"/>
      <c r="AM108" s="1748"/>
      <c r="AN108" s="1748"/>
      <c r="AO108" s="1748"/>
      <c r="AP108" s="1748"/>
      <c r="AQ108" s="1748"/>
      <c r="AR108" s="1748">
        <f>SUMIF(unos!E:E,AE108,unos!F:F)</f>
        <v>0</v>
      </c>
      <c r="AS108" s="1748"/>
      <c r="AT108" s="1748"/>
      <c r="AU108" s="1748"/>
      <c r="AV108" s="1748"/>
      <c r="AW108" s="1748"/>
      <c r="AX108" s="1748"/>
      <c r="AY108" s="1748"/>
      <c r="AZ108" s="1748"/>
      <c r="BA108" s="1756"/>
    </row>
    <row r="109" spans="1:53" ht="18.75" customHeight="1">
      <c r="A109" s="1736" t="s">
        <v>2375</v>
      </c>
      <c r="B109" s="1737"/>
      <c r="C109" s="1737"/>
      <c r="D109" s="1737"/>
      <c r="E109" s="981" t="s">
        <v>1915</v>
      </c>
      <c r="F109" s="965"/>
      <c r="G109" s="965"/>
      <c r="H109" s="965"/>
      <c r="I109" s="965"/>
      <c r="J109" s="965"/>
      <c r="K109" s="965"/>
      <c r="L109" s="965"/>
      <c r="M109" s="965"/>
      <c r="N109" s="965"/>
      <c r="O109" s="965"/>
      <c r="P109" s="965"/>
      <c r="Q109" s="965"/>
      <c r="R109" s="965"/>
      <c r="S109" s="965"/>
      <c r="T109" s="965"/>
      <c r="U109" s="965"/>
      <c r="V109" s="965"/>
      <c r="W109" s="965"/>
      <c r="X109" s="965"/>
      <c r="Y109" s="965"/>
      <c r="Z109" s="966"/>
      <c r="AA109" s="967"/>
      <c r="AB109" s="1744"/>
      <c r="AC109" s="1745"/>
      <c r="AD109" s="1746"/>
      <c r="AE109" s="1747" t="s">
        <v>2730</v>
      </c>
      <c r="AF109" s="1747"/>
      <c r="AG109" s="1747"/>
      <c r="AH109" s="1748">
        <f>SUMIF(unos!E:E,AE109,unos!G:G)</f>
        <v>0</v>
      </c>
      <c r="AI109" s="1748"/>
      <c r="AJ109" s="1748"/>
      <c r="AK109" s="1748"/>
      <c r="AL109" s="1748"/>
      <c r="AM109" s="1748"/>
      <c r="AN109" s="1748"/>
      <c r="AO109" s="1748"/>
      <c r="AP109" s="1748"/>
      <c r="AQ109" s="1748"/>
      <c r="AR109" s="1748">
        <f>SUMIF(unos!E:E,AE109,unos!F:F)</f>
        <v>0</v>
      </c>
      <c r="AS109" s="1748"/>
      <c r="AT109" s="1748"/>
      <c r="AU109" s="1748"/>
      <c r="AV109" s="1748"/>
      <c r="AW109" s="1748"/>
      <c r="AX109" s="1748"/>
      <c r="AY109" s="1748"/>
      <c r="AZ109" s="1748"/>
      <c r="BA109" s="1756"/>
    </row>
    <row r="110" spans="1:53" ht="34.5" customHeight="1">
      <c r="A110" s="1736" t="s">
        <v>2376</v>
      </c>
      <c r="B110" s="1737"/>
      <c r="C110" s="1737"/>
      <c r="D110" s="1737"/>
      <c r="E110" s="982" t="s">
        <v>677</v>
      </c>
      <c r="F110" s="1779" t="s">
        <v>1917</v>
      </c>
      <c r="G110" s="1779"/>
      <c r="H110" s="1779"/>
      <c r="I110" s="1779"/>
      <c r="J110" s="1779"/>
      <c r="K110" s="1779"/>
      <c r="L110" s="1779"/>
      <c r="M110" s="1779"/>
      <c r="N110" s="1779"/>
      <c r="O110" s="1779"/>
      <c r="P110" s="1779"/>
      <c r="Q110" s="1779"/>
      <c r="R110" s="1779"/>
      <c r="S110" s="1779"/>
      <c r="T110" s="1779"/>
      <c r="U110" s="1779"/>
      <c r="V110" s="1779"/>
      <c r="W110" s="1779"/>
      <c r="X110" s="1779"/>
      <c r="Y110" s="1779"/>
      <c r="Z110" s="1779"/>
      <c r="AA110" s="1780"/>
      <c r="AB110" s="1744"/>
      <c r="AC110" s="1745"/>
      <c r="AD110" s="1746"/>
      <c r="AE110" s="1747" t="s">
        <v>2731</v>
      </c>
      <c r="AF110" s="1747"/>
      <c r="AG110" s="1747"/>
      <c r="AH110" s="1748">
        <f>SUMIF(unos!E:E,AE110,unos!G:G)</f>
        <v>0</v>
      </c>
      <c r="AI110" s="1748"/>
      <c r="AJ110" s="1748"/>
      <c r="AK110" s="1748"/>
      <c r="AL110" s="1748"/>
      <c r="AM110" s="1748"/>
      <c r="AN110" s="1748"/>
      <c r="AO110" s="1748"/>
      <c r="AP110" s="1748"/>
      <c r="AQ110" s="1748"/>
      <c r="AR110" s="1748">
        <f>SUMIF(unos!E:E,AE110,unos!F:F)</f>
        <v>0</v>
      </c>
      <c r="AS110" s="1748"/>
      <c r="AT110" s="1748"/>
      <c r="AU110" s="1748"/>
      <c r="AV110" s="1748"/>
      <c r="AW110" s="1748"/>
      <c r="AX110" s="1748"/>
      <c r="AY110" s="1748"/>
      <c r="AZ110" s="1748"/>
      <c r="BA110" s="1756"/>
    </row>
    <row r="111" spans="1:53" ht="18.75" customHeight="1">
      <c r="A111" s="1736" t="s">
        <v>2377</v>
      </c>
      <c r="B111" s="1737"/>
      <c r="C111" s="1737"/>
      <c r="D111" s="1737"/>
      <c r="E111" s="964" t="s">
        <v>678</v>
      </c>
      <c r="F111" s="965" t="s">
        <v>1918</v>
      </c>
      <c r="G111" s="965"/>
      <c r="H111" s="965"/>
      <c r="I111" s="965"/>
      <c r="J111" s="965"/>
      <c r="K111" s="965"/>
      <c r="L111" s="965"/>
      <c r="M111" s="965"/>
      <c r="N111" s="965"/>
      <c r="O111" s="965"/>
      <c r="P111" s="965"/>
      <c r="Q111" s="965"/>
      <c r="R111" s="965"/>
      <c r="S111" s="965"/>
      <c r="T111" s="965"/>
      <c r="U111" s="965"/>
      <c r="V111" s="965"/>
      <c r="W111" s="965"/>
      <c r="X111" s="965"/>
      <c r="Y111" s="965"/>
      <c r="Z111" s="966"/>
      <c r="AA111" s="967"/>
      <c r="AB111" s="1744"/>
      <c r="AC111" s="1745"/>
      <c r="AD111" s="1746"/>
      <c r="AE111" s="1747" t="s">
        <v>2732</v>
      </c>
      <c r="AF111" s="1747"/>
      <c r="AG111" s="1747"/>
      <c r="AH111" s="1748">
        <f>SUMIF(unos!E:E,AE111,unos!G:G)</f>
        <v>0</v>
      </c>
      <c r="AI111" s="1748"/>
      <c r="AJ111" s="1748"/>
      <c r="AK111" s="1748"/>
      <c r="AL111" s="1748"/>
      <c r="AM111" s="1748"/>
      <c r="AN111" s="1748"/>
      <c r="AO111" s="1748"/>
      <c r="AP111" s="1748"/>
      <c r="AQ111" s="1748"/>
      <c r="AR111" s="1748">
        <f>SUMIF(unos!E:E,AE111,unos!F:F)</f>
        <v>0</v>
      </c>
      <c r="AS111" s="1748"/>
      <c r="AT111" s="1748"/>
      <c r="AU111" s="1748"/>
      <c r="AV111" s="1748"/>
      <c r="AW111" s="1748"/>
      <c r="AX111" s="1748"/>
      <c r="AY111" s="1748"/>
      <c r="AZ111" s="1748"/>
      <c r="BA111" s="1756"/>
    </row>
    <row r="112" spans="1:53" ht="18.75" customHeight="1">
      <c r="A112" s="1736" t="s">
        <v>2378</v>
      </c>
      <c r="B112" s="1737"/>
      <c r="C112" s="1737"/>
      <c r="D112" s="1737"/>
      <c r="E112" s="964" t="s">
        <v>679</v>
      </c>
      <c r="F112" s="965" t="s">
        <v>1919</v>
      </c>
      <c r="G112" s="965"/>
      <c r="H112" s="965"/>
      <c r="I112" s="965"/>
      <c r="J112" s="965"/>
      <c r="K112" s="965"/>
      <c r="L112" s="965"/>
      <c r="M112" s="965"/>
      <c r="N112" s="965"/>
      <c r="O112" s="965"/>
      <c r="P112" s="965"/>
      <c r="Q112" s="965"/>
      <c r="R112" s="965"/>
      <c r="S112" s="965"/>
      <c r="T112" s="965"/>
      <c r="U112" s="965"/>
      <c r="V112" s="965"/>
      <c r="W112" s="965"/>
      <c r="X112" s="965"/>
      <c r="Y112" s="965"/>
      <c r="Z112" s="966"/>
      <c r="AA112" s="967"/>
      <c r="AB112" s="1744"/>
      <c r="AC112" s="1745"/>
      <c r="AD112" s="1746"/>
      <c r="AE112" s="1747" t="s">
        <v>2733</v>
      </c>
      <c r="AF112" s="1747"/>
      <c r="AG112" s="1747"/>
      <c r="AH112" s="1748">
        <f>SUMIF(unos!E:E,AE112,unos!G:G)</f>
        <v>0</v>
      </c>
      <c r="AI112" s="1748"/>
      <c r="AJ112" s="1748"/>
      <c r="AK112" s="1748"/>
      <c r="AL112" s="1748"/>
      <c r="AM112" s="1748"/>
      <c r="AN112" s="1748"/>
      <c r="AO112" s="1748"/>
      <c r="AP112" s="1748"/>
      <c r="AQ112" s="1748"/>
      <c r="AR112" s="1748">
        <f>SUMIF(unos!E:E,AE112,unos!F:F)</f>
        <v>0</v>
      </c>
      <c r="AS112" s="1748"/>
      <c r="AT112" s="1748"/>
      <c r="AU112" s="1748"/>
      <c r="AV112" s="1748"/>
      <c r="AW112" s="1748"/>
      <c r="AX112" s="1748"/>
      <c r="AY112" s="1748"/>
      <c r="AZ112" s="1748"/>
      <c r="BA112" s="1756"/>
    </row>
    <row r="113" spans="1:53" ht="18.75" customHeight="1">
      <c r="A113" s="1736" t="s">
        <v>2379</v>
      </c>
      <c r="B113" s="1737"/>
      <c r="C113" s="1737"/>
      <c r="D113" s="1737"/>
      <c r="E113" s="964" t="s">
        <v>680</v>
      </c>
      <c r="F113" s="965" t="s">
        <v>204</v>
      </c>
      <c r="G113" s="965"/>
      <c r="H113" s="965"/>
      <c r="I113" s="965"/>
      <c r="J113" s="965"/>
      <c r="K113" s="965"/>
      <c r="L113" s="965"/>
      <c r="M113" s="965"/>
      <c r="N113" s="965"/>
      <c r="O113" s="965"/>
      <c r="P113" s="965"/>
      <c r="Q113" s="965"/>
      <c r="R113" s="965"/>
      <c r="S113" s="965"/>
      <c r="T113" s="965"/>
      <c r="U113" s="965"/>
      <c r="V113" s="965"/>
      <c r="W113" s="965"/>
      <c r="X113" s="965"/>
      <c r="Y113" s="965"/>
      <c r="Z113" s="966"/>
      <c r="AA113" s="967"/>
      <c r="AB113" s="1744"/>
      <c r="AC113" s="1745"/>
      <c r="AD113" s="1746"/>
      <c r="AE113" s="1747" t="s">
        <v>2734</v>
      </c>
      <c r="AF113" s="1747"/>
      <c r="AG113" s="1747"/>
      <c r="AH113" s="1748">
        <f>SUMIF(unos!E:E,AE113,unos!G:G)</f>
        <v>0</v>
      </c>
      <c r="AI113" s="1748"/>
      <c r="AJ113" s="1748"/>
      <c r="AK113" s="1748"/>
      <c r="AL113" s="1748"/>
      <c r="AM113" s="1748"/>
      <c r="AN113" s="1748"/>
      <c r="AO113" s="1748"/>
      <c r="AP113" s="1748"/>
      <c r="AQ113" s="1748"/>
      <c r="AR113" s="1748">
        <f>SUMIF(unos!E:E,AE113,unos!F:F)</f>
        <v>0</v>
      </c>
      <c r="AS113" s="1748"/>
      <c r="AT113" s="1748"/>
      <c r="AU113" s="1748"/>
      <c r="AV113" s="1748"/>
      <c r="AW113" s="1748"/>
      <c r="AX113" s="1748"/>
      <c r="AY113" s="1748"/>
      <c r="AZ113" s="1748"/>
      <c r="BA113" s="1756"/>
    </row>
    <row r="114" spans="1:53" ht="18.75" customHeight="1">
      <c r="A114" s="1736" t="s">
        <v>2381</v>
      </c>
      <c r="B114" s="1737"/>
      <c r="C114" s="1737"/>
      <c r="D114" s="1737"/>
      <c r="E114" s="964" t="s">
        <v>681</v>
      </c>
      <c r="F114" s="965" t="s">
        <v>205</v>
      </c>
      <c r="G114" s="965"/>
      <c r="H114" s="965"/>
      <c r="I114" s="965"/>
      <c r="J114" s="965"/>
      <c r="K114" s="965"/>
      <c r="L114" s="965"/>
      <c r="M114" s="965"/>
      <c r="N114" s="965"/>
      <c r="O114" s="965"/>
      <c r="P114" s="965"/>
      <c r="Q114" s="965"/>
      <c r="R114" s="965"/>
      <c r="S114" s="965"/>
      <c r="T114" s="965"/>
      <c r="U114" s="965"/>
      <c r="V114" s="965"/>
      <c r="W114" s="965"/>
      <c r="X114" s="965"/>
      <c r="Y114" s="965"/>
      <c r="Z114" s="966"/>
      <c r="AA114" s="967"/>
      <c r="AB114" s="1744"/>
      <c r="AC114" s="1745"/>
      <c r="AD114" s="1746"/>
      <c r="AE114" s="1747" t="s">
        <v>2735</v>
      </c>
      <c r="AF114" s="1747"/>
      <c r="AG114" s="1747"/>
      <c r="AH114" s="1748">
        <f>SUMIF(unos!E:E,AE114,unos!G:G)</f>
        <v>0</v>
      </c>
      <c r="AI114" s="1748"/>
      <c r="AJ114" s="1748"/>
      <c r="AK114" s="1748"/>
      <c r="AL114" s="1748"/>
      <c r="AM114" s="1748"/>
      <c r="AN114" s="1748"/>
      <c r="AO114" s="1748"/>
      <c r="AP114" s="1748"/>
      <c r="AQ114" s="1748"/>
      <c r="AR114" s="1748">
        <f>SUMIF(unos!E:E,AE114,unos!F:F)</f>
        <v>0</v>
      </c>
      <c r="AS114" s="1748"/>
      <c r="AT114" s="1748"/>
      <c r="AU114" s="1748"/>
      <c r="AV114" s="1748"/>
      <c r="AW114" s="1748"/>
      <c r="AX114" s="1748"/>
      <c r="AY114" s="1748"/>
      <c r="AZ114" s="1748"/>
      <c r="BA114" s="1756"/>
    </row>
    <row r="115" spans="1:53" ht="18.75" customHeight="1">
      <c r="A115" s="1736" t="s">
        <v>206</v>
      </c>
      <c r="B115" s="1737"/>
      <c r="C115" s="1737"/>
      <c r="D115" s="1737"/>
      <c r="E115" s="964"/>
      <c r="F115" s="968" t="s">
        <v>207</v>
      </c>
      <c r="G115" s="965"/>
      <c r="H115" s="965"/>
      <c r="I115" s="965"/>
      <c r="J115" s="965"/>
      <c r="K115" s="965"/>
      <c r="L115" s="965"/>
      <c r="M115" s="965"/>
      <c r="N115" s="965"/>
      <c r="O115" s="965"/>
      <c r="P115" s="965"/>
      <c r="Q115" s="965"/>
      <c r="R115" s="965"/>
      <c r="S115" s="965"/>
      <c r="T115" s="965"/>
      <c r="U115" s="965"/>
      <c r="V115" s="965"/>
      <c r="W115" s="965"/>
      <c r="X115" s="965"/>
      <c r="Y115" s="965"/>
      <c r="Z115" s="966"/>
      <c r="AA115" s="967"/>
      <c r="AB115" s="1744"/>
      <c r="AC115" s="1745"/>
      <c r="AD115" s="1746"/>
      <c r="AE115" s="1747" t="s">
        <v>2736</v>
      </c>
      <c r="AF115" s="1747"/>
      <c r="AG115" s="1747"/>
      <c r="AH115" s="1748">
        <f>SUM(AH116:AQ123)</f>
        <v>0</v>
      </c>
      <c r="AI115" s="1748"/>
      <c r="AJ115" s="1748"/>
      <c r="AK115" s="1748"/>
      <c r="AL115" s="1748"/>
      <c r="AM115" s="1748"/>
      <c r="AN115" s="1748"/>
      <c r="AO115" s="1748"/>
      <c r="AP115" s="1748"/>
      <c r="AQ115" s="1748"/>
      <c r="AR115" s="1748">
        <f>SUM(AR116:BA123)</f>
        <v>0</v>
      </c>
      <c r="AS115" s="1748"/>
      <c r="AT115" s="1748"/>
      <c r="AU115" s="1748"/>
      <c r="AV115" s="1748"/>
      <c r="AW115" s="1748"/>
      <c r="AX115" s="1748"/>
      <c r="AY115" s="1748"/>
      <c r="AZ115" s="1748"/>
      <c r="BA115" s="1756"/>
    </row>
    <row r="116" spans="1:53" ht="18.75" customHeight="1">
      <c r="A116" s="1736" t="s">
        <v>1762</v>
      </c>
      <c r="B116" s="1737"/>
      <c r="C116" s="1737"/>
      <c r="D116" s="1737"/>
      <c r="E116" s="964" t="s">
        <v>673</v>
      </c>
      <c r="F116" s="965" t="s">
        <v>208</v>
      </c>
      <c r="G116" s="965"/>
      <c r="H116" s="965"/>
      <c r="I116" s="965"/>
      <c r="J116" s="965"/>
      <c r="K116" s="965"/>
      <c r="L116" s="965"/>
      <c r="M116" s="965"/>
      <c r="N116" s="965"/>
      <c r="O116" s="965"/>
      <c r="P116" s="965"/>
      <c r="Q116" s="965"/>
      <c r="R116" s="965"/>
      <c r="S116" s="965"/>
      <c r="T116" s="965"/>
      <c r="U116" s="965"/>
      <c r="V116" s="965"/>
      <c r="W116" s="965"/>
      <c r="X116" s="965"/>
      <c r="Y116" s="965"/>
      <c r="Z116" s="966"/>
      <c r="AA116" s="967"/>
      <c r="AB116" s="1744"/>
      <c r="AC116" s="1745"/>
      <c r="AD116" s="1746"/>
      <c r="AE116" s="1747" t="s">
        <v>2737</v>
      </c>
      <c r="AF116" s="1747"/>
      <c r="AG116" s="1747"/>
      <c r="AH116" s="1748">
        <f>SUMIF(unos!E:E,AE116,unos!G:G)</f>
        <v>0</v>
      </c>
      <c r="AI116" s="1748"/>
      <c r="AJ116" s="1748"/>
      <c r="AK116" s="1748"/>
      <c r="AL116" s="1748"/>
      <c r="AM116" s="1748"/>
      <c r="AN116" s="1748"/>
      <c r="AO116" s="1748"/>
      <c r="AP116" s="1748"/>
      <c r="AQ116" s="1748"/>
      <c r="AR116" s="1748">
        <f>SUMIF(unos!E:E,AE116,unos!F:F)</f>
        <v>0</v>
      </c>
      <c r="AS116" s="1748"/>
      <c r="AT116" s="1748"/>
      <c r="AU116" s="1748"/>
      <c r="AV116" s="1748"/>
      <c r="AW116" s="1748"/>
      <c r="AX116" s="1748"/>
      <c r="AY116" s="1748"/>
      <c r="AZ116" s="1748"/>
      <c r="BA116" s="1756"/>
    </row>
    <row r="117" spans="1:53" ht="18.75" customHeight="1">
      <c r="A117" s="1736" t="s">
        <v>1763</v>
      </c>
      <c r="B117" s="1737"/>
      <c r="C117" s="1737"/>
      <c r="D117" s="1737"/>
      <c r="E117" s="964" t="s">
        <v>674</v>
      </c>
      <c r="F117" s="965" t="s">
        <v>209</v>
      </c>
      <c r="G117" s="965"/>
      <c r="H117" s="965"/>
      <c r="I117" s="965"/>
      <c r="J117" s="965"/>
      <c r="K117" s="965"/>
      <c r="L117" s="965"/>
      <c r="M117" s="965"/>
      <c r="N117" s="965"/>
      <c r="O117" s="965"/>
      <c r="P117" s="965"/>
      <c r="Q117" s="965"/>
      <c r="R117" s="965"/>
      <c r="S117" s="965"/>
      <c r="T117" s="965"/>
      <c r="U117" s="965"/>
      <c r="V117" s="965"/>
      <c r="W117" s="965"/>
      <c r="X117" s="965"/>
      <c r="Y117" s="965"/>
      <c r="Z117" s="966"/>
      <c r="AA117" s="967"/>
      <c r="AB117" s="1744"/>
      <c r="AC117" s="1745"/>
      <c r="AD117" s="1746"/>
      <c r="AE117" s="1747" t="s">
        <v>2738</v>
      </c>
      <c r="AF117" s="1747"/>
      <c r="AG117" s="1747"/>
      <c r="AH117" s="1748">
        <f>SUMIF(unos!E:E,AE117,unos!G:G)</f>
        <v>0</v>
      </c>
      <c r="AI117" s="1748"/>
      <c r="AJ117" s="1748"/>
      <c r="AK117" s="1748"/>
      <c r="AL117" s="1748"/>
      <c r="AM117" s="1748"/>
      <c r="AN117" s="1748"/>
      <c r="AO117" s="1748"/>
      <c r="AP117" s="1748"/>
      <c r="AQ117" s="1748"/>
      <c r="AR117" s="1748">
        <f>SUMIF(unos!E:E,AE117,unos!F:F)</f>
        <v>0</v>
      </c>
      <c r="AS117" s="1748"/>
      <c r="AT117" s="1748"/>
      <c r="AU117" s="1748"/>
      <c r="AV117" s="1748"/>
      <c r="AW117" s="1748"/>
      <c r="AX117" s="1748"/>
      <c r="AY117" s="1748"/>
      <c r="AZ117" s="1748"/>
      <c r="BA117" s="1756"/>
    </row>
    <row r="118" spans="1:53" ht="18.75" customHeight="1">
      <c r="A118" s="1736" t="s">
        <v>1764</v>
      </c>
      <c r="B118" s="1737"/>
      <c r="C118" s="1737"/>
      <c r="D118" s="1737"/>
      <c r="E118" s="964" t="s">
        <v>675</v>
      </c>
      <c r="F118" s="983" t="s">
        <v>210</v>
      </c>
      <c r="G118" s="965"/>
      <c r="H118" s="965"/>
      <c r="I118" s="965"/>
      <c r="J118" s="965"/>
      <c r="K118" s="965"/>
      <c r="L118" s="965"/>
      <c r="M118" s="965"/>
      <c r="N118" s="965"/>
      <c r="O118" s="965"/>
      <c r="P118" s="965"/>
      <c r="Q118" s="965"/>
      <c r="R118" s="965"/>
      <c r="S118" s="965"/>
      <c r="T118" s="965"/>
      <c r="U118" s="965"/>
      <c r="V118" s="965"/>
      <c r="W118" s="965"/>
      <c r="X118" s="965"/>
      <c r="Y118" s="965"/>
      <c r="Z118" s="966"/>
      <c r="AA118" s="967"/>
      <c r="AB118" s="1744"/>
      <c r="AC118" s="1745"/>
      <c r="AD118" s="1746"/>
      <c r="AE118" s="1747" t="s">
        <v>2739</v>
      </c>
      <c r="AF118" s="1747"/>
      <c r="AG118" s="1747"/>
      <c r="AH118" s="1748">
        <f>SUMIF(unos!E:E,AE118,unos!G:G)</f>
        <v>0</v>
      </c>
      <c r="AI118" s="1748"/>
      <c r="AJ118" s="1748"/>
      <c r="AK118" s="1748"/>
      <c r="AL118" s="1748"/>
      <c r="AM118" s="1748"/>
      <c r="AN118" s="1748"/>
      <c r="AO118" s="1748"/>
      <c r="AP118" s="1748"/>
      <c r="AQ118" s="1748"/>
      <c r="AR118" s="1748">
        <f>SUMIF(unos!E:E,AE118,unos!F:F)</f>
        <v>0</v>
      </c>
      <c r="AS118" s="1748"/>
      <c r="AT118" s="1748"/>
      <c r="AU118" s="1748"/>
      <c r="AV118" s="1748"/>
      <c r="AW118" s="1748"/>
      <c r="AX118" s="1748"/>
      <c r="AY118" s="1748"/>
      <c r="AZ118" s="1748"/>
      <c r="BA118" s="1756"/>
    </row>
    <row r="119" spans="1:53" ht="18.75" customHeight="1">
      <c r="A119" s="1736" t="s">
        <v>1765</v>
      </c>
      <c r="B119" s="1737"/>
      <c r="C119" s="1737"/>
      <c r="D119" s="1737"/>
      <c r="E119" s="964" t="s">
        <v>676</v>
      </c>
      <c r="F119" s="978" t="s">
        <v>211</v>
      </c>
      <c r="G119" s="965"/>
      <c r="H119" s="965"/>
      <c r="I119" s="965"/>
      <c r="J119" s="965"/>
      <c r="K119" s="965"/>
      <c r="L119" s="965"/>
      <c r="M119" s="965"/>
      <c r="N119" s="965"/>
      <c r="O119" s="965"/>
      <c r="P119" s="965"/>
      <c r="Q119" s="965"/>
      <c r="R119" s="965"/>
      <c r="S119" s="965"/>
      <c r="T119" s="965"/>
      <c r="U119" s="965"/>
      <c r="V119" s="965"/>
      <c r="W119" s="965"/>
      <c r="X119" s="965"/>
      <c r="Y119" s="965"/>
      <c r="Z119" s="966"/>
      <c r="AA119" s="967"/>
      <c r="AB119" s="1744"/>
      <c r="AC119" s="1745"/>
      <c r="AD119" s="1746"/>
      <c r="AE119" s="1747" t="s">
        <v>2740</v>
      </c>
      <c r="AF119" s="1747"/>
      <c r="AG119" s="1747"/>
      <c r="AH119" s="1748">
        <f>SUMIF(unos!E:E,AE119,unos!G:G)</f>
        <v>0</v>
      </c>
      <c r="AI119" s="1748"/>
      <c r="AJ119" s="1748"/>
      <c r="AK119" s="1748"/>
      <c r="AL119" s="1748"/>
      <c r="AM119" s="1748"/>
      <c r="AN119" s="1748"/>
      <c r="AO119" s="1748"/>
      <c r="AP119" s="1748"/>
      <c r="AQ119" s="1748"/>
      <c r="AR119" s="1748">
        <f>SUMIF(unos!E:E,AE119,unos!F:F)</f>
        <v>0</v>
      </c>
      <c r="AS119" s="1748"/>
      <c r="AT119" s="1748"/>
      <c r="AU119" s="1748"/>
      <c r="AV119" s="1748"/>
      <c r="AW119" s="1748"/>
      <c r="AX119" s="1748"/>
      <c r="AY119" s="1748"/>
      <c r="AZ119" s="1748"/>
      <c r="BA119" s="1756"/>
    </row>
    <row r="120" spans="1:53" ht="29.25" customHeight="1">
      <c r="A120" s="1736" t="s">
        <v>1766</v>
      </c>
      <c r="B120" s="1737"/>
      <c r="C120" s="1737"/>
      <c r="D120" s="1737"/>
      <c r="E120" s="982" t="s">
        <v>677</v>
      </c>
      <c r="F120" s="1775" t="s">
        <v>212</v>
      </c>
      <c r="G120" s="1775"/>
      <c r="H120" s="1775"/>
      <c r="I120" s="1775"/>
      <c r="J120" s="1775"/>
      <c r="K120" s="1775"/>
      <c r="L120" s="1775"/>
      <c r="M120" s="1775"/>
      <c r="N120" s="1775"/>
      <c r="O120" s="1775"/>
      <c r="P120" s="1775"/>
      <c r="Q120" s="1775"/>
      <c r="R120" s="1775"/>
      <c r="S120" s="1775"/>
      <c r="T120" s="1775"/>
      <c r="U120" s="1775"/>
      <c r="V120" s="1775"/>
      <c r="W120" s="1775"/>
      <c r="X120" s="1775"/>
      <c r="Y120" s="1775"/>
      <c r="Z120" s="1775"/>
      <c r="AA120" s="1776"/>
      <c r="AB120" s="1744"/>
      <c r="AC120" s="1745"/>
      <c r="AD120" s="1746"/>
      <c r="AE120" s="1747" t="s">
        <v>2741</v>
      </c>
      <c r="AF120" s="1747"/>
      <c r="AG120" s="1747"/>
      <c r="AH120" s="1748">
        <f>SUMIF(unos!E:E,AE120,unos!G:G)</f>
        <v>0</v>
      </c>
      <c r="AI120" s="1748"/>
      <c r="AJ120" s="1748"/>
      <c r="AK120" s="1748"/>
      <c r="AL120" s="1748"/>
      <c r="AM120" s="1748"/>
      <c r="AN120" s="1748"/>
      <c r="AO120" s="1748"/>
      <c r="AP120" s="1748"/>
      <c r="AQ120" s="1748"/>
      <c r="AR120" s="1748">
        <f>SUMIF(unos!E:E,AE120,unos!F:F)</f>
        <v>0</v>
      </c>
      <c r="AS120" s="1748"/>
      <c r="AT120" s="1748"/>
      <c r="AU120" s="1748"/>
      <c r="AV120" s="1748"/>
      <c r="AW120" s="1748"/>
      <c r="AX120" s="1748"/>
      <c r="AY120" s="1748"/>
      <c r="AZ120" s="1748"/>
      <c r="BA120" s="1756"/>
    </row>
    <row r="121" spans="1:53" ht="18.75" customHeight="1">
      <c r="A121" s="1736" t="s">
        <v>1767</v>
      </c>
      <c r="B121" s="1737"/>
      <c r="C121" s="1737"/>
      <c r="D121" s="1737"/>
      <c r="E121" s="964" t="s">
        <v>678</v>
      </c>
      <c r="F121" s="965" t="s">
        <v>213</v>
      </c>
      <c r="G121" s="965"/>
      <c r="H121" s="965"/>
      <c r="I121" s="965"/>
      <c r="J121" s="965"/>
      <c r="K121" s="965"/>
      <c r="L121" s="965"/>
      <c r="M121" s="965"/>
      <c r="N121" s="965"/>
      <c r="O121" s="965"/>
      <c r="P121" s="965"/>
      <c r="Q121" s="965"/>
      <c r="R121" s="965"/>
      <c r="S121" s="965"/>
      <c r="T121" s="965"/>
      <c r="U121" s="965"/>
      <c r="V121" s="965"/>
      <c r="W121" s="965"/>
      <c r="X121" s="965"/>
      <c r="Y121" s="965"/>
      <c r="Z121" s="966"/>
      <c r="AA121" s="967"/>
      <c r="AB121" s="1744"/>
      <c r="AC121" s="1745"/>
      <c r="AD121" s="1746"/>
      <c r="AE121" s="1747" t="s">
        <v>2742</v>
      </c>
      <c r="AF121" s="1747"/>
      <c r="AG121" s="1747"/>
      <c r="AH121" s="1748">
        <f>SUMIF(unos!E:E,AE121,unos!G:G)</f>
        <v>0</v>
      </c>
      <c r="AI121" s="1748"/>
      <c r="AJ121" s="1748"/>
      <c r="AK121" s="1748"/>
      <c r="AL121" s="1748"/>
      <c r="AM121" s="1748"/>
      <c r="AN121" s="1748"/>
      <c r="AO121" s="1748"/>
      <c r="AP121" s="1748"/>
      <c r="AQ121" s="1748"/>
      <c r="AR121" s="1748">
        <f>SUMIF(unos!E:E,AE121,unos!F:F)</f>
        <v>0</v>
      </c>
      <c r="AS121" s="1748"/>
      <c r="AT121" s="1748"/>
      <c r="AU121" s="1748"/>
      <c r="AV121" s="1748"/>
      <c r="AW121" s="1748"/>
      <c r="AX121" s="1748"/>
      <c r="AY121" s="1748"/>
      <c r="AZ121" s="1748"/>
      <c r="BA121" s="1756"/>
    </row>
    <row r="122" spans="1:53" ht="18.75" customHeight="1">
      <c r="A122" s="1736" t="s">
        <v>1768</v>
      </c>
      <c r="B122" s="1737"/>
      <c r="C122" s="1737"/>
      <c r="D122" s="1737"/>
      <c r="E122" s="964" t="s">
        <v>679</v>
      </c>
      <c r="F122" s="965" t="s">
        <v>214</v>
      </c>
      <c r="G122" s="965"/>
      <c r="H122" s="965"/>
      <c r="I122" s="965"/>
      <c r="J122" s="965"/>
      <c r="K122" s="965"/>
      <c r="L122" s="965"/>
      <c r="M122" s="965"/>
      <c r="N122" s="965"/>
      <c r="O122" s="965"/>
      <c r="P122" s="965"/>
      <c r="Q122" s="965"/>
      <c r="R122" s="965"/>
      <c r="S122" s="965"/>
      <c r="T122" s="965"/>
      <c r="U122" s="965"/>
      <c r="V122" s="965"/>
      <c r="W122" s="965"/>
      <c r="X122" s="965"/>
      <c r="Y122" s="965"/>
      <c r="Z122" s="966"/>
      <c r="AA122" s="967"/>
      <c r="AB122" s="1744"/>
      <c r="AC122" s="1745"/>
      <c r="AD122" s="1746"/>
      <c r="AE122" s="1747" t="s">
        <v>2743</v>
      </c>
      <c r="AF122" s="1747"/>
      <c r="AG122" s="1747"/>
      <c r="AH122" s="1748">
        <f>SUMIF(unos!E:E,AE122,unos!G:G)</f>
        <v>0</v>
      </c>
      <c r="AI122" s="1748"/>
      <c r="AJ122" s="1748"/>
      <c r="AK122" s="1748"/>
      <c r="AL122" s="1748"/>
      <c r="AM122" s="1748"/>
      <c r="AN122" s="1748"/>
      <c r="AO122" s="1748"/>
      <c r="AP122" s="1748"/>
      <c r="AQ122" s="1748"/>
      <c r="AR122" s="1748">
        <f>SUMIF(unos!E:E,AE122,unos!F:F)</f>
        <v>0</v>
      </c>
      <c r="AS122" s="1748"/>
      <c r="AT122" s="1748"/>
      <c r="AU122" s="1748"/>
      <c r="AV122" s="1748"/>
      <c r="AW122" s="1748"/>
      <c r="AX122" s="1748"/>
      <c r="AY122" s="1748"/>
      <c r="AZ122" s="1748"/>
      <c r="BA122" s="1756"/>
    </row>
    <row r="123" spans="1:53" ht="18.75" customHeight="1">
      <c r="A123" s="1736" t="s">
        <v>1770</v>
      </c>
      <c r="B123" s="1737"/>
      <c r="C123" s="1737"/>
      <c r="D123" s="1737"/>
      <c r="E123" s="964" t="s">
        <v>680</v>
      </c>
      <c r="F123" s="965" t="s">
        <v>1561</v>
      </c>
      <c r="G123" s="965"/>
      <c r="H123" s="965"/>
      <c r="I123" s="965"/>
      <c r="J123" s="965"/>
      <c r="K123" s="965"/>
      <c r="L123" s="965"/>
      <c r="M123" s="965"/>
      <c r="N123" s="965"/>
      <c r="O123" s="965"/>
      <c r="P123" s="965"/>
      <c r="Q123" s="965"/>
      <c r="R123" s="965"/>
      <c r="S123" s="965"/>
      <c r="T123" s="965"/>
      <c r="U123" s="965"/>
      <c r="V123" s="965"/>
      <c r="W123" s="965"/>
      <c r="X123" s="965"/>
      <c r="Y123" s="965"/>
      <c r="Z123" s="966"/>
      <c r="AA123" s="967"/>
      <c r="AB123" s="1744"/>
      <c r="AC123" s="1745"/>
      <c r="AD123" s="1746"/>
      <c r="AE123" s="1747" t="s">
        <v>2744</v>
      </c>
      <c r="AF123" s="1747"/>
      <c r="AG123" s="1747"/>
      <c r="AH123" s="1748">
        <f>SUMIF(unos!E:E,AE123,unos!G:G)</f>
        <v>0</v>
      </c>
      <c r="AI123" s="1748"/>
      <c r="AJ123" s="1748"/>
      <c r="AK123" s="1748"/>
      <c r="AL123" s="1748"/>
      <c r="AM123" s="1748"/>
      <c r="AN123" s="1748"/>
      <c r="AO123" s="1748"/>
      <c r="AP123" s="1748"/>
      <c r="AQ123" s="1748"/>
      <c r="AR123" s="1748">
        <f>SUMIF(unos!E:E,AE123,unos!F:F)</f>
        <v>0</v>
      </c>
      <c r="AS123" s="1748"/>
      <c r="AT123" s="1748"/>
      <c r="AU123" s="1748"/>
      <c r="AV123" s="1748"/>
      <c r="AW123" s="1748"/>
      <c r="AX123" s="1748"/>
      <c r="AY123" s="1748"/>
      <c r="AZ123" s="1748"/>
      <c r="BA123" s="1756"/>
    </row>
    <row r="124" spans="1:53" ht="18.75" customHeight="1">
      <c r="A124" s="1736" t="s">
        <v>1069</v>
      </c>
      <c r="B124" s="1737"/>
      <c r="C124" s="1737"/>
      <c r="D124" s="1737"/>
      <c r="E124" s="964"/>
      <c r="F124" s="968" t="s">
        <v>1070</v>
      </c>
      <c r="G124" s="965"/>
      <c r="H124" s="965"/>
      <c r="I124" s="965"/>
      <c r="J124" s="965"/>
      <c r="K124" s="965"/>
      <c r="L124" s="965"/>
      <c r="M124" s="965"/>
      <c r="N124" s="965"/>
      <c r="O124" s="965"/>
      <c r="P124" s="965"/>
      <c r="Q124" s="965"/>
      <c r="R124" s="965"/>
      <c r="S124" s="965"/>
      <c r="T124" s="965"/>
      <c r="U124" s="965"/>
      <c r="V124" s="965"/>
      <c r="W124" s="965"/>
      <c r="X124" s="965"/>
      <c r="Y124" s="965"/>
      <c r="Z124" s="966"/>
      <c r="AA124" s="967"/>
      <c r="AB124" s="1744"/>
      <c r="AC124" s="1745"/>
      <c r="AD124" s="1746"/>
      <c r="AE124" s="1747" t="s">
        <v>2745</v>
      </c>
      <c r="AF124" s="1747"/>
      <c r="AG124" s="1747"/>
      <c r="AH124" s="1748">
        <f>SUM(AH125:AH127)</f>
        <v>0</v>
      </c>
      <c r="AI124" s="1748"/>
      <c r="AJ124" s="1748"/>
      <c r="AK124" s="1748"/>
      <c r="AL124" s="1748"/>
      <c r="AM124" s="1748"/>
      <c r="AN124" s="1748"/>
      <c r="AO124" s="1748"/>
      <c r="AP124" s="1748"/>
      <c r="AQ124" s="1748"/>
      <c r="AR124" s="1748">
        <f>SUM(AR125:BA127)</f>
        <v>0</v>
      </c>
      <c r="AS124" s="1748"/>
      <c r="AT124" s="1748"/>
      <c r="AU124" s="1748"/>
      <c r="AV124" s="1748"/>
      <c r="AW124" s="1748"/>
      <c r="AX124" s="1748"/>
      <c r="AY124" s="1748"/>
      <c r="AZ124" s="1748"/>
      <c r="BA124" s="1756"/>
    </row>
    <row r="125" spans="1:53" ht="18.75" customHeight="1">
      <c r="A125" s="1736" t="s">
        <v>519</v>
      </c>
      <c r="B125" s="1737"/>
      <c r="C125" s="1737"/>
      <c r="D125" s="1737"/>
      <c r="E125" s="964"/>
      <c r="F125" s="965" t="s">
        <v>1071</v>
      </c>
      <c r="G125" s="965"/>
      <c r="H125" s="965"/>
      <c r="I125" s="965"/>
      <c r="J125" s="965"/>
      <c r="K125" s="965"/>
      <c r="L125" s="965"/>
      <c r="M125" s="965"/>
      <c r="N125" s="965"/>
      <c r="O125" s="965"/>
      <c r="P125" s="965"/>
      <c r="Q125" s="965"/>
      <c r="R125" s="965"/>
      <c r="S125" s="965"/>
      <c r="T125" s="965"/>
      <c r="U125" s="965"/>
      <c r="V125" s="965"/>
      <c r="W125" s="965"/>
      <c r="X125" s="965"/>
      <c r="Y125" s="965"/>
      <c r="Z125" s="966"/>
      <c r="AA125" s="967"/>
      <c r="AB125" s="1744"/>
      <c r="AC125" s="1745"/>
      <c r="AD125" s="1746"/>
      <c r="AE125" s="1747" t="s">
        <v>2746</v>
      </c>
      <c r="AF125" s="1747"/>
      <c r="AG125" s="1747"/>
      <c r="AH125" s="1748">
        <f>SUMIF(unos!E:E,AE125,unos!G:G)</f>
        <v>0</v>
      </c>
      <c r="AI125" s="1748"/>
      <c r="AJ125" s="1748"/>
      <c r="AK125" s="1748"/>
      <c r="AL125" s="1748"/>
      <c r="AM125" s="1748"/>
      <c r="AN125" s="1748"/>
      <c r="AO125" s="1748"/>
      <c r="AP125" s="1748"/>
      <c r="AQ125" s="1748"/>
      <c r="AR125" s="1748">
        <f>SUMIF(unos!E:E,AE125,unos!F:F)</f>
        <v>0</v>
      </c>
      <c r="AS125" s="1748"/>
      <c r="AT125" s="1748"/>
      <c r="AU125" s="1748"/>
      <c r="AV125" s="1748"/>
      <c r="AW125" s="1748"/>
      <c r="AX125" s="1748"/>
      <c r="AY125" s="1748"/>
      <c r="AZ125" s="1748"/>
      <c r="BA125" s="1756"/>
    </row>
    <row r="126" spans="1:53" ht="18.75" customHeight="1">
      <c r="A126" s="1736" t="s">
        <v>2353</v>
      </c>
      <c r="B126" s="1737"/>
      <c r="C126" s="1737"/>
      <c r="D126" s="1737"/>
      <c r="E126" s="977"/>
      <c r="F126" s="978" t="s">
        <v>1072</v>
      </c>
      <c r="G126" s="978"/>
      <c r="H126" s="978"/>
      <c r="I126" s="978"/>
      <c r="J126" s="978"/>
      <c r="K126" s="978"/>
      <c r="L126" s="978"/>
      <c r="M126" s="978"/>
      <c r="N126" s="978"/>
      <c r="O126" s="978"/>
      <c r="P126" s="978"/>
      <c r="Q126" s="978"/>
      <c r="R126" s="978"/>
      <c r="S126" s="978"/>
      <c r="T126" s="978"/>
      <c r="U126" s="965"/>
      <c r="V126" s="965"/>
      <c r="W126" s="965"/>
      <c r="X126" s="965"/>
      <c r="Y126" s="965"/>
      <c r="Z126" s="966"/>
      <c r="AA126" s="967"/>
      <c r="AB126" s="1744"/>
      <c r="AC126" s="1745"/>
      <c r="AD126" s="1746"/>
      <c r="AE126" s="1747" t="s">
        <v>2747</v>
      </c>
      <c r="AF126" s="1747"/>
      <c r="AG126" s="1747"/>
      <c r="AH126" s="1748">
        <f>SUMIF(unos!E:E,AE126,unos!G:G)</f>
        <v>0</v>
      </c>
      <c r="AI126" s="1748"/>
      <c r="AJ126" s="1748"/>
      <c r="AK126" s="1748"/>
      <c r="AL126" s="1748"/>
      <c r="AM126" s="1748"/>
      <c r="AN126" s="1748"/>
      <c r="AO126" s="1748"/>
      <c r="AP126" s="1748"/>
      <c r="AQ126" s="1748"/>
      <c r="AR126" s="1748">
        <f>SUMIF(unos!E:E,AE126,unos!F:F)</f>
        <v>0</v>
      </c>
      <c r="AS126" s="1748"/>
      <c r="AT126" s="1748"/>
      <c r="AU126" s="1748"/>
      <c r="AV126" s="1748"/>
      <c r="AW126" s="1748"/>
      <c r="AX126" s="1748"/>
      <c r="AY126" s="1748"/>
      <c r="AZ126" s="1748"/>
      <c r="BA126" s="1756"/>
    </row>
    <row r="127" spans="1:53" ht="18.75" customHeight="1">
      <c r="A127" s="1736" t="s">
        <v>2354</v>
      </c>
      <c r="B127" s="1737"/>
      <c r="C127" s="1737"/>
      <c r="D127" s="1737"/>
      <c r="E127" s="964"/>
      <c r="F127" s="965" t="s">
        <v>1073</v>
      </c>
      <c r="G127" s="965"/>
      <c r="H127" s="965"/>
      <c r="I127" s="965"/>
      <c r="J127" s="965"/>
      <c r="K127" s="965"/>
      <c r="L127" s="965"/>
      <c r="M127" s="965"/>
      <c r="N127" s="965"/>
      <c r="O127" s="965"/>
      <c r="P127" s="965"/>
      <c r="Q127" s="965"/>
      <c r="R127" s="965"/>
      <c r="S127" s="965"/>
      <c r="T127" s="965"/>
      <c r="U127" s="965"/>
      <c r="V127" s="965"/>
      <c r="W127" s="965"/>
      <c r="X127" s="965"/>
      <c r="Y127" s="965"/>
      <c r="Z127" s="966"/>
      <c r="AA127" s="967"/>
      <c r="AB127" s="1744"/>
      <c r="AC127" s="1745"/>
      <c r="AD127" s="1746"/>
      <c r="AE127" s="1747" t="s">
        <v>2748</v>
      </c>
      <c r="AF127" s="1747"/>
      <c r="AG127" s="1747"/>
      <c r="AH127" s="1748">
        <f>SUMIF(unos!E:E,AE127,unos!G:G)</f>
        <v>0</v>
      </c>
      <c r="AI127" s="1748"/>
      <c r="AJ127" s="1748"/>
      <c r="AK127" s="1748"/>
      <c r="AL127" s="1748"/>
      <c r="AM127" s="1748"/>
      <c r="AN127" s="1748"/>
      <c r="AO127" s="1748"/>
      <c r="AP127" s="1748"/>
      <c r="AQ127" s="1748"/>
      <c r="AR127" s="1748">
        <f>SUMIF(unos!E:E,AE127,unos!F:F)</f>
        <v>0</v>
      </c>
      <c r="AS127" s="1748"/>
      <c r="AT127" s="1748"/>
      <c r="AU127" s="1748"/>
      <c r="AV127" s="1748"/>
      <c r="AW127" s="1748"/>
      <c r="AX127" s="1748"/>
      <c r="AY127" s="1748"/>
      <c r="AZ127" s="1748"/>
      <c r="BA127" s="1756"/>
    </row>
    <row r="128" spans="1:53" ht="18.75" customHeight="1">
      <c r="A128" s="1736" t="s">
        <v>1069</v>
      </c>
      <c r="B128" s="1737"/>
      <c r="C128" s="1737"/>
      <c r="D128" s="1737"/>
      <c r="E128" s="964"/>
      <c r="F128" s="968" t="s">
        <v>1074</v>
      </c>
      <c r="G128" s="965"/>
      <c r="H128" s="965"/>
      <c r="I128" s="965"/>
      <c r="J128" s="965"/>
      <c r="K128" s="965"/>
      <c r="L128" s="965"/>
      <c r="M128" s="965"/>
      <c r="N128" s="965"/>
      <c r="O128" s="965"/>
      <c r="P128" s="965"/>
      <c r="Q128" s="965"/>
      <c r="R128" s="965"/>
      <c r="S128" s="965"/>
      <c r="T128" s="965"/>
      <c r="U128" s="965"/>
      <c r="V128" s="965"/>
      <c r="W128" s="965"/>
      <c r="X128" s="965"/>
      <c r="Y128" s="965"/>
      <c r="Z128" s="966"/>
      <c r="AA128" s="967"/>
      <c r="AB128" s="1744"/>
      <c r="AC128" s="1745"/>
      <c r="AD128" s="1746"/>
      <c r="AE128" s="1747" t="s">
        <v>2749</v>
      </c>
      <c r="AF128" s="1747"/>
      <c r="AG128" s="1747"/>
      <c r="AH128" s="1748">
        <f>SUM(AH129:AQ131)</f>
        <v>0</v>
      </c>
      <c r="AI128" s="1748"/>
      <c r="AJ128" s="1748"/>
      <c r="AK128" s="1748"/>
      <c r="AL128" s="1748"/>
      <c r="AM128" s="1748"/>
      <c r="AN128" s="1748"/>
      <c r="AO128" s="1748"/>
      <c r="AP128" s="1748"/>
      <c r="AQ128" s="1748"/>
      <c r="AR128" s="1748">
        <f>SUM(AR129:BA131)</f>
        <v>0</v>
      </c>
      <c r="AS128" s="1748"/>
      <c r="AT128" s="1748"/>
      <c r="AU128" s="1748"/>
      <c r="AV128" s="1748"/>
      <c r="AW128" s="1748"/>
      <c r="AX128" s="1748"/>
      <c r="AY128" s="1748"/>
      <c r="AZ128" s="1748"/>
      <c r="BA128" s="1756"/>
    </row>
    <row r="129" spans="1:53" ht="18.75" customHeight="1">
      <c r="A129" s="1736" t="s">
        <v>2355</v>
      </c>
      <c r="B129" s="1737"/>
      <c r="C129" s="1737"/>
      <c r="D129" s="1737"/>
      <c r="E129" s="964"/>
      <c r="F129" s="965" t="s">
        <v>1075</v>
      </c>
      <c r="G129" s="965"/>
      <c r="H129" s="965"/>
      <c r="I129" s="965"/>
      <c r="J129" s="965"/>
      <c r="K129" s="965"/>
      <c r="L129" s="965"/>
      <c r="M129" s="965"/>
      <c r="N129" s="965"/>
      <c r="O129" s="965"/>
      <c r="P129" s="965"/>
      <c r="Q129" s="965"/>
      <c r="R129" s="965"/>
      <c r="S129" s="965"/>
      <c r="T129" s="965"/>
      <c r="U129" s="965"/>
      <c r="V129" s="965"/>
      <c r="W129" s="965"/>
      <c r="X129" s="965"/>
      <c r="Y129" s="965"/>
      <c r="Z129" s="966"/>
      <c r="AA129" s="967"/>
      <c r="AB129" s="1744"/>
      <c r="AC129" s="1745"/>
      <c r="AD129" s="1746"/>
      <c r="AE129" s="1747" t="s">
        <v>2750</v>
      </c>
      <c r="AF129" s="1747"/>
      <c r="AG129" s="1747"/>
      <c r="AH129" s="1748">
        <f>SUMIF(unos!E:E,AE129,unos!G:G)</f>
        <v>0</v>
      </c>
      <c r="AI129" s="1748"/>
      <c r="AJ129" s="1748"/>
      <c r="AK129" s="1748"/>
      <c r="AL129" s="1748"/>
      <c r="AM129" s="1748"/>
      <c r="AN129" s="1748"/>
      <c r="AO129" s="1748"/>
      <c r="AP129" s="1748"/>
      <c r="AQ129" s="1748"/>
      <c r="AR129" s="1748">
        <f>SUMIF(unos!E:E,AE129,unos!F:F)</f>
        <v>0</v>
      </c>
      <c r="AS129" s="1748"/>
      <c r="AT129" s="1748"/>
      <c r="AU129" s="1748"/>
      <c r="AV129" s="1748"/>
      <c r="AW129" s="1748"/>
      <c r="AX129" s="1748"/>
      <c r="AY129" s="1748"/>
      <c r="AZ129" s="1748"/>
      <c r="BA129" s="1756"/>
    </row>
    <row r="130" spans="1:53" ht="18.75" customHeight="1">
      <c r="A130" s="1736" t="s">
        <v>2356</v>
      </c>
      <c r="B130" s="1737"/>
      <c r="C130" s="1737"/>
      <c r="D130" s="1737"/>
      <c r="E130" s="964"/>
      <c r="F130" s="965" t="s">
        <v>1076</v>
      </c>
      <c r="G130" s="965"/>
      <c r="H130" s="965"/>
      <c r="I130" s="965"/>
      <c r="J130" s="965"/>
      <c r="K130" s="965"/>
      <c r="L130" s="965"/>
      <c r="M130" s="965"/>
      <c r="N130" s="965"/>
      <c r="O130" s="965"/>
      <c r="P130" s="965"/>
      <c r="Q130" s="965"/>
      <c r="R130" s="965"/>
      <c r="S130" s="965"/>
      <c r="T130" s="965"/>
      <c r="U130" s="965"/>
      <c r="V130" s="965"/>
      <c r="W130" s="965"/>
      <c r="X130" s="965"/>
      <c r="Y130" s="965"/>
      <c r="Z130" s="966"/>
      <c r="AA130" s="967"/>
      <c r="AB130" s="1744"/>
      <c r="AC130" s="1745"/>
      <c r="AD130" s="1746"/>
      <c r="AE130" s="1747" t="s">
        <v>2751</v>
      </c>
      <c r="AF130" s="1747"/>
      <c r="AG130" s="1747"/>
      <c r="AH130" s="1748">
        <f>SUMIF(unos!E:E,AE130,unos!G:G)</f>
        <v>0</v>
      </c>
      <c r="AI130" s="1748"/>
      <c r="AJ130" s="1748"/>
      <c r="AK130" s="1748"/>
      <c r="AL130" s="1748"/>
      <c r="AM130" s="1748"/>
      <c r="AN130" s="1748"/>
      <c r="AO130" s="1748"/>
      <c r="AP130" s="1748"/>
      <c r="AQ130" s="1748"/>
      <c r="AR130" s="1748">
        <f>SUMIF(unos!E:E,AE130,unos!F:F)</f>
        <v>0</v>
      </c>
      <c r="AS130" s="1748"/>
      <c r="AT130" s="1748"/>
      <c r="AU130" s="1748"/>
      <c r="AV130" s="1748"/>
      <c r="AW130" s="1748"/>
      <c r="AX130" s="1748"/>
      <c r="AY130" s="1748"/>
      <c r="AZ130" s="1748"/>
      <c r="BA130" s="1756"/>
    </row>
    <row r="131" spans="1:53" ht="18.75" customHeight="1" thickBot="1">
      <c r="A131" s="1742" t="s">
        <v>2357</v>
      </c>
      <c r="B131" s="1743"/>
      <c r="C131" s="1743"/>
      <c r="D131" s="1743"/>
      <c r="E131" s="969"/>
      <c r="F131" s="970" t="s">
        <v>1077</v>
      </c>
      <c r="G131" s="970"/>
      <c r="H131" s="970"/>
      <c r="I131" s="970"/>
      <c r="J131" s="970"/>
      <c r="K131" s="970"/>
      <c r="L131" s="970"/>
      <c r="M131" s="970"/>
      <c r="N131" s="970"/>
      <c r="O131" s="970"/>
      <c r="P131" s="970"/>
      <c r="Q131" s="970"/>
      <c r="R131" s="970"/>
      <c r="S131" s="970"/>
      <c r="T131" s="970"/>
      <c r="U131" s="970"/>
      <c r="V131" s="970"/>
      <c r="W131" s="970"/>
      <c r="X131" s="970"/>
      <c r="Y131" s="970"/>
      <c r="Z131" s="971"/>
      <c r="AA131" s="972"/>
      <c r="AB131" s="1749"/>
      <c r="AC131" s="1750"/>
      <c r="AD131" s="1751"/>
      <c r="AE131" s="1752" t="s">
        <v>2752</v>
      </c>
      <c r="AF131" s="1752"/>
      <c r="AG131" s="1752"/>
      <c r="AH131" s="1734">
        <f>SUMIF(unos!E:E,AE131,unos!G:G)</f>
        <v>0</v>
      </c>
      <c r="AI131" s="1734"/>
      <c r="AJ131" s="1734"/>
      <c r="AK131" s="1734"/>
      <c r="AL131" s="1734"/>
      <c r="AM131" s="1734"/>
      <c r="AN131" s="1734"/>
      <c r="AO131" s="1734"/>
      <c r="AP131" s="1734"/>
      <c r="AQ131" s="1734"/>
      <c r="AR131" s="1734">
        <f>SUMIF(unos!E:E,AE131,unos!F:F)</f>
        <v>0</v>
      </c>
      <c r="AS131" s="1734"/>
      <c r="AT131" s="1734"/>
      <c r="AU131" s="1734"/>
      <c r="AV131" s="1734"/>
      <c r="AW131" s="1734"/>
      <c r="AX131" s="1734"/>
      <c r="AY131" s="1734"/>
      <c r="AZ131" s="1734"/>
      <c r="BA131" s="1735"/>
    </row>
    <row r="132" spans="1:53" s="947" customFormat="1" ht="15.75" customHeight="1">
      <c r="A132" s="1738"/>
      <c r="B132" s="1738"/>
      <c r="C132" s="1738"/>
      <c r="D132" s="1738"/>
      <c r="E132" s="1771"/>
      <c r="F132" s="1771"/>
      <c r="G132" s="1771"/>
      <c r="H132" s="1771"/>
      <c r="I132" s="1771"/>
      <c r="J132" s="1771"/>
      <c r="K132" s="1771"/>
      <c r="L132" s="1771"/>
      <c r="M132" s="1771"/>
      <c r="N132" s="1771"/>
      <c r="O132" s="1771"/>
      <c r="P132" s="1771"/>
      <c r="Q132" s="1771"/>
      <c r="R132" s="1771"/>
      <c r="S132" s="1771"/>
      <c r="T132" s="1771"/>
      <c r="U132" s="1757"/>
      <c r="V132" s="1757"/>
      <c r="W132" s="1757"/>
      <c r="X132" s="1757"/>
      <c r="Y132" s="1757"/>
      <c r="Z132" s="1769"/>
      <c r="AA132" s="1769"/>
      <c r="AB132" s="1769"/>
      <c r="AC132" s="1769"/>
      <c r="AD132" s="1769"/>
      <c r="AE132" s="1769"/>
      <c r="AF132" s="1769"/>
      <c r="AG132" s="1769"/>
      <c r="AH132" s="1769"/>
      <c r="AI132" s="1769"/>
      <c r="AJ132" s="1769"/>
      <c r="AK132" s="1769"/>
      <c r="AL132" s="1769"/>
      <c r="AM132" s="1769"/>
      <c r="AN132" s="1769"/>
      <c r="AO132" s="1769"/>
      <c r="AP132" s="1769"/>
      <c r="AQ132" s="1769"/>
      <c r="AR132" s="1769"/>
      <c r="AS132" s="1769"/>
      <c r="AT132" s="1769"/>
      <c r="AU132" s="1774" t="s">
        <v>2582</v>
      </c>
      <c r="AV132" s="1774"/>
      <c r="AW132" s="1774"/>
      <c r="AX132" s="1774"/>
      <c r="AY132" s="1774"/>
      <c r="AZ132" s="1774"/>
      <c r="BA132" s="1774"/>
    </row>
    <row r="133" spans="1:53" s="947" customFormat="1" ht="15.75" customHeight="1" thickBot="1">
      <c r="A133" s="940"/>
      <c r="B133" s="940"/>
      <c r="C133" s="940"/>
      <c r="D133" s="940"/>
      <c r="E133" s="936"/>
      <c r="F133" s="936"/>
      <c r="G133" s="936"/>
      <c r="H133" s="936"/>
      <c r="I133" s="936"/>
      <c r="J133" s="936"/>
      <c r="K133" s="936"/>
      <c r="L133" s="936"/>
      <c r="M133" s="936"/>
      <c r="N133" s="936"/>
      <c r="O133" s="936"/>
      <c r="P133" s="936"/>
      <c r="Q133" s="936"/>
      <c r="R133" s="936"/>
      <c r="S133" s="936"/>
      <c r="T133" s="936"/>
      <c r="U133" s="939"/>
      <c r="V133" s="939"/>
      <c r="W133" s="939"/>
      <c r="X133" s="939"/>
      <c r="Y133" s="939"/>
      <c r="Z133" s="938"/>
      <c r="AA133" s="938"/>
      <c r="AB133" s="938"/>
      <c r="AC133" s="938"/>
      <c r="AD133" s="938"/>
      <c r="AE133" s="938"/>
      <c r="AF133" s="938"/>
      <c r="AG133" s="938"/>
      <c r="AH133" s="938"/>
      <c r="AI133" s="938"/>
      <c r="AJ133" s="938"/>
      <c r="AK133" s="938"/>
      <c r="AL133" s="938"/>
      <c r="AM133" s="938"/>
      <c r="AN133" s="938"/>
      <c r="AO133" s="938"/>
      <c r="AP133" s="938"/>
      <c r="AQ133" s="938"/>
      <c r="AR133" s="938"/>
      <c r="AS133" s="938"/>
      <c r="AT133" s="938"/>
      <c r="AU133" s="938"/>
      <c r="AV133" s="938"/>
      <c r="AW133" s="938"/>
      <c r="AX133" s="938"/>
      <c r="AY133" s="938"/>
      <c r="AZ133" s="938"/>
      <c r="BA133" s="938"/>
    </row>
    <row r="134" spans="1:53" ht="13.5" customHeight="1" thickBot="1">
      <c r="A134" s="1764" t="s">
        <v>522</v>
      </c>
      <c r="B134" s="1765"/>
      <c r="C134" s="1765"/>
      <c r="D134" s="1765"/>
      <c r="E134" s="1766">
        <v>2</v>
      </c>
      <c r="F134" s="1767"/>
      <c r="G134" s="1767"/>
      <c r="H134" s="1767"/>
      <c r="I134" s="1767"/>
      <c r="J134" s="1767"/>
      <c r="K134" s="1767"/>
      <c r="L134" s="1767"/>
      <c r="M134" s="1767"/>
      <c r="N134" s="1767"/>
      <c r="O134" s="1767"/>
      <c r="P134" s="1767"/>
      <c r="Q134" s="1767"/>
      <c r="R134" s="1767"/>
      <c r="S134" s="1767"/>
      <c r="T134" s="1767"/>
      <c r="U134" s="956"/>
      <c r="V134" s="956"/>
      <c r="W134" s="956"/>
      <c r="X134" s="956"/>
      <c r="Y134" s="956"/>
      <c r="Z134" s="956"/>
      <c r="AA134" s="957"/>
      <c r="AB134" s="1766">
        <v>3</v>
      </c>
      <c r="AC134" s="1767"/>
      <c r="AD134" s="1768"/>
      <c r="AE134" s="1766">
        <v>4</v>
      </c>
      <c r="AF134" s="1767"/>
      <c r="AG134" s="1768"/>
      <c r="AH134" s="1766">
        <v>5</v>
      </c>
      <c r="AI134" s="1767"/>
      <c r="AJ134" s="1767"/>
      <c r="AK134" s="1767"/>
      <c r="AL134" s="1767"/>
      <c r="AM134" s="1767"/>
      <c r="AN134" s="1767"/>
      <c r="AO134" s="1767"/>
      <c r="AP134" s="1767"/>
      <c r="AQ134" s="1768"/>
      <c r="AR134" s="1766">
        <v>6</v>
      </c>
      <c r="AS134" s="1767"/>
      <c r="AT134" s="1767"/>
      <c r="AU134" s="1767"/>
      <c r="AV134" s="1767"/>
      <c r="AW134" s="1767"/>
      <c r="AX134" s="1767"/>
      <c r="AY134" s="1767"/>
      <c r="AZ134" s="1767"/>
      <c r="BA134" s="1770"/>
    </row>
    <row r="135" spans="1:53" ht="19.5" customHeight="1">
      <c r="A135" s="1736"/>
      <c r="B135" s="1737"/>
      <c r="C135" s="1737"/>
      <c r="D135" s="1737"/>
      <c r="E135" s="973"/>
      <c r="F135" s="959" t="s">
        <v>1078</v>
      </c>
      <c r="G135" s="960"/>
      <c r="H135" s="960"/>
      <c r="I135" s="960"/>
      <c r="J135" s="960"/>
      <c r="K135" s="960"/>
      <c r="L135" s="960"/>
      <c r="M135" s="960"/>
      <c r="N135" s="960"/>
      <c r="O135" s="960"/>
      <c r="P135" s="960"/>
      <c r="Q135" s="960"/>
      <c r="R135" s="960"/>
      <c r="S135" s="960"/>
      <c r="T135" s="960"/>
      <c r="U135" s="960"/>
      <c r="V135" s="960"/>
      <c r="W135" s="960"/>
      <c r="X135" s="960"/>
      <c r="Y135" s="960"/>
      <c r="Z135" s="974"/>
      <c r="AA135" s="975"/>
      <c r="AB135" s="1744"/>
      <c r="AC135" s="1745"/>
      <c r="AD135" s="1746"/>
      <c r="AE135" s="1747" t="s">
        <v>2753</v>
      </c>
      <c r="AF135" s="1747"/>
      <c r="AG135" s="1747"/>
      <c r="AH135" s="1748">
        <f>IF(AH105-AH115+AH124-AH128&lt;=0,0,AH105-AH115+AH124-AH128)</f>
        <v>0</v>
      </c>
      <c r="AI135" s="1748"/>
      <c r="AJ135" s="1748"/>
      <c r="AK135" s="1748"/>
      <c r="AL135" s="1748"/>
      <c r="AM135" s="1748"/>
      <c r="AN135" s="1748"/>
      <c r="AO135" s="1748"/>
      <c r="AP135" s="1748"/>
      <c r="AQ135" s="1748"/>
      <c r="AR135" s="1748">
        <f>IF(AR105-AR115+AR124-AR128&lt;=0,0,AR105-AR115+AR124-AR128)</f>
        <v>0</v>
      </c>
      <c r="AS135" s="1748"/>
      <c r="AT135" s="1748"/>
      <c r="AU135" s="1748"/>
      <c r="AV135" s="1748"/>
      <c r="AW135" s="1748"/>
      <c r="AX135" s="1748"/>
      <c r="AY135" s="1748"/>
      <c r="AZ135" s="1748"/>
      <c r="BA135" s="1756"/>
    </row>
    <row r="136" spans="1:53" ht="19.5" customHeight="1">
      <c r="A136" s="1736"/>
      <c r="B136" s="1737"/>
      <c r="C136" s="1737"/>
      <c r="D136" s="1737"/>
      <c r="E136" s="964"/>
      <c r="F136" s="968" t="s">
        <v>1079</v>
      </c>
      <c r="G136" s="965"/>
      <c r="H136" s="965"/>
      <c r="I136" s="965"/>
      <c r="J136" s="965"/>
      <c r="K136" s="965"/>
      <c r="L136" s="965"/>
      <c r="M136" s="965"/>
      <c r="N136" s="965"/>
      <c r="O136" s="965"/>
      <c r="P136" s="965"/>
      <c r="Q136" s="965"/>
      <c r="R136" s="965"/>
      <c r="S136" s="965"/>
      <c r="T136" s="965"/>
      <c r="U136" s="965"/>
      <c r="V136" s="965"/>
      <c r="W136" s="965"/>
      <c r="X136" s="965"/>
      <c r="Y136" s="965"/>
      <c r="Z136" s="966"/>
      <c r="AA136" s="967"/>
      <c r="AB136" s="1744"/>
      <c r="AC136" s="1745"/>
      <c r="AD136" s="1746"/>
      <c r="AE136" s="1747" t="s">
        <v>2754</v>
      </c>
      <c r="AF136" s="1747"/>
      <c r="AG136" s="1747"/>
      <c r="AH136" s="1748">
        <f>IF(AH105-AH115+AH124-AH128&gt;=0,0,SUM(AH105-AH115+AH124-AH128)*-1)</f>
        <v>0</v>
      </c>
      <c r="AI136" s="1748"/>
      <c r="AJ136" s="1748"/>
      <c r="AK136" s="1748"/>
      <c r="AL136" s="1748"/>
      <c r="AM136" s="1748"/>
      <c r="AN136" s="1748"/>
      <c r="AO136" s="1748"/>
      <c r="AP136" s="1748"/>
      <c r="AQ136" s="1748"/>
      <c r="AR136" s="1748">
        <f>IF(AR105-AR115+AR124-AR128&gt;=0,0,SUM(AR105-AR115+AR124-AR128)*-1)</f>
        <v>0</v>
      </c>
      <c r="AS136" s="1748"/>
      <c r="AT136" s="1748"/>
      <c r="AU136" s="1748"/>
      <c r="AV136" s="1748"/>
      <c r="AW136" s="1748"/>
      <c r="AX136" s="1748"/>
      <c r="AY136" s="1748"/>
      <c r="AZ136" s="1748"/>
      <c r="BA136" s="1756"/>
    </row>
    <row r="137" spans="1:53" ht="30.75" customHeight="1">
      <c r="A137" s="1736" t="s">
        <v>1080</v>
      </c>
      <c r="B137" s="1737"/>
      <c r="C137" s="1737"/>
      <c r="D137" s="1737"/>
      <c r="E137" s="964"/>
      <c r="F137" s="1775" t="s">
        <v>1081</v>
      </c>
      <c r="G137" s="1775"/>
      <c r="H137" s="1775"/>
      <c r="I137" s="1775"/>
      <c r="J137" s="1775"/>
      <c r="K137" s="1775"/>
      <c r="L137" s="1775"/>
      <c r="M137" s="1775"/>
      <c r="N137" s="1775"/>
      <c r="O137" s="1775"/>
      <c r="P137" s="1775"/>
      <c r="Q137" s="1775"/>
      <c r="R137" s="1775"/>
      <c r="S137" s="1775"/>
      <c r="T137" s="1775"/>
      <c r="U137" s="1775"/>
      <c r="V137" s="1775"/>
      <c r="W137" s="1775"/>
      <c r="X137" s="1775"/>
      <c r="Y137" s="1775"/>
      <c r="Z137" s="1775"/>
      <c r="AA137" s="1776"/>
      <c r="AB137" s="1744"/>
      <c r="AC137" s="1745"/>
      <c r="AD137" s="1746"/>
      <c r="AE137" s="1747" t="s">
        <v>2755</v>
      </c>
      <c r="AF137" s="1747"/>
      <c r="AG137" s="1747"/>
      <c r="AH137" s="1748">
        <f>SUMIF(unos!E:E,AE137,unos!G:G)</f>
        <v>0</v>
      </c>
      <c r="AI137" s="1748"/>
      <c r="AJ137" s="1748"/>
      <c r="AK137" s="1748"/>
      <c r="AL137" s="1748"/>
      <c r="AM137" s="1748"/>
      <c r="AN137" s="1748"/>
      <c r="AO137" s="1748"/>
      <c r="AP137" s="1748"/>
      <c r="AQ137" s="1748"/>
      <c r="AR137" s="1748">
        <f>SUMIF(unos!E:E,AE137,unos!F:F)</f>
        <v>0</v>
      </c>
      <c r="AS137" s="1748"/>
      <c r="AT137" s="1748"/>
      <c r="AU137" s="1748"/>
      <c r="AV137" s="1748"/>
      <c r="AW137" s="1748"/>
      <c r="AX137" s="1748"/>
      <c r="AY137" s="1748"/>
      <c r="AZ137" s="1748"/>
      <c r="BA137" s="1756"/>
    </row>
    <row r="138" spans="1:53" ht="30.75" customHeight="1">
      <c r="A138" s="1736" t="s">
        <v>1082</v>
      </c>
      <c r="B138" s="1737"/>
      <c r="C138" s="1737"/>
      <c r="D138" s="1737"/>
      <c r="E138" s="964"/>
      <c r="F138" s="1775" t="s">
        <v>253</v>
      </c>
      <c r="G138" s="1775"/>
      <c r="H138" s="1775"/>
      <c r="I138" s="1775"/>
      <c r="J138" s="1775"/>
      <c r="K138" s="1775"/>
      <c r="L138" s="1775"/>
      <c r="M138" s="1775"/>
      <c r="N138" s="1775"/>
      <c r="O138" s="1775"/>
      <c r="P138" s="1775"/>
      <c r="Q138" s="1775"/>
      <c r="R138" s="1775"/>
      <c r="S138" s="1775"/>
      <c r="T138" s="1775"/>
      <c r="U138" s="1775"/>
      <c r="V138" s="1775"/>
      <c r="W138" s="1775"/>
      <c r="X138" s="1775"/>
      <c r="Y138" s="1775"/>
      <c r="Z138" s="1775"/>
      <c r="AA138" s="1776"/>
      <c r="AB138" s="1744"/>
      <c r="AC138" s="1745"/>
      <c r="AD138" s="1746"/>
      <c r="AE138" s="1747" t="s">
        <v>2756</v>
      </c>
      <c r="AF138" s="1747"/>
      <c r="AG138" s="1747"/>
      <c r="AH138" s="1748">
        <f>SUMIF(unos!E:E,AE138,unos!G:G)</f>
        <v>0</v>
      </c>
      <c r="AI138" s="1748"/>
      <c r="AJ138" s="1748"/>
      <c r="AK138" s="1748"/>
      <c r="AL138" s="1748"/>
      <c r="AM138" s="1748"/>
      <c r="AN138" s="1748"/>
      <c r="AO138" s="1748"/>
      <c r="AP138" s="1748"/>
      <c r="AQ138" s="1748"/>
      <c r="AR138" s="1748">
        <f>SUMIF(unos!E:E,AE138,unos!F:F)</f>
        <v>0</v>
      </c>
      <c r="AS138" s="1748"/>
      <c r="AT138" s="1748"/>
      <c r="AU138" s="1748"/>
      <c r="AV138" s="1748"/>
      <c r="AW138" s="1748"/>
      <c r="AX138" s="1748"/>
      <c r="AY138" s="1748"/>
      <c r="AZ138" s="1748"/>
      <c r="BA138" s="1756"/>
    </row>
    <row r="139" spans="1:53" ht="19.5" customHeight="1">
      <c r="A139" s="1736"/>
      <c r="B139" s="1737"/>
      <c r="C139" s="1737"/>
      <c r="D139" s="1737"/>
      <c r="E139" s="964"/>
      <c r="F139" s="965" t="s">
        <v>254</v>
      </c>
      <c r="G139" s="965"/>
      <c r="H139" s="965"/>
      <c r="I139" s="965"/>
      <c r="J139" s="965"/>
      <c r="K139" s="965"/>
      <c r="L139" s="965"/>
      <c r="M139" s="965"/>
      <c r="N139" s="965"/>
      <c r="O139" s="965"/>
      <c r="P139" s="965"/>
      <c r="Q139" s="965"/>
      <c r="R139" s="965"/>
      <c r="S139" s="965"/>
      <c r="T139" s="965"/>
      <c r="U139" s="965"/>
      <c r="V139" s="965"/>
      <c r="W139" s="965"/>
      <c r="X139" s="965"/>
      <c r="Y139" s="965"/>
      <c r="Z139" s="966"/>
      <c r="AA139" s="967"/>
      <c r="AB139" s="1744"/>
      <c r="AC139" s="1745"/>
      <c r="AD139" s="1746"/>
      <c r="AE139" s="1747"/>
      <c r="AF139" s="1747"/>
      <c r="AG139" s="1747"/>
      <c r="AH139" s="1748"/>
      <c r="AI139" s="1748"/>
      <c r="AJ139" s="1748"/>
      <c r="AK139" s="1748"/>
      <c r="AL139" s="1748"/>
      <c r="AM139" s="1748"/>
      <c r="AN139" s="1748"/>
      <c r="AO139" s="1748"/>
      <c r="AP139" s="1748"/>
      <c r="AQ139" s="1748"/>
      <c r="AR139" s="1748"/>
      <c r="AS139" s="1748"/>
      <c r="AT139" s="1748"/>
      <c r="AU139" s="1748"/>
      <c r="AV139" s="1748"/>
      <c r="AW139" s="1748"/>
      <c r="AX139" s="1748"/>
      <c r="AY139" s="1748"/>
      <c r="AZ139" s="1748"/>
      <c r="BA139" s="1756"/>
    </row>
    <row r="140" spans="1:53" ht="30.75" customHeight="1">
      <c r="A140" s="1736"/>
      <c r="B140" s="1737"/>
      <c r="C140" s="1737"/>
      <c r="D140" s="1737"/>
      <c r="E140" s="964"/>
      <c r="F140" s="1777" t="s">
        <v>852</v>
      </c>
      <c r="G140" s="1777"/>
      <c r="H140" s="1777"/>
      <c r="I140" s="1777"/>
      <c r="J140" s="1777"/>
      <c r="K140" s="1777"/>
      <c r="L140" s="1777"/>
      <c r="M140" s="1777"/>
      <c r="N140" s="1777"/>
      <c r="O140" s="1777"/>
      <c r="P140" s="1777"/>
      <c r="Q140" s="1777"/>
      <c r="R140" s="1777"/>
      <c r="S140" s="1777"/>
      <c r="T140" s="1777"/>
      <c r="U140" s="1777"/>
      <c r="V140" s="1777"/>
      <c r="W140" s="1777"/>
      <c r="X140" s="1777"/>
      <c r="Y140" s="1777"/>
      <c r="Z140" s="1777"/>
      <c r="AA140" s="1778"/>
      <c r="AB140" s="1744"/>
      <c r="AC140" s="1745"/>
      <c r="AD140" s="1746"/>
      <c r="AE140" s="1747" t="s">
        <v>2757</v>
      </c>
      <c r="AF140" s="1747"/>
      <c r="AG140" s="1747"/>
      <c r="AH140" s="1748">
        <f>IF(AH76-AH77+AH99-AH100+AH135-AH136+AH137-AH138&lt;=0,0,AH76-AH77+AH99-AH100+AH135-AH136+AH137-AH138)</f>
        <v>0</v>
      </c>
      <c r="AI140" s="1748"/>
      <c r="AJ140" s="1748"/>
      <c r="AK140" s="1748"/>
      <c r="AL140" s="1748"/>
      <c r="AM140" s="1748"/>
      <c r="AN140" s="1748"/>
      <c r="AO140" s="1748"/>
      <c r="AP140" s="1748"/>
      <c r="AQ140" s="1748"/>
      <c r="AR140" s="1748">
        <f>IF(AR76-AR77+AR99-AR100+AR135-AR136+AR137-AR138&lt;=0,0,AR76-AR77+AR99-AR100+AR135-AR136+AR137-AR138)</f>
        <v>0</v>
      </c>
      <c r="AS140" s="1748"/>
      <c r="AT140" s="1748"/>
      <c r="AU140" s="1748"/>
      <c r="AV140" s="1748"/>
      <c r="AW140" s="1748"/>
      <c r="AX140" s="1748"/>
      <c r="AY140" s="1748"/>
      <c r="AZ140" s="1748"/>
      <c r="BA140" s="1756"/>
    </row>
    <row r="141" spans="1:53" ht="30.75" customHeight="1">
      <c r="A141" s="1736"/>
      <c r="B141" s="1737"/>
      <c r="C141" s="1737"/>
      <c r="D141" s="1737"/>
      <c r="E141" s="964"/>
      <c r="F141" s="1777" t="s">
        <v>255</v>
      </c>
      <c r="G141" s="1777"/>
      <c r="H141" s="1777"/>
      <c r="I141" s="1777"/>
      <c r="J141" s="1777"/>
      <c r="K141" s="1777"/>
      <c r="L141" s="1777"/>
      <c r="M141" s="1777"/>
      <c r="N141" s="1777"/>
      <c r="O141" s="1777"/>
      <c r="P141" s="1777"/>
      <c r="Q141" s="1777"/>
      <c r="R141" s="1777"/>
      <c r="S141" s="1777"/>
      <c r="T141" s="1777"/>
      <c r="U141" s="1777"/>
      <c r="V141" s="1777"/>
      <c r="W141" s="1777"/>
      <c r="X141" s="1777"/>
      <c r="Y141" s="1777"/>
      <c r="Z141" s="1777"/>
      <c r="AA141" s="1778"/>
      <c r="AB141" s="1744"/>
      <c r="AC141" s="1745"/>
      <c r="AD141" s="1746"/>
      <c r="AE141" s="1747" t="s">
        <v>2758</v>
      </c>
      <c r="AF141" s="1747"/>
      <c r="AG141" s="1747"/>
      <c r="AH141" s="1748">
        <f>IF(AH76-AH77+AH99-AH100+AH135-AH136+AH137-AH138&gt;=0,0,SUM(AH76-AH77+AH99-AH100+AH135-AH136+AH137-AH138)*-1)</f>
        <v>0</v>
      </c>
      <c r="AI141" s="1748"/>
      <c r="AJ141" s="1748"/>
      <c r="AK141" s="1748"/>
      <c r="AL141" s="1748"/>
      <c r="AM141" s="1748"/>
      <c r="AN141" s="1748"/>
      <c r="AO141" s="1748"/>
      <c r="AP141" s="1748"/>
      <c r="AQ141" s="1748"/>
      <c r="AR141" s="1748">
        <f>IF(AR76-AR77+AR99-AR100+AR135-AR136+AR137-AR138&gt;=0,0,SUM(AR76-AR77+AR99-AR100+AR135-AR136+AR137-AR138)*-1)</f>
        <v>0</v>
      </c>
      <c r="AS141" s="1748"/>
      <c r="AT141" s="1748"/>
      <c r="AU141" s="1748"/>
      <c r="AV141" s="1748"/>
      <c r="AW141" s="1748"/>
      <c r="AX141" s="1748"/>
      <c r="AY141" s="1748"/>
      <c r="AZ141" s="1748"/>
      <c r="BA141" s="1756"/>
    </row>
    <row r="142" spans="1:53" ht="19.5" customHeight="1">
      <c r="A142" s="1736"/>
      <c r="B142" s="1737"/>
      <c r="C142" s="1737"/>
      <c r="D142" s="1737"/>
      <c r="E142" s="964"/>
      <c r="F142" s="965" t="s">
        <v>256</v>
      </c>
      <c r="G142" s="965"/>
      <c r="H142" s="965"/>
      <c r="I142" s="965"/>
      <c r="J142" s="965"/>
      <c r="K142" s="965"/>
      <c r="L142" s="965"/>
      <c r="M142" s="965"/>
      <c r="N142" s="965"/>
      <c r="O142" s="965"/>
      <c r="P142" s="965"/>
      <c r="Q142" s="965"/>
      <c r="R142" s="965"/>
      <c r="S142" s="965"/>
      <c r="T142" s="965"/>
      <c r="U142" s="965"/>
      <c r="V142" s="965"/>
      <c r="W142" s="965"/>
      <c r="X142" s="965"/>
      <c r="Y142" s="965"/>
      <c r="Z142" s="966"/>
      <c r="AA142" s="967"/>
      <c r="AB142" s="1744"/>
      <c r="AC142" s="1745"/>
      <c r="AD142" s="1746"/>
      <c r="AE142" s="1747"/>
      <c r="AF142" s="1747"/>
      <c r="AG142" s="1747"/>
      <c r="AH142" s="1748"/>
      <c r="AI142" s="1748"/>
      <c r="AJ142" s="1748"/>
      <c r="AK142" s="1748"/>
      <c r="AL142" s="1748"/>
      <c r="AM142" s="1748"/>
      <c r="AN142" s="1748"/>
      <c r="AO142" s="1748"/>
      <c r="AP142" s="1748"/>
      <c r="AQ142" s="1748"/>
      <c r="AR142" s="1748"/>
      <c r="AS142" s="1748"/>
      <c r="AT142" s="1748"/>
      <c r="AU142" s="1748"/>
      <c r="AV142" s="1748"/>
      <c r="AW142" s="1748"/>
      <c r="AX142" s="1748"/>
      <c r="AY142" s="1748"/>
      <c r="AZ142" s="1748"/>
      <c r="BA142" s="1756"/>
    </row>
    <row r="143" spans="1:53" ht="19.5" customHeight="1">
      <c r="A143" s="1736" t="s">
        <v>1682</v>
      </c>
      <c r="B143" s="1737"/>
      <c r="C143" s="1737"/>
      <c r="D143" s="1737"/>
      <c r="E143" s="964"/>
      <c r="F143" s="965" t="s">
        <v>1681</v>
      </c>
      <c r="G143" s="965"/>
      <c r="H143" s="965"/>
      <c r="I143" s="965"/>
      <c r="J143" s="965"/>
      <c r="K143" s="965"/>
      <c r="L143" s="965"/>
      <c r="M143" s="965"/>
      <c r="N143" s="965"/>
      <c r="O143" s="965"/>
      <c r="P143" s="965"/>
      <c r="Q143" s="965"/>
      <c r="R143" s="965"/>
      <c r="S143" s="965"/>
      <c r="T143" s="965"/>
      <c r="U143" s="965"/>
      <c r="V143" s="965"/>
      <c r="W143" s="965"/>
      <c r="X143" s="965"/>
      <c r="Y143" s="965"/>
      <c r="Z143" s="966"/>
      <c r="AA143" s="967"/>
      <c r="AB143" s="1744"/>
      <c r="AC143" s="1745"/>
      <c r="AD143" s="1746"/>
      <c r="AE143" s="1747" t="s">
        <v>2759</v>
      </c>
      <c r="AF143" s="1747"/>
      <c r="AG143" s="1747"/>
      <c r="AH143" s="1748">
        <f>SUMIF(unos!E:E,AE143,unos!G:G)</f>
        <v>0</v>
      </c>
      <c r="AI143" s="1748"/>
      <c r="AJ143" s="1748"/>
      <c r="AK143" s="1748"/>
      <c r="AL143" s="1748"/>
      <c r="AM143" s="1748"/>
      <c r="AN143" s="1748"/>
      <c r="AO143" s="1748"/>
      <c r="AP143" s="1748"/>
      <c r="AQ143" s="1748"/>
      <c r="AR143" s="1748">
        <f>SUMIF(unos!E:E,AE143,unos!F:F)</f>
        <v>0</v>
      </c>
      <c r="AS143" s="1748"/>
      <c r="AT143" s="1748"/>
      <c r="AU143" s="1748"/>
      <c r="AV143" s="1748"/>
      <c r="AW143" s="1748"/>
      <c r="AX143" s="1748"/>
      <c r="AY143" s="1748"/>
      <c r="AZ143" s="1748"/>
      <c r="BA143" s="1756"/>
    </row>
    <row r="144" spans="1:53" ht="19.5" customHeight="1">
      <c r="A144" s="1736" t="s">
        <v>1683</v>
      </c>
      <c r="B144" s="1737"/>
      <c r="C144" s="1737"/>
      <c r="D144" s="1737"/>
      <c r="E144" s="964"/>
      <c r="F144" s="965" t="s">
        <v>1684</v>
      </c>
      <c r="G144" s="965"/>
      <c r="H144" s="965"/>
      <c r="I144" s="965"/>
      <c r="J144" s="965"/>
      <c r="K144" s="965"/>
      <c r="L144" s="965"/>
      <c r="M144" s="965"/>
      <c r="N144" s="965"/>
      <c r="O144" s="965"/>
      <c r="P144" s="965"/>
      <c r="Q144" s="965"/>
      <c r="R144" s="965"/>
      <c r="S144" s="965"/>
      <c r="T144" s="965"/>
      <c r="U144" s="965"/>
      <c r="V144" s="965"/>
      <c r="W144" s="965"/>
      <c r="X144" s="965"/>
      <c r="Y144" s="965"/>
      <c r="Z144" s="966"/>
      <c r="AA144" s="967"/>
      <c r="AB144" s="1744"/>
      <c r="AC144" s="1745"/>
      <c r="AD144" s="1746"/>
      <c r="AE144" s="1747" t="s">
        <v>2760</v>
      </c>
      <c r="AF144" s="1747"/>
      <c r="AG144" s="1747"/>
      <c r="AH144" s="1748">
        <f>SUMIF(unos!E:E,AE144,unos!G:G)</f>
        <v>0</v>
      </c>
      <c r="AI144" s="1748"/>
      <c r="AJ144" s="1748"/>
      <c r="AK144" s="1748"/>
      <c r="AL144" s="1748"/>
      <c r="AM144" s="1748"/>
      <c r="AN144" s="1748"/>
      <c r="AO144" s="1748"/>
      <c r="AP144" s="1748"/>
      <c r="AQ144" s="1748"/>
      <c r="AR144" s="1748">
        <f>SUMIF(unos!E:E,AE144,unos!F:F)</f>
        <v>0</v>
      </c>
      <c r="AS144" s="1748"/>
      <c r="AT144" s="1748"/>
      <c r="AU144" s="1748"/>
      <c r="AV144" s="1748"/>
      <c r="AW144" s="1748"/>
      <c r="AX144" s="1748"/>
      <c r="AY144" s="1748"/>
      <c r="AZ144" s="1748"/>
      <c r="BA144" s="1756"/>
    </row>
    <row r="145" spans="1:53" ht="19.5" customHeight="1">
      <c r="A145" s="1736" t="s">
        <v>1683</v>
      </c>
      <c r="B145" s="1737"/>
      <c r="C145" s="1737"/>
      <c r="D145" s="1737"/>
      <c r="E145" s="964"/>
      <c r="F145" s="965" t="s">
        <v>1685</v>
      </c>
      <c r="G145" s="965"/>
      <c r="H145" s="965"/>
      <c r="I145" s="965"/>
      <c r="J145" s="965"/>
      <c r="K145" s="965"/>
      <c r="L145" s="965"/>
      <c r="M145" s="965"/>
      <c r="N145" s="965"/>
      <c r="O145" s="965"/>
      <c r="P145" s="965"/>
      <c r="Q145" s="965"/>
      <c r="R145" s="965"/>
      <c r="S145" s="965"/>
      <c r="T145" s="965"/>
      <c r="U145" s="965"/>
      <c r="V145" s="965"/>
      <c r="W145" s="965"/>
      <c r="X145" s="965"/>
      <c r="Y145" s="965"/>
      <c r="Z145" s="966"/>
      <c r="AA145" s="967"/>
      <c r="AB145" s="1744"/>
      <c r="AC145" s="1745"/>
      <c r="AD145" s="1746"/>
      <c r="AE145" s="1747" t="s">
        <v>2761</v>
      </c>
      <c r="AF145" s="1747"/>
      <c r="AG145" s="1747"/>
      <c r="AH145" s="1748">
        <f>SUMIF(unos!E:E,AE145,unos!G:G)</f>
        <v>0</v>
      </c>
      <c r="AI145" s="1748"/>
      <c r="AJ145" s="1748"/>
      <c r="AK145" s="1748"/>
      <c r="AL145" s="1748"/>
      <c r="AM145" s="1748"/>
      <c r="AN145" s="1748"/>
      <c r="AO145" s="1748"/>
      <c r="AP145" s="1748"/>
      <c r="AQ145" s="1748"/>
      <c r="AR145" s="1748">
        <f>SUMIF(unos!E:E,AE145,unos!F:F)</f>
        <v>0</v>
      </c>
      <c r="AS145" s="1748"/>
      <c r="AT145" s="1748"/>
      <c r="AU145" s="1748"/>
      <c r="AV145" s="1748"/>
      <c r="AW145" s="1748"/>
      <c r="AX145" s="1748"/>
      <c r="AY145" s="1748"/>
      <c r="AZ145" s="1748"/>
      <c r="BA145" s="1756"/>
    </row>
    <row r="146" spans="1:53" ht="19.5" customHeight="1">
      <c r="A146" s="1736"/>
      <c r="B146" s="1737"/>
      <c r="C146" s="1737"/>
      <c r="D146" s="1737"/>
      <c r="E146" s="964"/>
      <c r="F146" s="965" t="s">
        <v>1686</v>
      </c>
      <c r="G146" s="965"/>
      <c r="H146" s="965"/>
      <c r="I146" s="965"/>
      <c r="J146" s="965"/>
      <c r="K146" s="965"/>
      <c r="L146" s="965"/>
      <c r="M146" s="965"/>
      <c r="N146" s="965"/>
      <c r="O146" s="965"/>
      <c r="P146" s="965"/>
      <c r="Q146" s="965"/>
      <c r="R146" s="965"/>
      <c r="S146" s="965"/>
      <c r="T146" s="965"/>
      <c r="U146" s="965"/>
      <c r="V146" s="965"/>
      <c r="W146" s="965"/>
      <c r="X146" s="965"/>
      <c r="Y146" s="965"/>
      <c r="Z146" s="966"/>
      <c r="AA146" s="967"/>
      <c r="AB146" s="1744"/>
      <c r="AC146" s="1745"/>
      <c r="AD146" s="1746"/>
      <c r="AE146" s="1747"/>
      <c r="AF146" s="1747"/>
      <c r="AG146" s="1747"/>
      <c r="AH146" s="1748"/>
      <c r="AI146" s="1748"/>
      <c r="AJ146" s="1748"/>
      <c r="AK146" s="1748"/>
      <c r="AL146" s="1748"/>
      <c r="AM146" s="1748"/>
      <c r="AN146" s="1748"/>
      <c r="AO146" s="1748"/>
      <c r="AP146" s="1748"/>
      <c r="AQ146" s="1748"/>
      <c r="AR146" s="1748"/>
      <c r="AS146" s="1748"/>
      <c r="AT146" s="1748"/>
      <c r="AU146" s="1748"/>
      <c r="AV146" s="1748"/>
      <c r="AW146" s="1748"/>
      <c r="AX146" s="1748"/>
      <c r="AY146" s="1748"/>
      <c r="AZ146" s="1748"/>
      <c r="BA146" s="1756"/>
    </row>
    <row r="147" spans="1:53" ht="19.5" customHeight="1">
      <c r="A147" s="1736"/>
      <c r="B147" s="1737"/>
      <c r="C147" s="1737"/>
      <c r="D147" s="1737"/>
      <c r="E147" s="964"/>
      <c r="F147" s="968" t="s">
        <v>1687</v>
      </c>
      <c r="G147" s="965"/>
      <c r="H147" s="965"/>
      <c r="I147" s="965"/>
      <c r="J147" s="965"/>
      <c r="K147" s="965"/>
      <c r="L147" s="965"/>
      <c r="M147" s="965"/>
      <c r="N147" s="965"/>
      <c r="O147" s="965"/>
      <c r="P147" s="965"/>
      <c r="Q147" s="965"/>
      <c r="R147" s="965"/>
      <c r="S147" s="965"/>
      <c r="T147" s="965"/>
      <c r="U147" s="965"/>
      <c r="V147" s="965"/>
      <c r="W147" s="965"/>
      <c r="X147" s="965"/>
      <c r="Y147" s="965"/>
      <c r="Z147" s="966"/>
      <c r="AA147" s="967"/>
      <c r="AB147" s="1744"/>
      <c r="AC147" s="1745"/>
      <c r="AD147" s="1746"/>
      <c r="AE147" s="1747" t="s">
        <v>2762</v>
      </c>
      <c r="AF147" s="1747"/>
      <c r="AG147" s="1747"/>
      <c r="AH147" s="1748">
        <f>IF(AH140-AH141-AH143-AH144+AH145&lt;=0,0,AH140-AH141-AH143-AH144+AH145)</f>
        <v>0</v>
      </c>
      <c r="AI147" s="1748"/>
      <c r="AJ147" s="1748"/>
      <c r="AK147" s="1748"/>
      <c r="AL147" s="1748"/>
      <c r="AM147" s="1748"/>
      <c r="AN147" s="1748"/>
      <c r="AO147" s="1748"/>
      <c r="AP147" s="1748"/>
      <c r="AQ147" s="1748"/>
      <c r="AR147" s="1748">
        <f>IF(AR140-AR141-AR143-AR144+AR145&lt;=0,0,AR140-AR141-AR143-AR144+AR145)</f>
        <v>0</v>
      </c>
      <c r="AS147" s="1748"/>
      <c r="AT147" s="1748"/>
      <c r="AU147" s="1748"/>
      <c r="AV147" s="1748"/>
      <c r="AW147" s="1748"/>
      <c r="AX147" s="1748"/>
      <c r="AY147" s="1748"/>
      <c r="AZ147" s="1748"/>
      <c r="BA147" s="1756"/>
    </row>
    <row r="148" spans="1:53" ht="19.5" customHeight="1">
      <c r="A148" s="1736"/>
      <c r="B148" s="1737"/>
      <c r="C148" s="1737"/>
      <c r="D148" s="1737"/>
      <c r="E148" s="964"/>
      <c r="F148" s="968" t="s">
        <v>1688</v>
      </c>
      <c r="G148" s="965"/>
      <c r="H148" s="965"/>
      <c r="I148" s="965"/>
      <c r="J148" s="965"/>
      <c r="K148" s="965"/>
      <c r="L148" s="965"/>
      <c r="M148" s="965"/>
      <c r="N148" s="965"/>
      <c r="O148" s="965"/>
      <c r="P148" s="965"/>
      <c r="Q148" s="965"/>
      <c r="R148" s="965"/>
      <c r="S148" s="965"/>
      <c r="T148" s="965"/>
      <c r="U148" s="965"/>
      <c r="V148" s="965"/>
      <c r="W148" s="965"/>
      <c r="X148" s="965"/>
      <c r="Y148" s="965"/>
      <c r="Z148" s="966"/>
      <c r="AA148" s="967"/>
      <c r="AB148" s="1744"/>
      <c r="AC148" s="1745"/>
      <c r="AD148" s="1746"/>
      <c r="AE148" s="1747" t="s">
        <v>2763</v>
      </c>
      <c r="AF148" s="1747"/>
      <c r="AG148" s="1747"/>
      <c r="AH148" s="1748">
        <f>IF(AH140-AH141-AH143-AH144+AH145&gt;=0,0,SUM(AH140-AH141-AH143-AH144+AH145)*-1)</f>
        <v>0</v>
      </c>
      <c r="AI148" s="1748"/>
      <c r="AJ148" s="1748"/>
      <c r="AK148" s="1748"/>
      <c r="AL148" s="1748"/>
      <c r="AM148" s="1748"/>
      <c r="AN148" s="1748"/>
      <c r="AO148" s="1748"/>
      <c r="AP148" s="1748"/>
      <c r="AQ148" s="1748"/>
      <c r="AR148" s="1748">
        <f>IF(AR140-AR141-AR143-AR144+AR145&gt;=0,0,SUM(AR140-AR141-AR143-AR144+AR145)*-1)</f>
        <v>0</v>
      </c>
      <c r="AS148" s="1748"/>
      <c r="AT148" s="1748"/>
      <c r="AU148" s="1748"/>
      <c r="AV148" s="1748"/>
      <c r="AW148" s="1748"/>
      <c r="AX148" s="1748"/>
      <c r="AY148" s="1748"/>
      <c r="AZ148" s="1748"/>
      <c r="BA148" s="1756"/>
    </row>
    <row r="149" spans="1:53" ht="19.5" customHeight="1">
      <c r="A149" s="1736"/>
      <c r="B149" s="1737"/>
      <c r="C149" s="1737"/>
      <c r="D149" s="1737"/>
      <c r="E149" s="964"/>
      <c r="F149" s="965" t="s">
        <v>1689</v>
      </c>
      <c r="G149" s="965"/>
      <c r="H149" s="965"/>
      <c r="I149" s="965"/>
      <c r="J149" s="965"/>
      <c r="K149" s="965"/>
      <c r="L149" s="965"/>
      <c r="M149" s="965"/>
      <c r="N149" s="965"/>
      <c r="O149" s="965"/>
      <c r="P149" s="965"/>
      <c r="Q149" s="965"/>
      <c r="R149" s="965"/>
      <c r="S149" s="965"/>
      <c r="T149" s="965"/>
      <c r="U149" s="965"/>
      <c r="V149" s="965"/>
      <c r="W149" s="965"/>
      <c r="X149" s="965"/>
      <c r="Y149" s="965"/>
      <c r="Z149" s="966"/>
      <c r="AA149" s="967"/>
      <c r="AB149" s="1744"/>
      <c r="AC149" s="1745"/>
      <c r="AD149" s="1746"/>
      <c r="AE149" s="1747"/>
      <c r="AF149" s="1747"/>
      <c r="AG149" s="1747"/>
      <c r="AH149" s="1748"/>
      <c r="AI149" s="1748"/>
      <c r="AJ149" s="1748"/>
      <c r="AK149" s="1748"/>
      <c r="AL149" s="1748"/>
      <c r="AM149" s="1748"/>
      <c r="AN149" s="1748"/>
      <c r="AO149" s="1748"/>
      <c r="AP149" s="1748"/>
      <c r="AQ149" s="1748"/>
      <c r="AR149" s="1748"/>
      <c r="AS149" s="1748"/>
      <c r="AT149" s="1748"/>
      <c r="AU149" s="1748"/>
      <c r="AV149" s="1748"/>
      <c r="AW149" s="1748"/>
      <c r="AX149" s="1748"/>
      <c r="AY149" s="1748"/>
      <c r="AZ149" s="1748"/>
      <c r="BA149" s="1756"/>
    </row>
    <row r="150" spans="1:53" ht="30" customHeight="1">
      <c r="A150" s="1736" t="s">
        <v>2068</v>
      </c>
      <c r="B150" s="1737"/>
      <c r="C150" s="1737"/>
      <c r="D150" s="1737"/>
      <c r="E150" s="964"/>
      <c r="F150" s="1775" t="s">
        <v>1690</v>
      </c>
      <c r="G150" s="1775"/>
      <c r="H150" s="1775"/>
      <c r="I150" s="1775"/>
      <c r="J150" s="1775"/>
      <c r="K150" s="1775"/>
      <c r="L150" s="1775"/>
      <c r="M150" s="1775"/>
      <c r="N150" s="1775"/>
      <c r="O150" s="1775"/>
      <c r="P150" s="1775"/>
      <c r="Q150" s="1775"/>
      <c r="R150" s="1775"/>
      <c r="S150" s="1775"/>
      <c r="T150" s="1775"/>
      <c r="U150" s="1775"/>
      <c r="V150" s="1775"/>
      <c r="W150" s="1775"/>
      <c r="X150" s="1775"/>
      <c r="Y150" s="1775"/>
      <c r="Z150" s="1775"/>
      <c r="AA150" s="1776"/>
      <c r="AB150" s="1744"/>
      <c r="AC150" s="1745"/>
      <c r="AD150" s="1746"/>
      <c r="AE150" s="1747" t="s">
        <v>2764</v>
      </c>
      <c r="AF150" s="1747"/>
      <c r="AG150" s="1747"/>
      <c r="AH150" s="1748">
        <f>SUMIF(unos!E:E,AE150,unos!G:G)</f>
        <v>0</v>
      </c>
      <c r="AI150" s="1748"/>
      <c r="AJ150" s="1748"/>
      <c r="AK150" s="1748"/>
      <c r="AL150" s="1748"/>
      <c r="AM150" s="1748"/>
      <c r="AN150" s="1748"/>
      <c r="AO150" s="1748"/>
      <c r="AP150" s="1748"/>
      <c r="AQ150" s="1748"/>
      <c r="AR150" s="1748">
        <f>SUMIF(unos!E:E,AE150,unos!F:F)</f>
        <v>0</v>
      </c>
      <c r="AS150" s="1748"/>
      <c r="AT150" s="1748"/>
      <c r="AU150" s="1748"/>
      <c r="AV150" s="1748"/>
      <c r="AW150" s="1748"/>
      <c r="AX150" s="1748"/>
      <c r="AY150" s="1748"/>
      <c r="AZ150" s="1748"/>
      <c r="BA150" s="1756"/>
    </row>
    <row r="151" spans="1:53" ht="30" customHeight="1">
      <c r="A151" s="1736" t="s">
        <v>2069</v>
      </c>
      <c r="B151" s="1737"/>
      <c r="C151" s="1737"/>
      <c r="D151" s="1737"/>
      <c r="E151" s="964"/>
      <c r="F151" s="1775" t="s">
        <v>1691</v>
      </c>
      <c r="G151" s="1775"/>
      <c r="H151" s="1775"/>
      <c r="I151" s="1775"/>
      <c r="J151" s="1775"/>
      <c r="K151" s="1775"/>
      <c r="L151" s="1775"/>
      <c r="M151" s="1775"/>
      <c r="N151" s="1775"/>
      <c r="O151" s="1775"/>
      <c r="P151" s="1775"/>
      <c r="Q151" s="1775"/>
      <c r="R151" s="1775"/>
      <c r="S151" s="1775"/>
      <c r="T151" s="1775"/>
      <c r="U151" s="1775"/>
      <c r="V151" s="1775"/>
      <c r="W151" s="1775"/>
      <c r="X151" s="1775"/>
      <c r="Y151" s="1775"/>
      <c r="Z151" s="1775"/>
      <c r="AA151" s="1776"/>
      <c r="AB151" s="1744"/>
      <c r="AC151" s="1745"/>
      <c r="AD151" s="1746"/>
      <c r="AE151" s="1747" t="s">
        <v>2765</v>
      </c>
      <c r="AF151" s="1747"/>
      <c r="AG151" s="1747"/>
      <c r="AH151" s="1748">
        <f>SUMIF(unos!E:E,AE151,unos!G:G)</f>
        <v>0</v>
      </c>
      <c r="AI151" s="1748"/>
      <c r="AJ151" s="1748"/>
      <c r="AK151" s="1748"/>
      <c r="AL151" s="1748"/>
      <c r="AM151" s="1748"/>
      <c r="AN151" s="1748"/>
      <c r="AO151" s="1748"/>
      <c r="AP151" s="1748"/>
      <c r="AQ151" s="1748"/>
      <c r="AR151" s="1748">
        <f>SUMIF(unos!E:E,AE151,unos!F:F)</f>
        <v>0</v>
      </c>
      <c r="AS151" s="1748"/>
      <c r="AT151" s="1748"/>
      <c r="AU151" s="1748"/>
      <c r="AV151" s="1748"/>
      <c r="AW151" s="1748"/>
      <c r="AX151" s="1748"/>
      <c r="AY151" s="1748"/>
      <c r="AZ151" s="1748"/>
      <c r="BA151" s="1756"/>
    </row>
    <row r="152" spans="1:53" ht="19.5" customHeight="1">
      <c r="A152" s="1736"/>
      <c r="B152" s="1737"/>
      <c r="C152" s="1737"/>
      <c r="D152" s="1737"/>
      <c r="E152" s="964"/>
      <c r="F152" s="968" t="s">
        <v>1692</v>
      </c>
      <c r="G152" s="965"/>
      <c r="H152" s="965"/>
      <c r="I152" s="965"/>
      <c r="J152" s="965"/>
      <c r="K152" s="965"/>
      <c r="L152" s="965"/>
      <c r="M152" s="965"/>
      <c r="N152" s="965"/>
      <c r="O152" s="965"/>
      <c r="P152" s="965"/>
      <c r="Q152" s="965"/>
      <c r="R152" s="965"/>
      <c r="S152" s="965"/>
      <c r="T152" s="965"/>
      <c r="U152" s="965"/>
      <c r="V152" s="965"/>
      <c r="W152" s="965"/>
      <c r="X152" s="965"/>
      <c r="Y152" s="965"/>
      <c r="Z152" s="966"/>
      <c r="AA152" s="967"/>
      <c r="AB152" s="1744"/>
      <c r="AC152" s="1745"/>
      <c r="AD152" s="1746"/>
      <c r="AE152" s="1747" t="s">
        <v>1372</v>
      </c>
      <c r="AF152" s="1747"/>
      <c r="AG152" s="1747"/>
      <c r="AH152" s="1748">
        <f>IF(AH150-AH151&lt;=0,0,AH150-AH151)</f>
        <v>0</v>
      </c>
      <c r="AI152" s="1748"/>
      <c r="AJ152" s="1748"/>
      <c r="AK152" s="1748"/>
      <c r="AL152" s="1748"/>
      <c r="AM152" s="1748"/>
      <c r="AN152" s="1748"/>
      <c r="AO152" s="1748"/>
      <c r="AP152" s="1748"/>
      <c r="AQ152" s="1748"/>
      <c r="AR152" s="1748">
        <f>IF(AR150-AR151&lt;=0,0,AR150-AR151)</f>
        <v>0</v>
      </c>
      <c r="AS152" s="1748"/>
      <c r="AT152" s="1748"/>
      <c r="AU152" s="1748"/>
      <c r="AV152" s="1748"/>
      <c r="AW152" s="1748"/>
      <c r="AX152" s="1748"/>
      <c r="AY152" s="1748"/>
      <c r="AZ152" s="1748"/>
      <c r="BA152" s="1756"/>
    </row>
    <row r="153" spans="1:53" ht="19.5" customHeight="1">
      <c r="A153" s="1736"/>
      <c r="B153" s="1737"/>
      <c r="C153" s="1737"/>
      <c r="D153" s="1737"/>
      <c r="E153" s="964"/>
      <c r="F153" s="968" t="s">
        <v>1693</v>
      </c>
      <c r="G153" s="965"/>
      <c r="H153" s="965"/>
      <c r="I153" s="965"/>
      <c r="J153" s="965"/>
      <c r="K153" s="965"/>
      <c r="L153" s="965"/>
      <c r="M153" s="965"/>
      <c r="N153" s="965"/>
      <c r="O153" s="965"/>
      <c r="P153" s="965"/>
      <c r="Q153" s="965"/>
      <c r="R153" s="965"/>
      <c r="S153" s="965"/>
      <c r="T153" s="965"/>
      <c r="U153" s="965"/>
      <c r="V153" s="965"/>
      <c r="W153" s="965"/>
      <c r="X153" s="965"/>
      <c r="Y153" s="965"/>
      <c r="Z153" s="966"/>
      <c r="AA153" s="967"/>
      <c r="AB153" s="1744"/>
      <c r="AC153" s="1745"/>
      <c r="AD153" s="1746"/>
      <c r="AE153" s="1747" t="s">
        <v>1373</v>
      </c>
      <c r="AF153" s="1747"/>
      <c r="AG153" s="1747"/>
      <c r="AH153" s="1748">
        <f>IF(AH151-AH150&lt;=0,0,AH151-AH150)</f>
        <v>0</v>
      </c>
      <c r="AI153" s="1748"/>
      <c r="AJ153" s="1748"/>
      <c r="AK153" s="1748"/>
      <c r="AL153" s="1748"/>
      <c r="AM153" s="1748"/>
      <c r="AN153" s="1748"/>
      <c r="AO153" s="1748"/>
      <c r="AP153" s="1748"/>
      <c r="AQ153" s="1748"/>
      <c r="AR153" s="1748">
        <f>IF(AR151-AR150&lt;=0,0,AR151-AR150)</f>
        <v>0</v>
      </c>
      <c r="AS153" s="1748"/>
      <c r="AT153" s="1748"/>
      <c r="AU153" s="1748"/>
      <c r="AV153" s="1748"/>
      <c r="AW153" s="1748"/>
      <c r="AX153" s="1748"/>
      <c r="AY153" s="1748"/>
      <c r="AZ153" s="1748"/>
      <c r="BA153" s="1756"/>
    </row>
    <row r="154" spans="1:53" ht="19.5" customHeight="1">
      <c r="A154" s="1736" t="s">
        <v>1694</v>
      </c>
      <c r="B154" s="1737"/>
      <c r="C154" s="1737"/>
      <c r="D154" s="1737"/>
      <c r="E154" s="964"/>
      <c r="F154" s="965" t="s">
        <v>1695</v>
      </c>
      <c r="G154" s="965"/>
      <c r="H154" s="965"/>
      <c r="I154" s="965"/>
      <c r="J154" s="965"/>
      <c r="K154" s="965"/>
      <c r="L154" s="965"/>
      <c r="M154" s="965"/>
      <c r="N154" s="965"/>
      <c r="O154" s="965"/>
      <c r="P154" s="965"/>
      <c r="Q154" s="965"/>
      <c r="R154" s="965"/>
      <c r="S154" s="965"/>
      <c r="T154" s="965"/>
      <c r="U154" s="965"/>
      <c r="V154" s="965"/>
      <c r="W154" s="965"/>
      <c r="X154" s="965"/>
      <c r="Y154" s="965"/>
      <c r="Z154" s="966"/>
      <c r="AA154" s="967"/>
      <c r="AB154" s="1744"/>
      <c r="AC154" s="1745"/>
      <c r="AD154" s="1746"/>
      <c r="AE154" s="1747" t="s">
        <v>1374</v>
      </c>
      <c r="AF154" s="1747"/>
      <c r="AG154" s="1747"/>
      <c r="AH154" s="1748">
        <f>SUMIF(unos!E:E,AE154,unos!G:G)</f>
        <v>0</v>
      </c>
      <c r="AI154" s="1748"/>
      <c r="AJ154" s="1748"/>
      <c r="AK154" s="1748"/>
      <c r="AL154" s="1748"/>
      <c r="AM154" s="1748"/>
      <c r="AN154" s="1748"/>
      <c r="AO154" s="1748"/>
      <c r="AP154" s="1748"/>
      <c r="AQ154" s="1748"/>
      <c r="AR154" s="1748">
        <f>SUMIF(unos!E:E,AE154,unos!F:F)</f>
        <v>0</v>
      </c>
      <c r="AS154" s="1748"/>
      <c r="AT154" s="1748"/>
      <c r="AU154" s="1748"/>
      <c r="AV154" s="1748"/>
      <c r="AW154" s="1748"/>
      <c r="AX154" s="1748"/>
      <c r="AY154" s="1748"/>
      <c r="AZ154" s="1748"/>
      <c r="BA154" s="1756"/>
    </row>
    <row r="155" spans="1:53" ht="19.5" customHeight="1">
      <c r="A155" s="1736"/>
      <c r="B155" s="1737"/>
      <c r="C155" s="1737"/>
      <c r="D155" s="1737"/>
      <c r="E155" s="964"/>
      <c r="F155" s="968" t="s">
        <v>1696</v>
      </c>
      <c r="G155" s="965"/>
      <c r="H155" s="965"/>
      <c r="I155" s="965"/>
      <c r="J155" s="965"/>
      <c r="K155" s="965"/>
      <c r="L155" s="965"/>
      <c r="M155" s="965"/>
      <c r="N155" s="965"/>
      <c r="O155" s="965"/>
      <c r="P155" s="965"/>
      <c r="Q155" s="965"/>
      <c r="R155" s="965"/>
      <c r="S155" s="965"/>
      <c r="T155" s="965"/>
      <c r="U155" s="965"/>
      <c r="V155" s="965"/>
      <c r="W155" s="965"/>
      <c r="X155" s="965"/>
      <c r="Y155" s="965"/>
      <c r="Z155" s="966"/>
      <c r="AA155" s="967"/>
      <c r="AB155" s="1744"/>
      <c r="AC155" s="1745"/>
      <c r="AD155" s="1746"/>
      <c r="AE155" s="1747" t="s">
        <v>1375</v>
      </c>
      <c r="AF155" s="1747"/>
      <c r="AG155" s="1747"/>
      <c r="AH155" s="1748">
        <f>IF(AH152-AH153-AH154&lt;=0,0,AH152-AH153-AH154)</f>
        <v>0</v>
      </c>
      <c r="AI155" s="1748"/>
      <c r="AJ155" s="1748"/>
      <c r="AK155" s="1748"/>
      <c r="AL155" s="1748"/>
      <c r="AM155" s="1748"/>
      <c r="AN155" s="1748"/>
      <c r="AO155" s="1748"/>
      <c r="AP155" s="1748"/>
      <c r="AQ155" s="1748"/>
      <c r="AR155" s="1748">
        <f>IF(AR152-AR153-AR154&lt;=0,0,AR152-AR153-AR154)</f>
        <v>0</v>
      </c>
      <c r="AS155" s="1748"/>
      <c r="AT155" s="1748"/>
      <c r="AU155" s="1748"/>
      <c r="AV155" s="1748"/>
      <c r="AW155" s="1748"/>
      <c r="AX155" s="1748"/>
      <c r="AY155" s="1748"/>
      <c r="AZ155" s="1748"/>
      <c r="BA155" s="1756"/>
    </row>
    <row r="156" spans="1:53" ht="19.5" customHeight="1">
      <c r="A156" s="1736"/>
      <c r="B156" s="1737"/>
      <c r="C156" s="1737"/>
      <c r="D156" s="1737"/>
      <c r="E156" s="964"/>
      <c r="F156" s="968" t="s">
        <v>1697</v>
      </c>
      <c r="G156" s="965"/>
      <c r="H156" s="965"/>
      <c r="I156" s="965"/>
      <c r="J156" s="965"/>
      <c r="K156" s="965"/>
      <c r="L156" s="965"/>
      <c r="M156" s="965"/>
      <c r="N156" s="965"/>
      <c r="O156" s="965"/>
      <c r="P156" s="965"/>
      <c r="Q156" s="965"/>
      <c r="R156" s="965"/>
      <c r="S156" s="965"/>
      <c r="T156" s="965"/>
      <c r="U156" s="965"/>
      <c r="V156" s="965"/>
      <c r="W156" s="965"/>
      <c r="X156" s="965"/>
      <c r="Y156" s="965"/>
      <c r="Z156" s="966"/>
      <c r="AA156" s="967"/>
      <c r="AB156" s="1744"/>
      <c r="AC156" s="1745"/>
      <c r="AD156" s="1746"/>
      <c r="AE156" s="1747" t="s">
        <v>1376</v>
      </c>
      <c r="AF156" s="1747"/>
      <c r="AG156" s="1747"/>
      <c r="AH156" s="1748">
        <f>IF(AH152-AH153-AH154&gt;=0,0,SUM(AH152-AH153-AH154)*-1)</f>
        <v>0</v>
      </c>
      <c r="AI156" s="1748"/>
      <c r="AJ156" s="1748"/>
      <c r="AK156" s="1748"/>
      <c r="AL156" s="1748"/>
      <c r="AM156" s="1748"/>
      <c r="AN156" s="1748"/>
      <c r="AO156" s="1748"/>
      <c r="AP156" s="1748"/>
      <c r="AQ156" s="1748"/>
      <c r="AR156" s="1748">
        <f>IF(AR152-AR153-AR154&gt;=0,0,SUM(AR152-AR153-AR154)*-1)</f>
        <v>0</v>
      </c>
      <c r="AS156" s="1748"/>
      <c r="AT156" s="1748"/>
      <c r="AU156" s="1748"/>
      <c r="AV156" s="1748"/>
      <c r="AW156" s="1748"/>
      <c r="AX156" s="1748"/>
      <c r="AY156" s="1748"/>
      <c r="AZ156" s="1748"/>
      <c r="BA156" s="1756"/>
    </row>
    <row r="157" spans="1:53" ht="19.5" customHeight="1">
      <c r="A157" s="1736"/>
      <c r="B157" s="1737"/>
      <c r="C157" s="1737"/>
      <c r="D157" s="1737"/>
      <c r="E157" s="977"/>
      <c r="F157" s="978" t="s">
        <v>1698</v>
      </c>
      <c r="G157" s="978"/>
      <c r="H157" s="978"/>
      <c r="I157" s="978"/>
      <c r="J157" s="978"/>
      <c r="K157" s="978"/>
      <c r="L157" s="978"/>
      <c r="M157" s="978"/>
      <c r="N157" s="978"/>
      <c r="O157" s="978"/>
      <c r="P157" s="978"/>
      <c r="Q157" s="978"/>
      <c r="R157" s="978"/>
      <c r="S157" s="978"/>
      <c r="T157" s="978"/>
      <c r="U157" s="965"/>
      <c r="V157" s="965"/>
      <c r="W157" s="965"/>
      <c r="X157" s="965"/>
      <c r="Y157" s="965"/>
      <c r="Z157" s="966"/>
      <c r="AA157" s="967"/>
      <c r="AB157" s="1744"/>
      <c r="AC157" s="1745"/>
      <c r="AD157" s="1746"/>
      <c r="AE157" s="1747"/>
      <c r="AF157" s="1747"/>
      <c r="AG157" s="1747"/>
      <c r="AH157" s="1748"/>
      <c r="AI157" s="1748"/>
      <c r="AJ157" s="1748"/>
      <c r="AK157" s="1748"/>
      <c r="AL157" s="1748"/>
      <c r="AM157" s="1748"/>
      <c r="AN157" s="1748"/>
      <c r="AO157" s="1748"/>
      <c r="AP157" s="1748"/>
      <c r="AQ157" s="1748"/>
      <c r="AR157" s="1748"/>
      <c r="AS157" s="1748"/>
      <c r="AT157" s="1748"/>
      <c r="AU157" s="1748"/>
      <c r="AV157" s="1748"/>
      <c r="AW157" s="1748"/>
      <c r="AX157" s="1748"/>
      <c r="AY157" s="1748"/>
      <c r="AZ157" s="1748"/>
      <c r="BA157" s="1756"/>
    </row>
    <row r="158" spans="1:53" ht="19.5" customHeight="1">
      <c r="A158" s="1736"/>
      <c r="B158" s="1737"/>
      <c r="C158" s="1737"/>
      <c r="D158" s="1737"/>
      <c r="E158" s="964"/>
      <c r="F158" s="968" t="s">
        <v>1699</v>
      </c>
      <c r="G158" s="965"/>
      <c r="H158" s="965"/>
      <c r="I158" s="965"/>
      <c r="J158" s="965"/>
      <c r="K158" s="965"/>
      <c r="L158" s="965"/>
      <c r="M158" s="965"/>
      <c r="N158" s="965"/>
      <c r="O158" s="965"/>
      <c r="P158" s="965"/>
      <c r="Q158" s="965"/>
      <c r="R158" s="965"/>
      <c r="S158" s="965"/>
      <c r="T158" s="965"/>
      <c r="U158" s="965"/>
      <c r="V158" s="965"/>
      <c r="W158" s="965"/>
      <c r="X158" s="965"/>
      <c r="Y158" s="965"/>
      <c r="Z158" s="966"/>
      <c r="AA158" s="967"/>
      <c r="AB158" s="1744"/>
      <c r="AC158" s="1745"/>
      <c r="AD158" s="1746"/>
      <c r="AE158" s="1747" t="s">
        <v>1377</v>
      </c>
      <c r="AF158" s="1747"/>
      <c r="AG158" s="1747"/>
      <c r="AH158" s="1748">
        <f>IF(AH147-AH148+AH155-AH156&lt;=0,0,AH147-AH148+AH155-AH156)</f>
        <v>0</v>
      </c>
      <c r="AI158" s="1748"/>
      <c r="AJ158" s="1748"/>
      <c r="AK158" s="1748"/>
      <c r="AL158" s="1748"/>
      <c r="AM158" s="1748"/>
      <c r="AN158" s="1748"/>
      <c r="AO158" s="1748"/>
      <c r="AP158" s="1748"/>
      <c r="AQ158" s="1748"/>
      <c r="AR158" s="1748">
        <f>IF(AR147-AR148+AR155-AR156&lt;=0,0,AR147-AR148+AR155-AR156)</f>
        <v>0</v>
      </c>
      <c r="AS158" s="1748"/>
      <c r="AT158" s="1748"/>
      <c r="AU158" s="1748"/>
      <c r="AV158" s="1748"/>
      <c r="AW158" s="1748"/>
      <c r="AX158" s="1748"/>
      <c r="AY158" s="1748"/>
      <c r="AZ158" s="1748"/>
      <c r="BA158" s="1756"/>
    </row>
    <row r="159" spans="1:53" ht="19.5" customHeight="1">
      <c r="A159" s="1736"/>
      <c r="B159" s="1737"/>
      <c r="C159" s="1737"/>
      <c r="D159" s="1737"/>
      <c r="E159" s="964"/>
      <c r="F159" s="968" t="s">
        <v>1700</v>
      </c>
      <c r="G159" s="965"/>
      <c r="H159" s="965"/>
      <c r="I159" s="965"/>
      <c r="J159" s="965"/>
      <c r="K159" s="965"/>
      <c r="L159" s="965"/>
      <c r="M159" s="965"/>
      <c r="N159" s="965"/>
      <c r="O159" s="965"/>
      <c r="P159" s="965"/>
      <c r="Q159" s="965"/>
      <c r="R159" s="965"/>
      <c r="S159" s="965"/>
      <c r="T159" s="965"/>
      <c r="U159" s="965"/>
      <c r="V159" s="965"/>
      <c r="W159" s="965"/>
      <c r="X159" s="965"/>
      <c r="Y159" s="965"/>
      <c r="Z159" s="966"/>
      <c r="AA159" s="967"/>
      <c r="AB159" s="1744"/>
      <c r="AC159" s="1745"/>
      <c r="AD159" s="1746"/>
      <c r="AE159" s="1747" t="s">
        <v>1378</v>
      </c>
      <c r="AF159" s="1747"/>
      <c r="AG159" s="1747"/>
      <c r="AH159" s="1748">
        <f>IF(AH147-AH148+AH155-AH156&gt;=0,0,SUM(AH147-AH148+AH155-AH156)*-1)</f>
        <v>0</v>
      </c>
      <c r="AI159" s="1748"/>
      <c r="AJ159" s="1748"/>
      <c r="AK159" s="1748"/>
      <c r="AL159" s="1748"/>
      <c r="AM159" s="1748"/>
      <c r="AN159" s="1748"/>
      <c r="AO159" s="1748"/>
      <c r="AP159" s="1748"/>
      <c r="AQ159" s="1748"/>
      <c r="AR159" s="1748">
        <f>IF(AR147-AR148+AR155-AR156&gt;=0,0,SUM(AR147-AR148+AR155-AR156)*-1)</f>
        <v>0</v>
      </c>
      <c r="AS159" s="1748"/>
      <c r="AT159" s="1748"/>
      <c r="AU159" s="1748"/>
      <c r="AV159" s="1748"/>
      <c r="AW159" s="1748"/>
      <c r="AX159" s="1748"/>
      <c r="AY159" s="1748"/>
      <c r="AZ159" s="1748"/>
      <c r="BA159" s="1756"/>
    </row>
    <row r="160" spans="1:53" ht="19.5" customHeight="1" thickBot="1">
      <c r="A160" s="1742" t="s">
        <v>2384</v>
      </c>
      <c r="B160" s="1743"/>
      <c r="C160" s="1743"/>
      <c r="D160" s="1743"/>
      <c r="E160" s="969" t="s">
        <v>1701</v>
      </c>
      <c r="F160" s="970"/>
      <c r="G160" s="970"/>
      <c r="H160" s="970"/>
      <c r="I160" s="970"/>
      <c r="J160" s="970"/>
      <c r="K160" s="970"/>
      <c r="L160" s="970"/>
      <c r="M160" s="970"/>
      <c r="N160" s="970"/>
      <c r="O160" s="970"/>
      <c r="P160" s="970"/>
      <c r="Q160" s="970"/>
      <c r="R160" s="970"/>
      <c r="S160" s="970"/>
      <c r="T160" s="970"/>
      <c r="U160" s="970"/>
      <c r="V160" s="970"/>
      <c r="W160" s="970"/>
      <c r="X160" s="970"/>
      <c r="Y160" s="970"/>
      <c r="Z160" s="971"/>
      <c r="AA160" s="972"/>
      <c r="AB160" s="1749"/>
      <c r="AC160" s="1750"/>
      <c r="AD160" s="1751"/>
      <c r="AE160" s="1752" t="s">
        <v>1379</v>
      </c>
      <c r="AF160" s="1752"/>
      <c r="AG160" s="1752"/>
      <c r="AH160" s="1734">
        <f>SUMIF(unos!E:E,AE160,unos!G:G)</f>
        <v>0</v>
      </c>
      <c r="AI160" s="1734"/>
      <c r="AJ160" s="1734"/>
      <c r="AK160" s="1734"/>
      <c r="AL160" s="1734"/>
      <c r="AM160" s="1734"/>
      <c r="AN160" s="1734"/>
      <c r="AO160" s="1734"/>
      <c r="AP160" s="1734"/>
      <c r="AQ160" s="1734"/>
      <c r="AR160" s="1734">
        <f>SUMIF(unos!E:E,AE160,unos!F:F)</f>
        <v>0</v>
      </c>
      <c r="AS160" s="1734"/>
      <c r="AT160" s="1734"/>
      <c r="AU160" s="1734"/>
      <c r="AV160" s="1734"/>
      <c r="AW160" s="1734"/>
      <c r="AX160" s="1734"/>
      <c r="AY160" s="1734"/>
      <c r="AZ160" s="1734"/>
      <c r="BA160" s="1735"/>
    </row>
    <row r="161" spans="1:53" s="947" customFormat="1" ht="15.75" customHeight="1">
      <c r="A161" s="1738"/>
      <c r="B161" s="1738"/>
      <c r="C161" s="1738"/>
      <c r="D161" s="1738"/>
      <c r="E161" s="1771"/>
      <c r="F161" s="1771"/>
      <c r="G161" s="1771"/>
      <c r="H161" s="1771"/>
      <c r="I161" s="1771"/>
      <c r="J161" s="1771"/>
      <c r="K161" s="1771"/>
      <c r="L161" s="1771"/>
      <c r="M161" s="1771"/>
      <c r="N161" s="1771"/>
      <c r="O161" s="1771"/>
      <c r="P161" s="1771"/>
      <c r="Q161" s="1771"/>
      <c r="R161" s="1771"/>
      <c r="S161" s="1771"/>
      <c r="T161" s="1771"/>
      <c r="U161" s="1757"/>
      <c r="V161" s="1757"/>
      <c r="W161" s="1757"/>
      <c r="X161" s="1757"/>
      <c r="Y161" s="1757"/>
      <c r="Z161" s="1769"/>
      <c r="AA161" s="1769"/>
      <c r="AB161" s="1769"/>
      <c r="AC161" s="1769"/>
      <c r="AD161" s="1769"/>
      <c r="AE161" s="1769"/>
      <c r="AF161" s="1769"/>
      <c r="AG161" s="1769"/>
      <c r="AH161" s="1769"/>
      <c r="AI161" s="1769"/>
      <c r="AJ161" s="1769"/>
      <c r="AK161" s="1769"/>
      <c r="AL161" s="1769"/>
      <c r="AM161" s="1769"/>
      <c r="AN161" s="1769"/>
      <c r="AO161" s="1769"/>
      <c r="AP161" s="1769"/>
      <c r="AQ161" s="1769"/>
      <c r="AR161" s="1769"/>
      <c r="AS161" s="1769"/>
      <c r="AT161" s="1769"/>
      <c r="AU161" s="1774" t="s">
        <v>922</v>
      </c>
      <c r="AV161" s="1774"/>
      <c r="AW161" s="1774"/>
      <c r="AX161" s="1774"/>
      <c r="AY161" s="1774"/>
      <c r="AZ161" s="1774"/>
      <c r="BA161" s="1774"/>
    </row>
    <row r="162" spans="1:53" s="947" customFormat="1" ht="15.75" customHeight="1" thickBot="1">
      <c r="A162" s="940"/>
      <c r="B162" s="940"/>
      <c r="C162" s="940"/>
      <c r="D162" s="940"/>
      <c r="E162" s="936"/>
      <c r="F162" s="936"/>
      <c r="G162" s="936"/>
      <c r="H162" s="936"/>
      <c r="I162" s="936"/>
      <c r="J162" s="936"/>
      <c r="K162" s="936"/>
      <c r="L162" s="936"/>
      <c r="M162" s="936"/>
      <c r="N162" s="936"/>
      <c r="O162" s="936"/>
      <c r="P162" s="936"/>
      <c r="Q162" s="936"/>
      <c r="R162" s="936"/>
      <c r="S162" s="936"/>
      <c r="T162" s="936"/>
      <c r="U162" s="939"/>
      <c r="V162" s="939"/>
      <c r="W162" s="939"/>
      <c r="X162" s="939"/>
      <c r="Y162" s="939"/>
      <c r="Z162" s="938"/>
      <c r="AA162" s="938"/>
      <c r="AB162" s="938"/>
      <c r="AC162" s="938"/>
      <c r="AD162" s="938"/>
      <c r="AE162" s="938"/>
      <c r="AF162" s="938"/>
      <c r="AG162" s="938"/>
      <c r="AH162" s="938"/>
      <c r="AI162" s="938"/>
      <c r="AJ162" s="938"/>
      <c r="AK162" s="938"/>
      <c r="AL162" s="938"/>
      <c r="AM162" s="938"/>
      <c r="AN162" s="938"/>
      <c r="AO162" s="938"/>
      <c r="AP162" s="938"/>
      <c r="AQ162" s="938"/>
      <c r="AR162" s="938"/>
      <c r="AS162" s="938"/>
      <c r="AT162" s="938"/>
      <c r="AU162" s="938"/>
      <c r="AV162" s="938"/>
      <c r="AW162" s="938"/>
      <c r="AX162" s="938"/>
      <c r="AY162" s="938"/>
      <c r="AZ162" s="938"/>
      <c r="BA162" s="938"/>
    </row>
    <row r="163" spans="1:53" ht="18" customHeight="1" thickBot="1">
      <c r="A163" s="1764" t="s">
        <v>522</v>
      </c>
      <c r="B163" s="1765"/>
      <c r="C163" s="1765"/>
      <c r="D163" s="1765"/>
      <c r="E163" s="1766">
        <v>2</v>
      </c>
      <c r="F163" s="1767"/>
      <c r="G163" s="1767"/>
      <c r="H163" s="1767"/>
      <c r="I163" s="1767"/>
      <c r="J163" s="1767"/>
      <c r="K163" s="1767"/>
      <c r="L163" s="1767"/>
      <c r="M163" s="1767"/>
      <c r="N163" s="1767"/>
      <c r="O163" s="1767"/>
      <c r="P163" s="1767"/>
      <c r="Q163" s="1767"/>
      <c r="R163" s="1767"/>
      <c r="S163" s="1767"/>
      <c r="T163" s="1767"/>
      <c r="U163" s="956"/>
      <c r="V163" s="956"/>
      <c r="W163" s="956"/>
      <c r="X163" s="956"/>
      <c r="Y163" s="956"/>
      <c r="Z163" s="956"/>
      <c r="AA163" s="957"/>
      <c r="AB163" s="1766">
        <v>3</v>
      </c>
      <c r="AC163" s="1767"/>
      <c r="AD163" s="1768"/>
      <c r="AE163" s="1766">
        <v>4</v>
      </c>
      <c r="AF163" s="1767"/>
      <c r="AG163" s="1768"/>
      <c r="AH163" s="1766">
        <v>5</v>
      </c>
      <c r="AI163" s="1767"/>
      <c r="AJ163" s="1767"/>
      <c r="AK163" s="1767"/>
      <c r="AL163" s="1767"/>
      <c r="AM163" s="1767"/>
      <c r="AN163" s="1767"/>
      <c r="AO163" s="1767"/>
      <c r="AP163" s="1767"/>
      <c r="AQ163" s="1768"/>
      <c r="AR163" s="1766">
        <v>6</v>
      </c>
      <c r="AS163" s="1767"/>
      <c r="AT163" s="1767"/>
      <c r="AU163" s="1767"/>
      <c r="AV163" s="1767"/>
      <c r="AW163" s="1767"/>
      <c r="AX163" s="1767"/>
      <c r="AY163" s="1767"/>
      <c r="AZ163" s="1767"/>
      <c r="BA163" s="1770"/>
    </row>
    <row r="164" spans="1:53" ht="21.75" customHeight="1">
      <c r="A164" s="1736"/>
      <c r="B164" s="1737"/>
      <c r="C164" s="1737"/>
      <c r="D164" s="1737"/>
      <c r="E164" s="973"/>
      <c r="F164" s="959" t="s">
        <v>1702</v>
      </c>
      <c r="G164" s="960"/>
      <c r="H164" s="960"/>
      <c r="I164" s="960"/>
      <c r="J164" s="960"/>
      <c r="K164" s="960"/>
      <c r="L164" s="960"/>
      <c r="M164" s="960"/>
      <c r="N164" s="960"/>
      <c r="O164" s="960"/>
      <c r="P164" s="960"/>
      <c r="Q164" s="960"/>
      <c r="R164" s="960"/>
      <c r="S164" s="960"/>
      <c r="T164" s="960"/>
      <c r="U164" s="960"/>
      <c r="V164" s="960"/>
      <c r="W164" s="960"/>
      <c r="X164" s="960"/>
      <c r="Y164" s="960"/>
      <c r="Z164" s="974"/>
      <c r="AA164" s="975"/>
      <c r="AB164" s="1744"/>
      <c r="AC164" s="1745"/>
      <c r="AD164" s="1746"/>
      <c r="AE164" s="1747"/>
      <c r="AF164" s="1747"/>
      <c r="AG164" s="1747"/>
      <c r="AH164" s="1748"/>
      <c r="AI164" s="1748"/>
      <c r="AJ164" s="1748"/>
      <c r="AK164" s="1748"/>
      <c r="AL164" s="1748"/>
      <c r="AM164" s="1748"/>
      <c r="AN164" s="1748"/>
      <c r="AO164" s="1748"/>
      <c r="AP164" s="1748"/>
      <c r="AQ164" s="1748"/>
      <c r="AR164" s="1748"/>
      <c r="AS164" s="1748"/>
      <c r="AT164" s="1748"/>
      <c r="AU164" s="1748"/>
      <c r="AV164" s="1748"/>
      <c r="AW164" s="1748"/>
      <c r="AX164" s="1748"/>
      <c r="AY164" s="1748"/>
      <c r="AZ164" s="1748"/>
      <c r="BA164" s="1756"/>
    </row>
    <row r="165" spans="1:53" ht="21.75" customHeight="1">
      <c r="A165" s="1736"/>
      <c r="B165" s="1737"/>
      <c r="C165" s="1737"/>
      <c r="D165" s="1737"/>
      <c r="E165" s="964"/>
      <c r="F165" s="965" t="s">
        <v>910</v>
      </c>
      <c r="G165" s="965"/>
      <c r="H165" s="965"/>
      <c r="I165" s="965"/>
      <c r="J165" s="965"/>
      <c r="K165" s="965"/>
      <c r="L165" s="965"/>
      <c r="M165" s="965"/>
      <c r="N165" s="965"/>
      <c r="O165" s="965"/>
      <c r="P165" s="965"/>
      <c r="Q165" s="965"/>
      <c r="R165" s="965"/>
      <c r="S165" s="965"/>
      <c r="T165" s="965"/>
      <c r="U165" s="965"/>
      <c r="V165" s="965"/>
      <c r="W165" s="965"/>
      <c r="X165" s="965"/>
      <c r="Y165" s="965"/>
      <c r="Z165" s="966"/>
      <c r="AA165" s="967"/>
      <c r="AB165" s="1744"/>
      <c r="AC165" s="1745"/>
      <c r="AD165" s="1746"/>
      <c r="AE165" s="1747" t="s">
        <v>1380</v>
      </c>
      <c r="AF165" s="1747"/>
      <c r="AG165" s="1747"/>
      <c r="AH165" s="1748">
        <f>SUM(AH166:AQ171)</f>
        <v>0</v>
      </c>
      <c r="AI165" s="1748"/>
      <c r="AJ165" s="1748"/>
      <c r="AK165" s="1748"/>
      <c r="AL165" s="1748"/>
      <c r="AM165" s="1748"/>
      <c r="AN165" s="1748"/>
      <c r="AO165" s="1748"/>
      <c r="AP165" s="1748"/>
      <c r="AQ165" s="1748"/>
      <c r="AR165" s="1748">
        <f>SUM(AR166:BA171)</f>
        <v>0</v>
      </c>
      <c r="AS165" s="1748"/>
      <c r="AT165" s="1748"/>
      <c r="AU165" s="1748"/>
      <c r="AV165" s="1748"/>
      <c r="AW165" s="1748"/>
      <c r="AX165" s="1748"/>
      <c r="AY165" s="1748"/>
      <c r="AZ165" s="1748"/>
      <c r="BA165" s="1756"/>
    </row>
    <row r="166" spans="1:53" ht="21.75" customHeight="1">
      <c r="A166" s="1736"/>
      <c r="B166" s="1737"/>
      <c r="C166" s="1737"/>
      <c r="D166" s="1737"/>
      <c r="E166" s="964" t="s">
        <v>673</v>
      </c>
      <c r="F166" s="965" t="s">
        <v>1703</v>
      </c>
      <c r="G166" s="976"/>
      <c r="H166" s="976"/>
      <c r="I166" s="976"/>
      <c r="J166" s="976"/>
      <c r="K166" s="976"/>
      <c r="L166" s="976"/>
      <c r="M166" s="976"/>
      <c r="N166" s="976"/>
      <c r="O166" s="976"/>
      <c r="P166" s="976"/>
      <c r="Q166" s="976"/>
      <c r="R166" s="976"/>
      <c r="S166" s="976"/>
      <c r="T166" s="976"/>
      <c r="U166" s="965"/>
      <c r="V166" s="965"/>
      <c r="W166" s="965"/>
      <c r="X166" s="965"/>
      <c r="Y166" s="965"/>
      <c r="Z166" s="966"/>
      <c r="AA166" s="967"/>
      <c r="AB166" s="1744"/>
      <c r="AC166" s="1745"/>
      <c r="AD166" s="1746"/>
      <c r="AE166" s="1747" t="s">
        <v>1381</v>
      </c>
      <c r="AF166" s="1747"/>
      <c r="AG166" s="1747"/>
      <c r="AH166" s="1748">
        <f>SUMIF(unos!E:E,AE166,unos!G:G)</f>
        <v>0</v>
      </c>
      <c r="AI166" s="1748"/>
      <c r="AJ166" s="1748"/>
      <c r="AK166" s="1748"/>
      <c r="AL166" s="1748"/>
      <c r="AM166" s="1748"/>
      <c r="AN166" s="1748"/>
      <c r="AO166" s="1748"/>
      <c r="AP166" s="1748"/>
      <c r="AQ166" s="1748"/>
      <c r="AR166" s="1748">
        <f>SUMIF(unos!E:E,AE166,unos!F:F)</f>
        <v>0</v>
      </c>
      <c r="AS166" s="1748"/>
      <c r="AT166" s="1748"/>
      <c r="AU166" s="1748"/>
      <c r="AV166" s="1748"/>
      <c r="AW166" s="1748"/>
      <c r="AX166" s="1748"/>
      <c r="AY166" s="1748"/>
      <c r="AZ166" s="1748"/>
      <c r="BA166" s="1756"/>
    </row>
    <row r="167" spans="1:53" ht="21.75" customHeight="1">
      <c r="A167" s="1736"/>
      <c r="B167" s="1737"/>
      <c r="C167" s="1737"/>
      <c r="D167" s="1737"/>
      <c r="E167" s="964" t="s">
        <v>674</v>
      </c>
      <c r="F167" s="978" t="s">
        <v>1704</v>
      </c>
      <c r="G167" s="965"/>
      <c r="H167" s="965"/>
      <c r="I167" s="965"/>
      <c r="J167" s="965"/>
      <c r="K167" s="965"/>
      <c r="L167" s="965"/>
      <c r="M167" s="965"/>
      <c r="N167" s="965"/>
      <c r="O167" s="965"/>
      <c r="P167" s="965"/>
      <c r="Q167" s="965"/>
      <c r="R167" s="965"/>
      <c r="S167" s="965"/>
      <c r="T167" s="965"/>
      <c r="U167" s="965"/>
      <c r="V167" s="965"/>
      <c r="W167" s="965"/>
      <c r="X167" s="965"/>
      <c r="Y167" s="965"/>
      <c r="Z167" s="966"/>
      <c r="AA167" s="967"/>
      <c r="AB167" s="1744"/>
      <c r="AC167" s="1745"/>
      <c r="AD167" s="1746"/>
      <c r="AE167" s="1747" t="s">
        <v>1382</v>
      </c>
      <c r="AF167" s="1747"/>
      <c r="AG167" s="1747"/>
      <c r="AH167" s="1748">
        <f>SUMIF(unos!E:E,AE167,unos!G:G)</f>
        <v>0</v>
      </c>
      <c r="AI167" s="1748"/>
      <c r="AJ167" s="1748"/>
      <c r="AK167" s="1748"/>
      <c r="AL167" s="1748"/>
      <c r="AM167" s="1748"/>
      <c r="AN167" s="1748"/>
      <c r="AO167" s="1748"/>
      <c r="AP167" s="1748"/>
      <c r="AQ167" s="1748"/>
      <c r="AR167" s="1748">
        <f>SUMIF(unos!E:E,AE167,unos!F:F)</f>
        <v>0</v>
      </c>
      <c r="AS167" s="1748"/>
      <c r="AT167" s="1748"/>
      <c r="AU167" s="1748"/>
      <c r="AV167" s="1748"/>
      <c r="AW167" s="1748"/>
      <c r="AX167" s="1748"/>
      <c r="AY167" s="1748"/>
      <c r="AZ167" s="1748"/>
      <c r="BA167" s="1756"/>
    </row>
    <row r="168" spans="1:53" ht="21.75" customHeight="1">
      <c r="A168" s="1736"/>
      <c r="B168" s="1737"/>
      <c r="C168" s="1737"/>
      <c r="D168" s="1737"/>
      <c r="E168" s="964" t="s">
        <v>675</v>
      </c>
      <c r="F168" s="978" t="s">
        <v>1705</v>
      </c>
      <c r="G168" s="965"/>
      <c r="H168" s="965"/>
      <c r="I168" s="965"/>
      <c r="J168" s="965"/>
      <c r="K168" s="965"/>
      <c r="L168" s="965"/>
      <c r="M168" s="965"/>
      <c r="N168" s="965"/>
      <c r="O168" s="965"/>
      <c r="P168" s="965"/>
      <c r="Q168" s="965"/>
      <c r="R168" s="965"/>
      <c r="S168" s="965"/>
      <c r="T168" s="965"/>
      <c r="U168" s="965"/>
      <c r="V168" s="965"/>
      <c r="W168" s="965"/>
      <c r="X168" s="965"/>
      <c r="Y168" s="965"/>
      <c r="Z168" s="966"/>
      <c r="AA168" s="967"/>
      <c r="AB168" s="1744"/>
      <c r="AC168" s="1745"/>
      <c r="AD168" s="1746"/>
      <c r="AE168" s="1747" t="s">
        <v>1383</v>
      </c>
      <c r="AF168" s="1747"/>
      <c r="AG168" s="1747"/>
      <c r="AH168" s="1748">
        <f>SUMIF(unos!E:E,AE168,unos!G:G)</f>
        <v>0</v>
      </c>
      <c r="AI168" s="1748"/>
      <c r="AJ168" s="1748"/>
      <c r="AK168" s="1748"/>
      <c r="AL168" s="1748"/>
      <c r="AM168" s="1748"/>
      <c r="AN168" s="1748"/>
      <c r="AO168" s="1748"/>
      <c r="AP168" s="1748"/>
      <c r="AQ168" s="1748"/>
      <c r="AR168" s="1748">
        <f>SUMIF(unos!E:E,AE168,unos!F:F)</f>
        <v>0</v>
      </c>
      <c r="AS168" s="1748"/>
      <c r="AT168" s="1748"/>
      <c r="AU168" s="1748"/>
      <c r="AV168" s="1748"/>
      <c r="AW168" s="1748"/>
      <c r="AX168" s="1748"/>
      <c r="AY168" s="1748"/>
      <c r="AZ168" s="1748"/>
      <c r="BA168" s="1756"/>
    </row>
    <row r="169" spans="1:53" ht="21.75" customHeight="1">
      <c r="A169" s="1736"/>
      <c r="B169" s="1737"/>
      <c r="C169" s="1737"/>
      <c r="D169" s="1737"/>
      <c r="E169" s="964" t="s">
        <v>676</v>
      </c>
      <c r="F169" s="965" t="s">
        <v>1706</v>
      </c>
      <c r="G169" s="965"/>
      <c r="H169" s="965"/>
      <c r="I169" s="965"/>
      <c r="J169" s="965"/>
      <c r="K169" s="965"/>
      <c r="L169" s="965"/>
      <c r="M169" s="965"/>
      <c r="N169" s="965"/>
      <c r="O169" s="965"/>
      <c r="P169" s="965"/>
      <c r="Q169" s="965"/>
      <c r="R169" s="965"/>
      <c r="S169" s="965"/>
      <c r="T169" s="965"/>
      <c r="U169" s="965"/>
      <c r="V169" s="965"/>
      <c r="W169" s="965"/>
      <c r="X169" s="965"/>
      <c r="Y169" s="965"/>
      <c r="Z169" s="966"/>
      <c r="AA169" s="967"/>
      <c r="AB169" s="1744"/>
      <c r="AC169" s="1745"/>
      <c r="AD169" s="1746"/>
      <c r="AE169" s="1747" t="s">
        <v>1384</v>
      </c>
      <c r="AF169" s="1747"/>
      <c r="AG169" s="1747"/>
      <c r="AH169" s="1748">
        <f>SUMIF(unos!E:E,AE169,unos!G:G)</f>
        <v>0</v>
      </c>
      <c r="AI169" s="1748"/>
      <c r="AJ169" s="1748"/>
      <c r="AK169" s="1748"/>
      <c r="AL169" s="1748"/>
      <c r="AM169" s="1748"/>
      <c r="AN169" s="1748"/>
      <c r="AO169" s="1748"/>
      <c r="AP169" s="1748"/>
      <c r="AQ169" s="1748"/>
      <c r="AR169" s="1748">
        <f>SUMIF(unos!E:E,AE169,unos!F:F)</f>
        <v>0</v>
      </c>
      <c r="AS169" s="1748"/>
      <c r="AT169" s="1748"/>
      <c r="AU169" s="1748"/>
      <c r="AV169" s="1748"/>
      <c r="AW169" s="1748"/>
      <c r="AX169" s="1748"/>
      <c r="AY169" s="1748"/>
      <c r="AZ169" s="1748"/>
      <c r="BA169" s="1756"/>
    </row>
    <row r="170" spans="1:53" ht="21.75" customHeight="1">
      <c r="A170" s="1736"/>
      <c r="B170" s="1737"/>
      <c r="C170" s="1737"/>
      <c r="D170" s="1737"/>
      <c r="E170" s="964" t="s">
        <v>677</v>
      </c>
      <c r="F170" s="965" t="s">
        <v>1707</v>
      </c>
      <c r="G170" s="965"/>
      <c r="H170" s="965"/>
      <c r="I170" s="965"/>
      <c r="J170" s="965"/>
      <c r="K170" s="965"/>
      <c r="L170" s="965"/>
      <c r="M170" s="965"/>
      <c r="N170" s="965"/>
      <c r="O170" s="965"/>
      <c r="P170" s="965"/>
      <c r="Q170" s="965"/>
      <c r="R170" s="965"/>
      <c r="S170" s="965"/>
      <c r="T170" s="965"/>
      <c r="U170" s="965"/>
      <c r="V170" s="965"/>
      <c r="W170" s="965"/>
      <c r="X170" s="965"/>
      <c r="Y170" s="965"/>
      <c r="Z170" s="966"/>
      <c r="AA170" s="967"/>
      <c r="AB170" s="1744"/>
      <c r="AC170" s="1745"/>
      <c r="AD170" s="1746"/>
      <c r="AE170" s="1747" t="s">
        <v>1385</v>
      </c>
      <c r="AF170" s="1747"/>
      <c r="AG170" s="1747"/>
      <c r="AH170" s="1748">
        <f>SUMIF(unos!E:E,AE170,unos!G:G)</f>
        <v>0</v>
      </c>
      <c r="AI170" s="1748"/>
      <c r="AJ170" s="1748"/>
      <c r="AK170" s="1748"/>
      <c r="AL170" s="1748"/>
      <c r="AM170" s="1748"/>
      <c r="AN170" s="1748"/>
      <c r="AO170" s="1748"/>
      <c r="AP170" s="1748"/>
      <c r="AQ170" s="1748"/>
      <c r="AR170" s="1748">
        <f>SUMIF(unos!E:E,AE170,unos!F:F)</f>
        <v>0</v>
      </c>
      <c r="AS170" s="1748"/>
      <c r="AT170" s="1748"/>
      <c r="AU170" s="1748"/>
      <c r="AV170" s="1748"/>
      <c r="AW170" s="1748"/>
      <c r="AX170" s="1748"/>
      <c r="AY170" s="1748"/>
      <c r="AZ170" s="1748"/>
      <c r="BA170" s="1756"/>
    </row>
    <row r="171" spans="1:53" ht="21.75" customHeight="1">
      <c r="A171" s="1736"/>
      <c r="B171" s="1737"/>
      <c r="C171" s="1737"/>
      <c r="D171" s="1737"/>
      <c r="E171" s="964" t="s">
        <v>678</v>
      </c>
      <c r="F171" s="965" t="s">
        <v>1708</v>
      </c>
      <c r="G171" s="965"/>
      <c r="H171" s="965"/>
      <c r="I171" s="965"/>
      <c r="J171" s="965"/>
      <c r="K171" s="965"/>
      <c r="L171" s="965"/>
      <c r="M171" s="965"/>
      <c r="N171" s="965"/>
      <c r="O171" s="965"/>
      <c r="P171" s="965"/>
      <c r="Q171" s="965"/>
      <c r="R171" s="965"/>
      <c r="S171" s="965"/>
      <c r="T171" s="965"/>
      <c r="U171" s="965"/>
      <c r="V171" s="965"/>
      <c r="W171" s="965"/>
      <c r="X171" s="965"/>
      <c r="Y171" s="965"/>
      <c r="Z171" s="966"/>
      <c r="AA171" s="967"/>
      <c r="AB171" s="1744"/>
      <c r="AC171" s="1745"/>
      <c r="AD171" s="1746"/>
      <c r="AE171" s="1747" t="s">
        <v>1386</v>
      </c>
      <c r="AF171" s="1747"/>
      <c r="AG171" s="1747"/>
      <c r="AH171" s="1748">
        <f>SUMIF(unos!E:E,AE171,unos!G:G)</f>
        <v>0</v>
      </c>
      <c r="AI171" s="1748"/>
      <c r="AJ171" s="1748"/>
      <c r="AK171" s="1748"/>
      <c r="AL171" s="1748"/>
      <c r="AM171" s="1748"/>
      <c r="AN171" s="1748"/>
      <c r="AO171" s="1748"/>
      <c r="AP171" s="1748"/>
      <c r="AQ171" s="1748"/>
      <c r="AR171" s="1748">
        <f>SUMIF(unos!E:E,AE171,unos!F:F)</f>
        <v>0</v>
      </c>
      <c r="AS171" s="1748"/>
      <c r="AT171" s="1748"/>
      <c r="AU171" s="1748"/>
      <c r="AV171" s="1748"/>
      <c r="AW171" s="1748"/>
      <c r="AX171" s="1748"/>
      <c r="AY171" s="1748"/>
      <c r="AZ171" s="1748"/>
      <c r="BA171" s="1756"/>
    </row>
    <row r="172" spans="1:53" ht="21.75" customHeight="1">
      <c r="A172" s="1736"/>
      <c r="B172" s="1737"/>
      <c r="C172" s="1737"/>
      <c r="D172" s="1737"/>
      <c r="E172" s="964"/>
      <c r="F172" s="965" t="s">
        <v>1709</v>
      </c>
      <c r="G172" s="965"/>
      <c r="H172" s="965"/>
      <c r="I172" s="965"/>
      <c r="J172" s="965"/>
      <c r="K172" s="965"/>
      <c r="L172" s="965"/>
      <c r="M172" s="965"/>
      <c r="N172" s="965"/>
      <c r="O172" s="965"/>
      <c r="P172" s="965"/>
      <c r="Q172" s="965"/>
      <c r="R172" s="965"/>
      <c r="S172" s="965"/>
      <c r="T172" s="965"/>
      <c r="U172" s="965"/>
      <c r="V172" s="965"/>
      <c r="W172" s="965"/>
      <c r="X172" s="965"/>
      <c r="Y172" s="965"/>
      <c r="Z172" s="966"/>
      <c r="AA172" s="967"/>
      <c r="AB172" s="1744"/>
      <c r="AC172" s="1745"/>
      <c r="AD172" s="1746"/>
      <c r="AE172" s="1747" t="s">
        <v>1387</v>
      </c>
      <c r="AF172" s="1747"/>
      <c r="AG172" s="1747"/>
      <c r="AH172" s="1748">
        <f>SUM(AH173:AQ177)</f>
        <v>0</v>
      </c>
      <c r="AI172" s="1748"/>
      <c r="AJ172" s="1748"/>
      <c r="AK172" s="1748"/>
      <c r="AL172" s="1748"/>
      <c r="AM172" s="1748"/>
      <c r="AN172" s="1748"/>
      <c r="AO172" s="1748"/>
      <c r="AP172" s="1748"/>
      <c r="AQ172" s="1748"/>
      <c r="AR172" s="1748">
        <f>SUM(AR173:BA177)</f>
        <v>0</v>
      </c>
      <c r="AS172" s="1748"/>
      <c r="AT172" s="1748"/>
      <c r="AU172" s="1748"/>
      <c r="AV172" s="1748"/>
      <c r="AW172" s="1748"/>
      <c r="AX172" s="1748"/>
      <c r="AY172" s="1748"/>
      <c r="AZ172" s="1748"/>
      <c r="BA172" s="1756"/>
    </row>
    <row r="173" spans="1:53" ht="21.75" customHeight="1">
      <c r="A173" s="1736"/>
      <c r="B173" s="1737"/>
      <c r="C173" s="1737"/>
      <c r="D173" s="1737"/>
      <c r="E173" s="964" t="s">
        <v>673</v>
      </c>
      <c r="F173" s="978" t="s">
        <v>911</v>
      </c>
      <c r="G173" s="965"/>
      <c r="H173" s="965"/>
      <c r="I173" s="965"/>
      <c r="J173" s="965"/>
      <c r="K173" s="965"/>
      <c r="L173" s="965"/>
      <c r="M173" s="965"/>
      <c r="N173" s="965"/>
      <c r="O173" s="965"/>
      <c r="P173" s="965"/>
      <c r="Q173" s="965"/>
      <c r="R173" s="965"/>
      <c r="S173" s="965"/>
      <c r="T173" s="965"/>
      <c r="U173" s="965"/>
      <c r="V173" s="965"/>
      <c r="W173" s="965"/>
      <c r="X173" s="965"/>
      <c r="Y173" s="965"/>
      <c r="Z173" s="966"/>
      <c r="AA173" s="967"/>
      <c r="AB173" s="1744"/>
      <c r="AC173" s="1745"/>
      <c r="AD173" s="1746"/>
      <c r="AE173" s="1747" t="s">
        <v>1388</v>
      </c>
      <c r="AF173" s="1747"/>
      <c r="AG173" s="1747"/>
      <c r="AH173" s="1748">
        <f>SUMIF(unos!E:E,AE173,unos!G:G)</f>
        <v>0</v>
      </c>
      <c r="AI173" s="1748"/>
      <c r="AJ173" s="1748"/>
      <c r="AK173" s="1748"/>
      <c r="AL173" s="1748"/>
      <c r="AM173" s="1748"/>
      <c r="AN173" s="1748"/>
      <c r="AO173" s="1748"/>
      <c r="AP173" s="1748"/>
      <c r="AQ173" s="1748"/>
      <c r="AR173" s="1748">
        <f>SUMIF(unos!E:E,AE173,unos!F:F)</f>
        <v>0</v>
      </c>
      <c r="AS173" s="1748"/>
      <c r="AT173" s="1748"/>
      <c r="AU173" s="1748"/>
      <c r="AV173" s="1748"/>
      <c r="AW173" s="1748"/>
      <c r="AX173" s="1748"/>
      <c r="AY173" s="1748"/>
      <c r="AZ173" s="1748"/>
      <c r="BA173" s="1756"/>
    </row>
    <row r="174" spans="1:53" ht="21.75" customHeight="1">
      <c r="A174" s="1736"/>
      <c r="B174" s="1737"/>
      <c r="C174" s="1737"/>
      <c r="D174" s="1737"/>
      <c r="E174" s="964" t="s">
        <v>674</v>
      </c>
      <c r="F174" s="978" t="s">
        <v>912</v>
      </c>
      <c r="G174" s="965"/>
      <c r="H174" s="965"/>
      <c r="I174" s="965"/>
      <c r="J174" s="965"/>
      <c r="K174" s="965"/>
      <c r="L174" s="965"/>
      <c r="M174" s="965"/>
      <c r="N174" s="965"/>
      <c r="O174" s="965"/>
      <c r="P174" s="965"/>
      <c r="Q174" s="965"/>
      <c r="R174" s="965"/>
      <c r="S174" s="965"/>
      <c r="T174" s="965"/>
      <c r="U174" s="965"/>
      <c r="V174" s="965"/>
      <c r="W174" s="965"/>
      <c r="X174" s="965"/>
      <c r="Y174" s="965"/>
      <c r="Z174" s="966"/>
      <c r="AA174" s="967"/>
      <c r="AB174" s="1744"/>
      <c r="AC174" s="1745"/>
      <c r="AD174" s="1746"/>
      <c r="AE174" s="1747" t="s">
        <v>1389</v>
      </c>
      <c r="AF174" s="1747"/>
      <c r="AG174" s="1747"/>
      <c r="AH174" s="1748">
        <f>SUMIF(unos!E:E,AE174,unos!G:G)</f>
        <v>0</v>
      </c>
      <c r="AI174" s="1748"/>
      <c r="AJ174" s="1748"/>
      <c r="AK174" s="1748"/>
      <c r="AL174" s="1748"/>
      <c r="AM174" s="1748"/>
      <c r="AN174" s="1748"/>
      <c r="AO174" s="1748"/>
      <c r="AP174" s="1748"/>
      <c r="AQ174" s="1748"/>
      <c r="AR174" s="1748">
        <f>SUMIF(unos!E:E,AE174,unos!F:F)</f>
        <v>0</v>
      </c>
      <c r="AS174" s="1748"/>
      <c r="AT174" s="1748"/>
      <c r="AU174" s="1748"/>
      <c r="AV174" s="1748"/>
      <c r="AW174" s="1748"/>
      <c r="AX174" s="1748"/>
      <c r="AY174" s="1748"/>
      <c r="AZ174" s="1748"/>
      <c r="BA174" s="1756"/>
    </row>
    <row r="175" spans="1:53" ht="21.75" customHeight="1">
      <c r="A175" s="1736"/>
      <c r="B175" s="1737"/>
      <c r="C175" s="1737"/>
      <c r="D175" s="1737"/>
      <c r="E175" s="964" t="s">
        <v>675</v>
      </c>
      <c r="F175" s="965" t="s">
        <v>913</v>
      </c>
      <c r="G175" s="965"/>
      <c r="H175" s="965"/>
      <c r="I175" s="965"/>
      <c r="J175" s="965"/>
      <c r="K175" s="965"/>
      <c r="L175" s="965"/>
      <c r="M175" s="965"/>
      <c r="N175" s="965"/>
      <c r="O175" s="965"/>
      <c r="P175" s="965"/>
      <c r="Q175" s="965"/>
      <c r="R175" s="965"/>
      <c r="S175" s="965"/>
      <c r="T175" s="965"/>
      <c r="U175" s="965"/>
      <c r="V175" s="965"/>
      <c r="W175" s="965"/>
      <c r="X175" s="965"/>
      <c r="Y175" s="965"/>
      <c r="Z175" s="966"/>
      <c r="AA175" s="967"/>
      <c r="AB175" s="1744"/>
      <c r="AC175" s="1745"/>
      <c r="AD175" s="1746"/>
      <c r="AE175" s="1747" t="s">
        <v>1390</v>
      </c>
      <c r="AF175" s="1747"/>
      <c r="AG175" s="1747"/>
      <c r="AH175" s="1748">
        <f>SUMIF(unos!E:E,AE175,unos!G:G)</f>
        <v>0</v>
      </c>
      <c r="AI175" s="1748"/>
      <c r="AJ175" s="1748"/>
      <c r="AK175" s="1748"/>
      <c r="AL175" s="1748"/>
      <c r="AM175" s="1748"/>
      <c r="AN175" s="1748"/>
      <c r="AO175" s="1748"/>
      <c r="AP175" s="1748"/>
      <c r="AQ175" s="1748"/>
      <c r="AR175" s="1748">
        <f>SUMIF(unos!E:E,AE175,unos!F:F)</f>
        <v>0</v>
      </c>
      <c r="AS175" s="1748"/>
      <c r="AT175" s="1748"/>
      <c r="AU175" s="1748"/>
      <c r="AV175" s="1748"/>
      <c r="AW175" s="1748"/>
      <c r="AX175" s="1748"/>
      <c r="AY175" s="1748"/>
      <c r="AZ175" s="1748"/>
      <c r="BA175" s="1756"/>
    </row>
    <row r="176" spans="1:53" ht="21.75" customHeight="1">
      <c r="A176" s="1736"/>
      <c r="B176" s="1737"/>
      <c r="C176" s="1737"/>
      <c r="D176" s="1737"/>
      <c r="E176" s="964" t="s">
        <v>676</v>
      </c>
      <c r="F176" s="965" t="s">
        <v>914</v>
      </c>
      <c r="G176" s="965"/>
      <c r="H176" s="965"/>
      <c r="I176" s="965"/>
      <c r="J176" s="965"/>
      <c r="K176" s="965"/>
      <c r="L176" s="965"/>
      <c r="M176" s="965"/>
      <c r="N176" s="965"/>
      <c r="O176" s="965"/>
      <c r="P176" s="965"/>
      <c r="Q176" s="965"/>
      <c r="R176" s="965"/>
      <c r="S176" s="965"/>
      <c r="T176" s="965"/>
      <c r="U176" s="965"/>
      <c r="V176" s="965"/>
      <c r="W176" s="965"/>
      <c r="X176" s="965"/>
      <c r="Y176" s="965"/>
      <c r="Z176" s="966"/>
      <c r="AA176" s="967"/>
      <c r="AB176" s="1744"/>
      <c r="AC176" s="1745"/>
      <c r="AD176" s="1746"/>
      <c r="AE176" s="1747" t="s">
        <v>1391</v>
      </c>
      <c r="AF176" s="1747"/>
      <c r="AG176" s="1747"/>
      <c r="AH176" s="1748">
        <f>SUMIF(unos!E:E,AE176,unos!G:G)</f>
        <v>0</v>
      </c>
      <c r="AI176" s="1748"/>
      <c r="AJ176" s="1748"/>
      <c r="AK176" s="1748"/>
      <c r="AL176" s="1748"/>
      <c r="AM176" s="1748"/>
      <c r="AN176" s="1748"/>
      <c r="AO176" s="1748"/>
      <c r="AP176" s="1748"/>
      <c r="AQ176" s="1748"/>
      <c r="AR176" s="1748">
        <f>SUMIF(unos!E:E,AE176,unos!F:F)</f>
        <v>0</v>
      </c>
      <c r="AS176" s="1748"/>
      <c r="AT176" s="1748"/>
      <c r="AU176" s="1748"/>
      <c r="AV176" s="1748"/>
      <c r="AW176" s="1748"/>
      <c r="AX176" s="1748"/>
      <c r="AY176" s="1748"/>
      <c r="AZ176" s="1748"/>
      <c r="BA176" s="1756"/>
    </row>
    <row r="177" spans="1:53" ht="21.75" customHeight="1">
      <c r="A177" s="1736"/>
      <c r="B177" s="1737"/>
      <c r="C177" s="1737"/>
      <c r="D177" s="1737"/>
      <c r="E177" s="964" t="s">
        <v>677</v>
      </c>
      <c r="F177" s="965" t="s">
        <v>915</v>
      </c>
      <c r="G177" s="965"/>
      <c r="H177" s="965"/>
      <c r="I177" s="965"/>
      <c r="J177" s="965"/>
      <c r="K177" s="965"/>
      <c r="L177" s="965"/>
      <c r="M177" s="965"/>
      <c r="N177" s="965"/>
      <c r="O177" s="965"/>
      <c r="P177" s="965"/>
      <c r="Q177" s="965"/>
      <c r="R177" s="965"/>
      <c r="S177" s="965"/>
      <c r="T177" s="965"/>
      <c r="U177" s="965"/>
      <c r="V177" s="965"/>
      <c r="W177" s="965"/>
      <c r="X177" s="965"/>
      <c r="Y177" s="965"/>
      <c r="Z177" s="966"/>
      <c r="AA177" s="967"/>
      <c r="AB177" s="1744"/>
      <c r="AC177" s="1745"/>
      <c r="AD177" s="1746"/>
      <c r="AE177" s="1747" t="s">
        <v>1392</v>
      </c>
      <c r="AF177" s="1747"/>
      <c r="AG177" s="1747"/>
      <c r="AH177" s="1748">
        <f>SUMIF(unos!E:E,AE177,unos!G:G)</f>
        <v>0</v>
      </c>
      <c r="AI177" s="1748"/>
      <c r="AJ177" s="1748"/>
      <c r="AK177" s="1748"/>
      <c r="AL177" s="1748"/>
      <c r="AM177" s="1748"/>
      <c r="AN177" s="1748"/>
      <c r="AO177" s="1748"/>
      <c r="AP177" s="1748"/>
      <c r="AQ177" s="1748"/>
      <c r="AR177" s="1748">
        <f>SUMIF(unos!E:E,AE177,unos!F:F)</f>
        <v>0</v>
      </c>
      <c r="AS177" s="1748"/>
      <c r="AT177" s="1748"/>
      <c r="AU177" s="1748"/>
      <c r="AV177" s="1748"/>
      <c r="AW177" s="1748"/>
      <c r="AX177" s="1748"/>
      <c r="AY177" s="1748"/>
      <c r="AZ177" s="1748"/>
      <c r="BA177" s="1756"/>
    </row>
    <row r="178" spans="1:53" ht="21.75" customHeight="1">
      <c r="A178" s="1736"/>
      <c r="B178" s="1737"/>
      <c r="C178" s="1737"/>
      <c r="D178" s="1737"/>
      <c r="E178" s="964"/>
      <c r="F178" s="968" t="s">
        <v>916</v>
      </c>
      <c r="G178" s="965"/>
      <c r="H178" s="965"/>
      <c r="I178" s="965"/>
      <c r="J178" s="965"/>
      <c r="K178" s="965"/>
      <c r="L178" s="965"/>
      <c r="M178" s="965"/>
      <c r="N178" s="965"/>
      <c r="O178" s="965"/>
      <c r="P178" s="965"/>
      <c r="Q178" s="965"/>
      <c r="R178" s="965"/>
      <c r="S178" s="965"/>
      <c r="T178" s="965"/>
      <c r="U178" s="965"/>
      <c r="V178" s="965"/>
      <c r="W178" s="965"/>
      <c r="X178" s="965"/>
      <c r="Y178" s="965"/>
      <c r="Z178" s="966"/>
      <c r="AA178" s="967"/>
      <c r="AB178" s="1744"/>
      <c r="AC178" s="1745"/>
      <c r="AD178" s="1746"/>
      <c r="AE178" s="1747" t="s">
        <v>1393</v>
      </c>
      <c r="AF178" s="1747"/>
      <c r="AG178" s="1747"/>
      <c r="AH178" s="1748">
        <f>IF(AH165-AH172&lt;=0,0,AH165-AH172)</f>
        <v>0</v>
      </c>
      <c r="AI178" s="1748"/>
      <c r="AJ178" s="1748"/>
      <c r="AK178" s="1748"/>
      <c r="AL178" s="1748"/>
      <c r="AM178" s="1748"/>
      <c r="AN178" s="1748"/>
      <c r="AO178" s="1748"/>
      <c r="AP178" s="1748"/>
      <c r="AQ178" s="1748"/>
      <c r="AR178" s="1748">
        <f>IF(AR165-AR172&lt;=0,0,AR165-AR172)</f>
        <v>0</v>
      </c>
      <c r="AS178" s="1748"/>
      <c r="AT178" s="1748"/>
      <c r="AU178" s="1748"/>
      <c r="AV178" s="1748"/>
      <c r="AW178" s="1748"/>
      <c r="AX178" s="1748"/>
      <c r="AY178" s="1748"/>
      <c r="AZ178" s="1748"/>
      <c r="BA178" s="1756"/>
    </row>
    <row r="179" spans="1:53" ht="21.75" customHeight="1">
      <c r="A179" s="1736"/>
      <c r="B179" s="1737"/>
      <c r="C179" s="1737"/>
      <c r="D179" s="1737"/>
      <c r="E179" s="964"/>
      <c r="F179" s="968" t="s">
        <v>419</v>
      </c>
      <c r="G179" s="965"/>
      <c r="H179" s="965"/>
      <c r="I179" s="965"/>
      <c r="J179" s="965"/>
      <c r="K179" s="965"/>
      <c r="L179" s="965"/>
      <c r="M179" s="965"/>
      <c r="N179" s="965"/>
      <c r="O179" s="965"/>
      <c r="P179" s="965"/>
      <c r="Q179" s="965"/>
      <c r="R179" s="965"/>
      <c r="S179" s="965"/>
      <c r="T179" s="965"/>
      <c r="U179" s="965"/>
      <c r="V179" s="965"/>
      <c r="W179" s="965"/>
      <c r="X179" s="965"/>
      <c r="Y179" s="965"/>
      <c r="Z179" s="966"/>
      <c r="AA179" s="967"/>
      <c r="AB179" s="1744"/>
      <c r="AC179" s="1745"/>
      <c r="AD179" s="1746"/>
      <c r="AE179" s="1747" t="s">
        <v>348</v>
      </c>
      <c r="AF179" s="1747"/>
      <c r="AG179" s="1747"/>
      <c r="AH179" s="1748">
        <f>IF(AH172-AH165&lt;=0,0,AH172-AH165)</f>
        <v>0</v>
      </c>
      <c r="AI179" s="1748"/>
      <c r="AJ179" s="1748"/>
      <c r="AK179" s="1748"/>
      <c r="AL179" s="1748"/>
      <c r="AM179" s="1748"/>
      <c r="AN179" s="1748"/>
      <c r="AO179" s="1748"/>
      <c r="AP179" s="1748"/>
      <c r="AQ179" s="1748"/>
      <c r="AR179" s="1748">
        <f>IF(AR172-AR165&lt;=0,0,AR172-AR165)</f>
        <v>0</v>
      </c>
      <c r="AS179" s="1748"/>
      <c r="AT179" s="1748"/>
      <c r="AU179" s="1748"/>
      <c r="AV179" s="1748"/>
      <c r="AW179" s="1748"/>
      <c r="AX179" s="1748"/>
      <c r="AY179" s="1748"/>
      <c r="AZ179" s="1748"/>
      <c r="BA179" s="1756"/>
    </row>
    <row r="180" spans="1:53" ht="21.75" customHeight="1">
      <c r="A180" s="1736"/>
      <c r="B180" s="1737"/>
      <c r="C180" s="1737"/>
      <c r="D180" s="1737"/>
      <c r="E180" s="964"/>
      <c r="F180" s="965" t="s">
        <v>917</v>
      </c>
      <c r="G180" s="965"/>
      <c r="H180" s="965"/>
      <c r="I180" s="965"/>
      <c r="J180" s="965"/>
      <c r="K180" s="965"/>
      <c r="L180" s="965"/>
      <c r="M180" s="965"/>
      <c r="N180" s="965"/>
      <c r="O180" s="965"/>
      <c r="P180" s="965"/>
      <c r="Q180" s="965"/>
      <c r="R180" s="965"/>
      <c r="S180" s="965"/>
      <c r="T180" s="965"/>
      <c r="U180" s="965"/>
      <c r="V180" s="965"/>
      <c r="W180" s="965"/>
      <c r="X180" s="965"/>
      <c r="Y180" s="965"/>
      <c r="Z180" s="966"/>
      <c r="AA180" s="967"/>
      <c r="AB180" s="1744"/>
      <c r="AC180" s="1745"/>
      <c r="AD180" s="1746"/>
      <c r="AE180" s="1747" t="s">
        <v>1394</v>
      </c>
      <c r="AF180" s="1747"/>
      <c r="AG180" s="1747"/>
      <c r="AH180" s="1748">
        <f>SUMIF(unos!E:E,AE180,unos!G:G)</f>
        <v>0</v>
      </c>
      <c r="AI180" s="1748"/>
      <c r="AJ180" s="1748"/>
      <c r="AK180" s="1748"/>
      <c r="AL180" s="1748"/>
      <c r="AM180" s="1748"/>
      <c r="AN180" s="1748"/>
      <c r="AO180" s="1748"/>
      <c r="AP180" s="1748"/>
      <c r="AQ180" s="1748"/>
      <c r="AR180" s="1748">
        <f>SUMIF(unos!E:E,AE180,unos!F:F)</f>
        <v>0</v>
      </c>
      <c r="AS180" s="1748"/>
      <c r="AT180" s="1748"/>
      <c r="AU180" s="1748"/>
      <c r="AV180" s="1748"/>
      <c r="AW180" s="1748"/>
      <c r="AX180" s="1748"/>
      <c r="AY180" s="1748"/>
      <c r="AZ180" s="1748"/>
      <c r="BA180" s="1756"/>
    </row>
    <row r="181" spans="1:53" ht="21.75" customHeight="1">
      <c r="A181" s="1736"/>
      <c r="B181" s="1737"/>
      <c r="C181" s="1737"/>
      <c r="D181" s="1737"/>
      <c r="E181" s="964"/>
      <c r="F181" s="968" t="s">
        <v>918</v>
      </c>
      <c r="G181" s="965"/>
      <c r="H181" s="965"/>
      <c r="I181" s="965"/>
      <c r="J181" s="965"/>
      <c r="K181" s="965"/>
      <c r="L181" s="965"/>
      <c r="M181" s="965"/>
      <c r="N181" s="965"/>
      <c r="O181" s="965"/>
      <c r="P181" s="965"/>
      <c r="Q181" s="965"/>
      <c r="R181" s="965"/>
      <c r="S181" s="965"/>
      <c r="T181" s="965"/>
      <c r="U181" s="965"/>
      <c r="V181" s="965"/>
      <c r="W181" s="965"/>
      <c r="X181" s="965"/>
      <c r="Y181" s="965"/>
      <c r="Z181" s="966"/>
      <c r="AA181" s="967"/>
      <c r="AB181" s="1744"/>
      <c r="AC181" s="1745"/>
      <c r="AD181" s="1746"/>
      <c r="AE181" s="1747" t="s">
        <v>349</v>
      </c>
      <c r="AF181" s="1747"/>
      <c r="AG181" s="1747"/>
      <c r="AH181" s="1748">
        <f>IF(AH178-AH179-AH180&lt;=0,0,AH178-AH179-AH180)</f>
        <v>0</v>
      </c>
      <c r="AI181" s="1748"/>
      <c r="AJ181" s="1748"/>
      <c r="AK181" s="1748"/>
      <c r="AL181" s="1748"/>
      <c r="AM181" s="1748"/>
      <c r="AN181" s="1748"/>
      <c r="AO181" s="1748"/>
      <c r="AP181" s="1748"/>
      <c r="AQ181" s="1748"/>
      <c r="AR181" s="1748">
        <f>IF(AR178-AR179-AR180&lt;=0,0,AR178-AR179-AR180)</f>
        <v>0</v>
      </c>
      <c r="AS181" s="1748"/>
      <c r="AT181" s="1748"/>
      <c r="AU181" s="1748"/>
      <c r="AV181" s="1748"/>
      <c r="AW181" s="1748"/>
      <c r="AX181" s="1748"/>
      <c r="AY181" s="1748"/>
      <c r="AZ181" s="1748"/>
      <c r="BA181" s="1756"/>
    </row>
    <row r="182" spans="1:53" ht="21.75" customHeight="1" thickBot="1">
      <c r="A182" s="1742"/>
      <c r="B182" s="1743"/>
      <c r="C182" s="1743"/>
      <c r="D182" s="1743"/>
      <c r="E182" s="969"/>
      <c r="F182" s="979" t="s">
        <v>2194</v>
      </c>
      <c r="G182" s="970"/>
      <c r="H182" s="970"/>
      <c r="I182" s="970"/>
      <c r="J182" s="970"/>
      <c r="K182" s="970"/>
      <c r="L182" s="970"/>
      <c r="M182" s="970"/>
      <c r="N182" s="970"/>
      <c r="O182" s="970"/>
      <c r="P182" s="970"/>
      <c r="Q182" s="970"/>
      <c r="R182" s="970"/>
      <c r="S182" s="970"/>
      <c r="T182" s="970"/>
      <c r="U182" s="970"/>
      <c r="V182" s="970"/>
      <c r="W182" s="970"/>
      <c r="X182" s="970"/>
      <c r="Y182" s="970"/>
      <c r="Z182" s="971"/>
      <c r="AA182" s="972"/>
      <c r="AB182" s="1749"/>
      <c r="AC182" s="1750"/>
      <c r="AD182" s="1751"/>
      <c r="AE182" s="1752" t="s">
        <v>350</v>
      </c>
      <c r="AF182" s="1752"/>
      <c r="AG182" s="1752"/>
      <c r="AH182" s="1734">
        <f>IF(AH178-AH179-AH180&gt;=0,0,SUM(AH178-AH179-AH180)*-1)</f>
        <v>0</v>
      </c>
      <c r="AI182" s="1734"/>
      <c r="AJ182" s="1734"/>
      <c r="AK182" s="1734"/>
      <c r="AL182" s="1734"/>
      <c r="AM182" s="1734"/>
      <c r="AN182" s="1734"/>
      <c r="AO182" s="1734"/>
      <c r="AP182" s="1734"/>
      <c r="AQ182" s="1734"/>
      <c r="AR182" s="1734">
        <f>IF(AR178-AR179-AR180&gt;=0,0,SUM(AR178-AR179-AR180)*-1)</f>
        <v>0</v>
      </c>
      <c r="AS182" s="1734"/>
      <c r="AT182" s="1734"/>
      <c r="AU182" s="1734"/>
      <c r="AV182" s="1734"/>
      <c r="AW182" s="1734"/>
      <c r="AX182" s="1734"/>
      <c r="AY182" s="1734"/>
      <c r="AZ182" s="1734"/>
      <c r="BA182" s="1735"/>
    </row>
    <row r="183" spans="1:53" s="947" customFormat="1" ht="21.75" customHeight="1" thickBot="1">
      <c r="A183" s="1738"/>
      <c r="B183" s="1738"/>
      <c r="C183" s="1738"/>
      <c r="D183" s="1738"/>
      <c r="E183" s="984"/>
      <c r="F183" s="984"/>
      <c r="G183" s="984"/>
      <c r="H183" s="984"/>
      <c r="I183" s="984"/>
      <c r="J183" s="984"/>
      <c r="K183" s="984"/>
      <c r="L183" s="984"/>
      <c r="M183" s="984"/>
      <c r="N183" s="984"/>
      <c r="O183" s="984"/>
      <c r="P183" s="984"/>
      <c r="Q183" s="984"/>
      <c r="R183" s="984"/>
      <c r="S183" s="984"/>
      <c r="T183" s="984"/>
      <c r="U183" s="984"/>
      <c r="V183" s="984"/>
      <c r="W183" s="984"/>
      <c r="X183" s="984"/>
      <c r="Y183" s="984"/>
      <c r="Z183" s="985"/>
      <c r="AA183" s="985"/>
      <c r="AB183" s="1757"/>
      <c r="AC183" s="1757"/>
      <c r="AD183" s="1757"/>
      <c r="AE183" s="1757"/>
      <c r="AF183" s="1757"/>
      <c r="AG183" s="1757"/>
      <c r="AH183" s="1753"/>
      <c r="AI183" s="1753"/>
      <c r="AJ183" s="1753"/>
      <c r="AK183" s="1753"/>
      <c r="AL183" s="1753"/>
      <c r="AM183" s="1753"/>
      <c r="AN183" s="1753"/>
      <c r="AO183" s="1753"/>
      <c r="AP183" s="1753"/>
      <c r="AQ183" s="1753"/>
      <c r="AR183" s="1753"/>
      <c r="AS183" s="1753"/>
      <c r="AT183" s="1753"/>
      <c r="AU183" s="1753"/>
      <c r="AV183" s="1753"/>
      <c r="AW183" s="1753"/>
      <c r="AX183" s="1753"/>
      <c r="AY183" s="1753"/>
      <c r="AZ183" s="1753"/>
      <c r="BA183" s="1753"/>
    </row>
    <row r="184" spans="1:53" ht="21.75" customHeight="1">
      <c r="A184" s="1758"/>
      <c r="B184" s="1759"/>
      <c r="C184" s="1759"/>
      <c r="D184" s="1759"/>
      <c r="E184" s="973"/>
      <c r="F184" s="959" t="s">
        <v>2195</v>
      </c>
      <c r="G184" s="960"/>
      <c r="H184" s="960"/>
      <c r="I184" s="960"/>
      <c r="J184" s="960"/>
      <c r="K184" s="960"/>
      <c r="L184" s="960"/>
      <c r="M184" s="960"/>
      <c r="N184" s="960"/>
      <c r="O184" s="960"/>
      <c r="P184" s="960"/>
      <c r="Q184" s="960"/>
      <c r="R184" s="960"/>
      <c r="S184" s="960"/>
      <c r="T184" s="960"/>
      <c r="U184" s="960"/>
      <c r="V184" s="960"/>
      <c r="W184" s="960"/>
      <c r="X184" s="960"/>
      <c r="Y184" s="960"/>
      <c r="Z184" s="974"/>
      <c r="AA184" s="975"/>
      <c r="AB184" s="1760"/>
      <c r="AC184" s="1761"/>
      <c r="AD184" s="1762"/>
      <c r="AE184" s="1763" t="s">
        <v>351</v>
      </c>
      <c r="AF184" s="1763"/>
      <c r="AG184" s="1763"/>
      <c r="AH184" s="1772">
        <f>IF(AH158-AH159+AH181-AH182&lt;=0,0,AH158-AH159+AH181-AH182)</f>
        <v>0</v>
      </c>
      <c r="AI184" s="1772"/>
      <c r="AJ184" s="1772"/>
      <c r="AK184" s="1772"/>
      <c r="AL184" s="1772"/>
      <c r="AM184" s="1772"/>
      <c r="AN184" s="1772"/>
      <c r="AO184" s="1772"/>
      <c r="AP184" s="1772"/>
      <c r="AQ184" s="1772"/>
      <c r="AR184" s="1772">
        <f>IF(AR158-AR159+AR181-AR182&lt;=0,0,AR158-AR159+AR181-AR182)</f>
        <v>0</v>
      </c>
      <c r="AS184" s="1772"/>
      <c r="AT184" s="1772"/>
      <c r="AU184" s="1772"/>
      <c r="AV184" s="1772"/>
      <c r="AW184" s="1772"/>
      <c r="AX184" s="1772"/>
      <c r="AY184" s="1772"/>
      <c r="AZ184" s="1772"/>
      <c r="BA184" s="1773"/>
    </row>
    <row r="185" spans="1:53" ht="21.75" customHeight="1" thickBot="1">
      <c r="A185" s="1742"/>
      <c r="B185" s="1743"/>
      <c r="C185" s="1743"/>
      <c r="D185" s="1743"/>
      <c r="E185" s="969"/>
      <c r="F185" s="979" t="s">
        <v>2196</v>
      </c>
      <c r="G185" s="970"/>
      <c r="H185" s="970"/>
      <c r="I185" s="970"/>
      <c r="J185" s="970"/>
      <c r="K185" s="970"/>
      <c r="L185" s="970"/>
      <c r="M185" s="970"/>
      <c r="N185" s="970"/>
      <c r="O185" s="970"/>
      <c r="P185" s="970"/>
      <c r="Q185" s="970"/>
      <c r="R185" s="970"/>
      <c r="S185" s="970"/>
      <c r="T185" s="970"/>
      <c r="U185" s="970"/>
      <c r="V185" s="970"/>
      <c r="W185" s="970"/>
      <c r="X185" s="970"/>
      <c r="Y185" s="970"/>
      <c r="Z185" s="971"/>
      <c r="AA185" s="972"/>
      <c r="AB185" s="1749"/>
      <c r="AC185" s="1750"/>
      <c r="AD185" s="1751"/>
      <c r="AE185" s="1752" t="s">
        <v>352</v>
      </c>
      <c r="AF185" s="1752"/>
      <c r="AG185" s="1752"/>
      <c r="AH185" s="1734">
        <f>IF(AH158-AH159+AH181-AH182&gt;=0,0,SUM(AH158-AH159+AH181-AH182)*-1)</f>
        <v>0</v>
      </c>
      <c r="AI185" s="1734"/>
      <c r="AJ185" s="1734"/>
      <c r="AK185" s="1734"/>
      <c r="AL185" s="1734"/>
      <c r="AM185" s="1734"/>
      <c r="AN185" s="1734"/>
      <c r="AO185" s="1734"/>
      <c r="AP185" s="1734"/>
      <c r="AQ185" s="1734"/>
      <c r="AR185" s="1734">
        <f>IF(AR158-AR159+AR181-AR182&gt;=0,0,SUM(AR158-AR159+AR181-AR182)*-1)</f>
        <v>0</v>
      </c>
      <c r="AS185" s="1734"/>
      <c r="AT185" s="1734"/>
      <c r="AU185" s="1734"/>
      <c r="AV185" s="1734"/>
      <c r="AW185" s="1734"/>
      <c r="AX185" s="1734"/>
      <c r="AY185" s="1734"/>
      <c r="AZ185" s="1734"/>
      <c r="BA185" s="1735"/>
    </row>
    <row r="186" spans="1:53" s="947" customFormat="1" ht="15.75" customHeight="1">
      <c r="A186" s="1738"/>
      <c r="B186" s="1738"/>
      <c r="C186" s="1738"/>
      <c r="D186" s="1738"/>
      <c r="E186" s="1771"/>
      <c r="F186" s="1771"/>
      <c r="G186" s="1771"/>
      <c r="H186" s="1771"/>
      <c r="I186" s="1771"/>
      <c r="J186" s="1771"/>
      <c r="K186" s="1771"/>
      <c r="L186" s="1771"/>
      <c r="M186" s="1771"/>
      <c r="N186" s="1771"/>
      <c r="O186" s="1771"/>
      <c r="P186" s="1771"/>
      <c r="Q186" s="1771"/>
      <c r="R186" s="1771"/>
      <c r="S186" s="1771"/>
      <c r="T186" s="1771"/>
      <c r="U186" s="1757"/>
      <c r="V186" s="1757"/>
      <c r="W186" s="1757"/>
      <c r="X186" s="1757"/>
      <c r="Y186" s="1757"/>
      <c r="Z186" s="1769"/>
      <c r="AA186" s="1769"/>
      <c r="AB186" s="1769"/>
      <c r="AC186" s="1769"/>
      <c r="AD186" s="1769"/>
      <c r="AE186" s="1769"/>
      <c r="AF186" s="1769"/>
      <c r="AG186" s="1769"/>
      <c r="AH186" s="1769"/>
      <c r="AI186" s="1769"/>
      <c r="AJ186" s="1769"/>
      <c r="AK186" s="1769"/>
      <c r="AL186" s="1769"/>
      <c r="AM186" s="1769"/>
      <c r="AN186" s="1769"/>
      <c r="AO186" s="1769"/>
      <c r="AP186" s="1769"/>
      <c r="AQ186" s="1769"/>
      <c r="AR186" s="1769"/>
      <c r="AS186" s="1769"/>
      <c r="AT186" s="1769"/>
      <c r="AU186" s="1769"/>
      <c r="AV186" s="1769"/>
      <c r="AW186" s="1769"/>
      <c r="AX186" s="1769"/>
      <c r="AY186" s="1769"/>
      <c r="AZ186" s="1769"/>
      <c r="BA186" s="1769"/>
    </row>
    <row r="187" spans="1:53" s="947" customFormat="1" ht="15.75" customHeight="1">
      <c r="A187" s="940"/>
      <c r="B187" s="940"/>
      <c r="C187" s="940"/>
      <c r="D187" s="940"/>
      <c r="E187" s="937"/>
      <c r="F187" s="937"/>
      <c r="G187" s="937"/>
      <c r="H187" s="937"/>
      <c r="I187" s="937"/>
      <c r="J187" s="937"/>
      <c r="K187" s="937"/>
      <c r="L187" s="937"/>
      <c r="M187" s="937"/>
      <c r="N187" s="937"/>
      <c r="O187" s="937"/>
      <c r="P187" s="937"/>
      <c r="Q187" s="937"/>
      <c r="R187" s="937"/>
      <c r="S187" s="937"/>
      <c r="T187" s="937"/>
      <c r="U187" s="939"/>
      <c r="V187" s="939"/>
      <c r="W187" s="939"/>
      <c r="X187" s="939"/>
      <c r="Y187" s="939"/>
      <c r="Z187" s="938"/>
      <c r="AA187" s="938"/>
      <c r="AB187" s="938"/>
      <c r="AC187" s="938"/>
      <c r="AD187" s="938"/>
      <c r="AE187" s="938"/>
      <c r="AF187" s="938"/>
      <c r="AG187" s="938"/>
      <c r="AH187" s="938"/>
      <c r="AI187" s="938"/>
      <c r="AJ187" s="938"/>
      <c r="AK187" s="938"/>
      <c r="AL187" s="938"/>
      <c r="AM187" s="938"/>
      <c r="AN187" s="938"/>
      <c r="AO187" s="938"/>
      <c r="AP187" s="938"/>
      <c r="AQ187" s="938"/>
      <c r="AR187" s="938"/>
      <c r="AS187" s="938"/>
      <c r="AT187" s="938"/>
      <c r="AU187" s="938"/>
      <c r="AV187" s="938"/>
      <c r="AW187" s="938"/>
      <c r="AX187" s="938"/>
      <c r="AY187" s="938"/>
      <c r="AZ187" s="938"/>
      <c r="BA187" s="938"/>
    </row>
    <row r="188" spans="1:53" s="947" customFormat="1" ht="78" customHeight="1">
      <c r="A188" s="940"/>
      <c r="B188" s="940"/>
      <c r="C188" s="940"/>
      <c r="D188" s="940"/>
      <c r="E188" s="937"/>
      <c r="F188" s="937"/>
      <c r="G188" s="937"/>
      <c r="H188" s="937"/>
      <c r="I188" s="937"/>
      <c r="J188" s="937"/>
      <c r="K188" s="937"/>
      <c r="L188" s="937"/>
      <c r="M188" s="937"/>
      <c r="N188" s="937"/>
      <c r="O188" s="937"/>
      <c r="P188" s="937"/>
      <c r="Q188" s="937"/>
      <c r="R188" s="937"/>
      <c r="S188" s="937"/>
      <c r="T188" s="937"/>
      <c r="U188" s="939"/>
      <c r="V188" s="939"/>
      <c r="W188" s="939"/>
      <c r="X188" s="939"/>
      <c r="Y188" s="939"/>
      <c r="Z188" s="938"/>
      <c r="AA188" s="938"/>
      <c r="AB188" s="938"/>
      <c r="AC188" s="938"/>
      <c r="AD188" s="938"/>
      <c r="AE188" s="938"/>
      <c r="AF188" s="938"/>
      <c r="AG188" s="938"/>
      <c r="AH188" s="938"/>
      <c r="AI188" s="938"/>
      <c r="AJ188" s="938"/>
      <c r="AK188" s="938"/>
      <c r="AL188" s="938"/>
      <c r="AM188" s="938"/>
      <c r="AN188" s="938"/>
      <c r="AO188" s="938"/>
      <c r="AP188" s="938"/>
      <c r="AQ188" s="938"/>
      <c r="AR188" s="938"/>
      <c r="AS188" s="938"/>
      <c r="AT188" s="938"/>
      <c r="AU188" s="938"/>
      <c r="AV188" s="938"/>
      <c r="AW188" s="938"/>
      <c r="AX188" s="938"/>
      <c r="AY188" s="938"/>
      <c r="AZ188" s="938"/>
      <c r="BA188" s="986" t="s">
        <v>0</v>
      </c>
    </row>
    <row r="189" spans="1:53" s="947" customFormat="1" ht="15.75" customHeight="1" thickBot="1">
      <c r="A189" s="940"/>
      <c r="B189" s="940"/>
      <c r="C189" s="940"/>
      <c r="D189" s="940"/>
      <c r="E189" s="936"/>
      <c r="F189" s="936"/>
      <c r="G189" s="936"/>
      <c r="H189" s="936"/>
      <c r="I189" s="936"/>
      <c r="J189" s="936"/>
      <c r="K189" s="936"/>
      <c r="L189" s="936"/>
      <c r="M189" s="936"/>
      <c r="N189" s="936"/>
      <c r="O189" s="936"/>
      <c r="P189" s="936"/>
      <c r="Q189" s="936"/>
      <c r="R189" s="936"/>
      <c r="S189" s="936"/>
      <c r="T189" s="936"/>
      <c r="U189" s="939"/>
      <c r="V189" s="939"/>
      <c r="W189" s="939"/>
      <c r="X189" s="939"/>
      <c r="Y189" s="939"/>
      <c r="Z189" s="938"/>
      <c r="AA189" s="938"/>
      <c r="AB189" s="938"/>
      <c r="AC189" s="938"/>
      <c r="AD189" s="938"/>
      <c r="AE189" s="938"/>
      <c r="AF189" s="938"/>
      <c r="AG189" s="938"/>
      <c r="AH189" s="938"/>
      <c r="AI189" s="938"/>
      <c r="AJ189" s="938"/>
      <c r="AK189" s="938"/>
      <c r="AL189" s="938"/>
      <c r="AM189" s="938"/>
      <c r="AN189" s="938"/>
      <c r="AO189" s="938"/>
      <c r="AP189" s="938"/>
      <c r="AQ189" s="938"/>
      <c r="AR189" s="938"/>
      <c r="AS189" s="938"/>
      <c r="AT189" s="938"/>
      <c r="AU189" s="938"/>
      <c r="AV189" s="938"/>
      <c r="AW189" s="938"/>
      <c r="AX189" s="938"/>
      <c r="AY189" s="938"/>
      <c r="AZ189" s="938"/>
      <c r="BA189" s="938"/>
    </row>
    <row r="190" spans="1:53" ht="16.5" customHeight="1" thickBot="1">
      <c r="A190" s="1764" t="s">
        <v>522</v>
      </c>
      <c r="B190" s="1765"/>
      <c r="C190" s="1765"/>
      <c r="D190" s="1765"/>
      <c r="E190" s="1766">
        <v>2</v>
      </c>
      <c r="F190" s="1767"/>
      <c r="G190" s="1767"/>
      <c r="H190" s="1767"/>
      <c r="I190" s="1767"/>
      <c r="J190" s="1767"/>
      <c r="K190" s="1767"/>
      <c r="L190" s="1767"/>
      <c r="M190" s="1767"/>
      <c r="N190" s="1767"/>
      <c r="O190" s="1767"/>
      <c r="P190" s="1767"/>
      <c r="Q190" s="1767"/>
      <c r="R190" s="1767"/>
      <c r="S190" s="1767"/>
      <c r="T190" s="1767"/>
      <c r="U190" s="956"/>
      <c r="V190" s="956"/>
      <c r="W190" s="956"/>
      <c r="X190" s="956"/>
      <c r="Y190" s="956"/>
      <c r="Z190" s="956"/>
      <c r="AA190" s="957"/>
      <c r="AB190" s="1766">
        <v>3</v>
      </c>
      <c r="AC190" s="1767"/>
      <c r="AD190" s="1768"/>
      <c r="AE190" s="1766">
        <v>4</v>
      </c>
      <c r="AF190" s="1767"/>
      <c r="AG190" s="1768"/>
      <c r="AH190" s="1766">
        <v>5</v>
      </c>
      <c r="AI190" s="1767"/>
      <c r="AJ190" s="1767"/>
      <c r="AK190" s="1767"/>
      <c r="AL190" s="1767"/>
      <c r="AM190" s="1767"/>
      <c r="AN190" s="1767"/>
      <c r="AO190" s="1767"/>
      <c r="AP190" s="1767"/>
      <c r="AQ190" s="1768"/>
      <c r="AR190" s="1766">
        <v>6</v>
      </c>
      <c r="AS190" s="1767"/>
      <c r="AT190" s="1767"/>
      <c r="AU190" s="1767"/>
      <c r="AV190" s="1767"/>
      <c r="AW190" s="1767"/>
      <c r="AX190" s="1767"/>
      <c r="AY190" s="1767"/>
      <c r="AZ190" s="1767"/>
      <c r="BA190" s="1770"/>
    </row>
    <row r="191" spans="1:53" ht="22.5" customHeight="1">
      <c r="A191" s="1736"/>
      <c r="B191" s="1737"/>
      <c r="C191" s="1737"/>
      <c r="D191" s="1737"/>
      <c r="E191" s="973"/>
      <c r="F191" s="960" t="s">
        <v>2197</v>
      </c>
      <c r="G191" s="960"/>
      <c r="H191" s="960"/>
      <c r="I191" s="960"/>
      <c r="J191" s="960"/>
      <c r="K191" s="960"/>
      <c r="L191" s="960"/>
      <c r="M191" s="960"/>
      <c r="N191" s="960"/>
      <c r="O191" s="960"/>
      <c r="P191" s="960"/>
      <c r="Q191" s="960"/>
      <c r="R191" s="960"/>
      <c r="S191" s="960"/>
      <c r="T191" s="960"/>
      <c r="U191" s="960"/>
      <c r="V191" s="960"/>
      <c r="W191" s="960"/>
      <c r="X191" s="960"/>
      <c r="Y191" s="960"/>
      <c r="Z191" s="974"/>
      <c r="AA191" s="975"/>
      <c r="AB191" s="1744"/>
      <c r="AC191" s="1745"/>
      <c r="AD191" s="1746"/>
      <c r="AE191" s="1747" t="s">
        <v>353</v>
      </c>
      <c r="AF191" s="1747"/>
      <c r="AG191" s="1747"/>
      <c r="AH191" s="1748">
        <f>AH158-AH159</f>
        <v>0</v>
      </c>
      <c r="AI191" s="1748"/>
      <c r="AJ191" s="1748"/>
      <c r="AK191" s="1748"/>
      <c r="AL191" s="1748"/>
      <c r="AM191" s="1748"/>
      <c r="AN191" s="1748"/>
      <c r="AO191" s="1748"/>
      <c r="AP191" s="1748"/>
      <c r="AQ191" s="1748"/>
      <c r="AR191" s="1748">
        <f>AR158-AR159</f>
        <v>0</v>
      </c>
      <c r="AS191" s="1748"/>
      <c r="AT191" s="1748"/>
      <c r="AU191" s="1748"/>
      <c r="AV191" s="1748"/>
      <c r="AW191" s="1748"/>
      <c r="AX191" s="1748"/>
      <c r="AY191" s="1748"/>
      <c r="AZ191" s="1748"/>
      <c r="BA191" s="1756"/>
    </row>
    <row r="192" spans="1:53" ht="22.5" customHeight="1">
      <c r="A192" s="1736"/>
      <c r="B192" s="1737"/>
      <c r="C192" s="1737"/>
      <c r="D192" s="1737"/>
      <c r="E192" s="964"/>
      <c r="F192" s="965" t="s">
        <v>2198</v>
      </c>
      <c r="G192" s="965"/>
      <c r="H192" s="965"/>
      <c r="I192" s="965"/>
      <c r="J192" s="965"/>
      <c r="K192" s="965"/>
      <c r="L192" s="965"/>
      <c r="M192" s="965"/>
      <c r="N192" s="965"/>
      <c r="O192" s="965"/>
      <c r="P192" s="965"/>
      <c r="Q192" s="965"/>
      <c r="R192" s="965"/>
      <c r="S192" s="965"/>
      <c r="T192" s="965"/>
      <c r="U192" s="965"/>
      <c r="V192" s="965"/>
      <c r="W192" s="965"/>
      <c r="X192" s="965"/>
      <c r="Y192" s="965"/>
      <c r="Z192" s="966"/>
      <c r="AA192" s="967"/>
      <c r="AB192" s="1744"/>
      <c r="AC192" s="1745"/>
      <c r="AD192" s="1746"/>
      <c r="AE192" s="1747" t="s">
        <v>354</v>
      </c>
      <c r="AF192" s="1747"/>
      <c r="AG192" s="1747"/>
      <c r="AH192" s="1748">
        <f>SUMIF(unos!E:E,AE192,unos!G:G)</f>
        <v>0</v>
      </c>
      <c r="AI192" s="1748"/>
      <c r="AJ192" s="1748"/>
      <c r="AK192" s="1748"/>
      <c r="AL192" s="1748"/>
      <c r="AM192" s="1748"/>
      <c r="AN192" s="1748"/>
      <c r="AO192" s="1748"/>
      <c r="AP192" s="1748"/>
      <c r="AQ192" s="1748"/>
      <c r="AR192" s="1748">
        <f>SUMIF(unos!E:E,AE192,unos!F:F)</f>
        <v>0</v>
      </c>
      <c r="AS192" s="1748"/>
      <c r="AT192" s="1748"/>
      <c r="AU192" s="1748"/>
      <c r="AV192" s="1748"/>
      <c r="AW192" s="1748"/>
      <c r="AX192" s="1748"/>
      <c r="AY192" s="1748"/>
      <c r="AZ192" s="1748"/>
      <c r="BA192" s="1756"/>
    </row>
    <row r="193" spans="1:53" ht="22.5" customHeight="1">
      <c r="A193" s="1736"/>
      <c r="B193" s="1737"/>
      <c r="C193" s="1737"/>
      <c r="D193" s="1737"/>
      <c r="E193" s="964"/>
      <c r="F193" s="965" t="s">
        <v>2199</v>
      </c>
      <c r="G193" s="976"/>
      <c r="H193" s="976"/>
      <c r="I193" s="976"/>
      <c r="J193" s="976"/>
      <c r="K193" s="976"/>
      <c r="L193" s="976"/>
      <c r="M193" s="976"/>
      <c r="N193" s="976"/>
      <c r="O193" s="976"/>
      <c r="P193" s="976"/>
      <c r="Q193" s="976"/>
      <c r="R193" s="976"/>
      <c r="S193" s="976"/>
      <c r="T193" s="976"/>
      <c r="U193" s="965"/>
      <c r="V193" s="965"/>
      <c r="W193" s="965"/>
      <c r="X193" s="965"/>
      <c r="Y193" s="965"/>
      <c r="Z193" s="966"/>
      <c r="AA193" s="967"/>
      <c r="AB193" s="1744"/>
      <c r="AC193" s="1745"/>
      <c r="AD193" s="1746"/>
      <c r="AE193" s="1747" t="s">
        <v>355</v>
      </c>
      <c r="AF193" s="1747"/>
      <c r="AG193" s="1747"/>
      <c r="AH193" s="1748">
        <f>SUMIF(unos!E:E,AE193,unos!G:G)</f>
        <v>0</v>
      </c>
      <c r="AI193" s="1748"/>
      <c r="AJ193" s="1748"/>
      <c r="AK193" s="1748"/>
      <c r="AL193" s="1748"/>
      <c r="AM193" s="1748"/>
      <c r="AN193" s="1748"/>
      <c r="AO193" s="1748"/>
      <c r="AP193" s="1748"/>
      <c r="AQ193" s="1748"/>
      <c r="AR193" s="1748">
        <f>SUMIF(unos!E:E,AE193,unos!F:F)</f>
        <v>0</v>
      </c>
      <c r="AS193" s="1748"/>
      <c r="AT193" s="1748"/>
      <c r="AU193" s="1748"/>
      <c r="AV193" s="1748"/>
      <c r="AW193" s="1748"/>
      <c r="AX193" s="1748"/>
      <c r="AY193" s="1748"/>
      <c r="AZ193" s="1748"/>
      <c r="BA193" s="1756"/>
    </row>
    <row r="194" spans="1:53" ht="22.5" customHeight="1">
      <c r="A194" s="1736"/>
      <c r="B194" s="1737"/>
      <c r="C194" s="1737"/>
      <c r="D194" s="1737"/>
      <c r="E194" s="964"/>
      <c r="F194" s="978" t="s">
        <v>1249</v>
      </c>
      <c r="G194" s="965"/>
      <c r="H194" s="965"/>
      <c r="I194" s="965"/>
      <c r="J194" s="965"/>
      <c r="K194" s="965"/>
      <c r="L194" s="965"/>
      <c r="M194" s="965"/>
      <c r="N194" s="965"/>
      <c r="O194" s="965"/>
      <c r="P194" s="965"/>
      <c r="Q194" s="965"/>
      <c r="R194" s="965"/>
      <c r="S194" s="965"/>
      <c r="T194" s="965"/>
      <c r="U194" s="965"/>
      <c r="V194" s="965"/>
      <c r="W194" s="965"/>
      <c r="X194" s="965"/>
      <c r="Y194" s="965"/>
      <c r="Z194" s="966"/>
      <c r="AA194" s="967"/>
      <c r="AB194" s="1744"/>
      <c r="AC194" s="1745"/>
      <c r="AD194" s="1746"/>
      <c r="AE194" s="1747" t="s">
        <v>356</v>
      </c>
      <c r="AF194" s="1747"/>
      <c r="AG194" s="1747"/>
      <c r="AH194" s="1748">
        <f>AH184-AH185</f>
        <v>0</v>
      </c>
      <c r="AI194" s="1748"/>
      <c r="AJ194" s="1748"/>
      <c r="AK194" s="1748"/>
      <c r="AL194" s="1748"/>
      <c r="AM194" s="1748"/>
      <c r="AN194" s="1748"/>
      <c r="AO194" s="1748"/>
      <c r="AP194" s="1748"/>
      <c r="AQ194" s="1748"/>
      <c r="AR194" s="1748">
        <f>AR184-AR185</f>
        <v>0</v>
      </c>
      <c r="AS194" s="1748"/>
      <c r="AT194" s="1748"/>
      <c r="AU194" s="1748"/>
      <c r="AV194" s="1748"/>
      <c r="AW194" s="1748"/>
      <c r="AX194" s="1748"/>
      <c r="AY194" s="1748"/>
      <c r="AZ194" s="1748"/>
      <c r="BA194" s="1756"/>
    </row>
    <row r="195" spans="1:53" ht="22.5" customHeight="1">
      <c r="A195" s="1736"/>
      <c r="B195" s="1737"/>
      <c r="C195" s="1737"/>
      <c r="D195" s="1737"/>
      <c r="E195" s="964"/>
      <c r="F195" s="965" t="s">
        <v>2198</v>
      </c>
      <c r="G195" s="965"/>
      <c r="H195" s="965"/>
      <c r="I195" s="965"/>
      <c r="J195" s="965"/>
      <c r="K195" s="965"/>
      <c r="L195" s="965"/>
      <c r="M195" s="965"/>
      <c r="N195" s="965"/>
      <c r="O195" s="965"/>
      <c r="P195" s="965"/>
      <c r="Q195" s="965"/>
      <c r="R195" s="965"/>
      <c r="S195" s="965"/>
      <c r="T195" s="965"/>
      <c r="U195" s="965"/>
      <c r="V195" s="965"/>
      <c r="W195" s="965"/>
      <c r="X195" s="965"/>
      <c r="Y195" s="965"/>
      <c r="Z195" s="966"/>
      <c r="AA195" s="967"/>
      <c r="AB195" s="1744"/>
      <c r="AC195" s="1745"/>
      <c r="AD195" s="1746"/>
      <c r="AE195" s="1747" t="s">
        <v>357</v>
      </c>
      <c r="AF195" s="1747"/>
      <c r="AG195" s="1747"/>
      <c r="AH195" s="1748">
        <f>SUMIF(unos!E:E,AE195,unos!G:G)</f>
        <v>0</v>
      </c>
      <c r="AI195" s="1748"/>
      <c r="AJ195" s="1748"/>
      <c r="AK195" s="1748"/>
      <c r="AL195" s="1748"/>
      <c r="AM195" s="1748"/>
      <c r="AN195" s="1748"/>
      <c r="AO195" s="1748"/>
      <c r="AP195" s="1748"/>
      <c r="AQ195" s="1748"/>
      <c r="AR195" s="1748">
        <f>SUMIF(unos!E:E,AE195,unos!F:F)</f>
        <v>0</v>
      </c>
      <c r="AS195" s="1748"/>
      <c r="AT195" s="1748"/>
      <c r="AU195" s="1748"/>
      <c r="AV195" s="1748"/>
      <c r="AW195" s="1748"/>
      <c r="AX195" s="1748"/>
      <c r="AY195" s="1748"/>
      <c r="AZ195" s="1748"/>
      <c r="BA195" s="1756"/>
    </row>
    <row r="196" spans="1:53" ht="22.5" customHeight="1">
      <c r="A196" s="1736"/>
      <c r="B196" s="1737"/>
      <c r="C196" s="1737"/>
      <c r="D196" s="1737"/>
      <c r="E196" s="964"/>
      <c r="F196" s="965" t="s">
        <v>2199</v>
      </c>
      <c r="G196" s="965"/>
      <c r="H196" s="965"/>
      <c r="I196" s="965"/>
      <c r="J196" s="965"/>
      <c r="K196" s="965"/>
      <c r="L196" s="965"/>
      <c r="M196" s="965"/>
      <c r="N196" s="965"/>
      <c r="O196" s="965"/>
      <c r="P196" s="965"/>
      <c r="Q196" s="965"/>
      <c r="R196" s="965"/>
      <c r="S196" s="965"/>
      <c r="T196" s="965"/>
      <c r="U196" s="965"/>
      <c r="V196" s="965"/>
      <c r="W196" s="965"/>
      <c r="X196" s="965"/>
      <c r="Y196" s="965"/>
      <c r="Z196" s="966"/>
      <c r="AA196" s="967"/>
      <c r="AB196" s="1744"/>
      <c r="AC196" s="1745"/>
      <c r="AD196" s="1746"/>
      <c r="AE196" s="1747" t="s">
        <v>358</v>
      </c>
      <c r="AF196" s="1747"/>
      <c r="AG196" s="1747"/>
      <c r="AH196" s="1748">
        <f>SUMIF(unos!E:E,AE196,unos!G:G)</f>
        <v>0</v>
      </c>
      <c r="AI196" s="1748"/>
      <c r="AJ196" s="1748"/>
      <c r="AK196" s="1748"/>
      <c r="AL196" s="1748"/>
      <c r="AM196" s="1748"/>
      <c r="AN196" s="1748"/>
      <c r="AO196" s="1748"/>
      <c r="AP196" s="1748"/>
      <c r="AQ196" s="1748"/>
      <c r="AR196" s="1748">
        <f>SUMIF(unos!E:E,AE196,unos!F:F)</f>
        <v>0</v>
      </c>
      <c r="AS196" s="1748"/>
      <c r="AT196" s="1748"/>
      <c r="AU196" s="1748"/>
      <c r="AV196" s="1748"/>
      <c r="AW196" s="1748"/>
      <c r="AX196" s="1748"/>
      <c r="AY196" s="1748"/>
      <c r="AZ196" s="1748"/>
      <c r="BA196" s="1756"/>
    </row>
    <row r="197" spans="1:53" ht="22.5" customHeight="1">
      <c r="A197" s="1736"/>
      <c r="B197" s="1737"/>
      <c r="C197" s="1737"/>
      <c r="D197" s="1737"/>
      <c r="E197" s="964"/>
      <c r="F197" s="965" t="s">
        <v>1248</v>
      </c>
      <c r="G197" s="965"/>
      <c r="H197" s="965"/>
      <c r="I197" s="965"/>
      <c r="J197" s="965"/>
      <c r="K197" s="965"/>
      <c r="L197" s="965"/>
      <c r="M197" s="965"/>
      <c r="N197" s="965"/>
      <c r="O197" s="965"/>
      <c r="P197" s="965"/>
      <c r="Q197" s="965"/>
      <c r="R197" s="965"/>
      <c r="S197" s="965"/>
      <c r="T197" s="965"/>
      <c r="U197" s="965"/>
      <c r="V197" s="965"/>
      <c r="W197" s="965"/>
      <c r="X197" s="965"/>
      <c r="Y197" s="965"/>
      <c r="Z197" s="966"/>
      <c r="AA197" s="967"/>
      <c r="AB197" s="1744"/>
      <c r="AC197" s="1745"/>
      <c r="AD197" s="1746"/>
      <c r="AE197" s="1747" t="s">
        <v>359</v>
      </c>
      <c r="AF197" s="1747"/>
      <c r="AG197" s="1747"/>
      <c r="AH197" s="1748">
        <f>AH198+AH199</f>
        <v>0</v>
      </c>
      <c r="AI197" s="1748"/>
      <c r="AJ197" s="1748"/>
      <c r="AK197" s="1748"/>
      <c r="AL197" s="1748"/>
      <c r="AM197" s="1748"/>
      <c r="AN197" s="1748"/>
      <c r="AO197" s="1748"/>
      <c r="AP197" s="1748"/>
      <c r="AQ197" s="1748"/>
      <c r="AR197" s="1748">
        <f>AR198+AR199</f>
        <v>0</v>
      </c>
      <c r="AS197" s="1748"/>
      <c r="AT197" s="1748"/>
      <c r="AU197" s="1748"/>
      <c r="AV197" s="1748"/>
      <c r="AW197" s="1748"/>
      <c r="AX197" s="1748"/>
      <c r="AY197" s="1748"/>
      <c r="AZ197" s="1748"/>
      <c r="BA197" s="1756"/>
    </row>
    <row r="198" spans="1:53" ht="22.5" customHeight="1">
      <c r="A198" s="1736"/>
      <c r="B198" s="1737"/>
      <c r="C198" s="1737"/>
      <c r="D198" s="1737"/>
      <c r="E198" s="964"/>
      <c r="F198" s="965" t="s">
        <v>414</v>
      </c>
      <c r="G198" s="965"/>
      <c r="H198" s="965"/>
      <c r="I198" s="965"/>
      <c r="J198" s="965"/>
      <c r="K198" s="965"/>
      <c r="L198" s="965"/>
      <c r="M198" s="965"/>
      <c r="N198" s="965"/>
      <c r="O198" s="965"/>
      <c r="P198" s="965"/>
      <c r="Q198" s="965"/>
      <c r="R198" s="965"/>
      <c r="S198" s="965"/>
      <c r="T198" s="965"/>
      <c r="U198" s="965"/>
      <c r="V198" s="965"/>
      <c r="W198" s="965"/>
      <c r="X198" s="965"/>
      <c r="Y198" s="965"/>
      <c r="Z198" s="966"/>
      <c r="AA198" s="967"/>
      <c r="AB198" s="1744"/>
      <c r="AC198" s="1745"/>
      <c r="AD198" s="1746"/>
      <c r="AE198" s="1747" t="s">
        <v>360</v>
      </c>
      <c r="AF198" s="1747"/>
      <c r="AG198" s="1747"/>
      <c r="AH198" s="1748">
        <f>SUMIF(unos!E:E,AE198,unos!G:G)</f>
        <v>0</v>
      </c>
      <c r="AI198" s="1748"/>
      <c r="AJ198" s="1748"/>
      <c r="AK198" s="1748"/>
      <c r="AL198" s="1748"/>
      <c r="AM198" s="1748"/>
      <c r="AN198" s="1748"/>
      <c r="AO198" s="1748"/>
      <c r="AP198" s="1748"/>
      <c r="AQ198" s="1748"/>
      <c r="AR198" s="1748">
        <f>SUMIF(unos!E:E,AE198,unos!F:F)</f>
        <v>0</v>
      </c>
      <c r="AS198" s="1748"/>
      <c r="AT198" s="1748"/>
      <c r="AU198" s="1748"/>
      <c r="AV198" s="1748"/>
      <c r="AW198" s="1748"/>
      <c r="AX198" s="1748"/>
      <c r="AY198" s="1748"/>
      <c r="AZ198" s="1748"/>
      <c r="BA198" s="1756"/>
    </row>
    <row r="199" spans="1:53" ht="22.5" customHeight="1" thickBot="1">
      <c r="A199" s="1742"/>
      <c r="B199" s="1743"/>
      <c r="C199" s="1743"/>
      <c r="D199" s="1743"/>
      <c r="E199" s="969"/>
      <c r="F199" s="970" t="s">
        <v>415</v>
      </c>
      <c r="G199" s="970"/>
      <c r="H199" s="970"/>
      <c r="I199" s="970"/>
      <c r="J199" s="970"/>
      <c r="K199" s="970"/>
      <c r="L199" s="970"/>
      <c r="M199" s="970"/>
      <c r="N199" s="970"/>
      <c r="O199" s="970"/>
      <c r="P199" s="970"/>
      <c r="Q199" s="970"/>
      <c r="R199" s="970"/>
      <c r="S199" s="970"/>
      <c r="T199" s="970"/>
      <c r="U199" s="970"/>
      <c r="V199" s="970"/>
      <c r="W199" s="970"/>
      <c r="X199" s="970"/>
      <c r="Y199" s="970"/>
      <c r="Z199" s="971"/>
      <c r="AA199" s="972"/>
      <c r="AB199" s="1749"/>
      <c r="AC199" s="1750"/>
      <c r="AD199" s="1751"/>
      <c r="AE199" s="1752" t="s">
        <v>361</v>
      </c>
      <c r="AF199" s="1752"/>
      <c r="AG199" s="1752"/>
      <c r="AH199" s="1734">
        <f>SUMIF(unos!E:E,AE199,unos!G:G)</f>
        <v>0</v>
      </c>
      <c r="AI199" s="1734"/>
      <c r="AJ199" s="1734"/>
      <c r="AK199" s="1734"/>
      <c r="AL199" s="1734"/>
      <c r="AM199" s="1734"/>
      <c r="AN199" s="1734"/>
      <c r="AO199" s="1734"/>
      <c r="AP199" s="1734"/>
      <c r="AQ199" s="1734"/>
      <c r="AR199" s="1734">
        <f>SUMIF(unos!E:E,AE199,unos!F:F)</f>
        <v>0</v>
      </c>
      <c r="AS199" s="1734"/>
      <c r="AT199" s="1734"/>
      <c r="AU199" s="1734"/>
      <c r="AV199" s="1734"/>
      <c r="AW199" s="1734"/>
      <c r="AX199" s="1734"/>
      <c r="AY199" s="1734"/>
      <c r="AZ199" s="1734"/>
      <c r="BA199" s="1735"/>
    </row>
    <row r="200" spans="1:53" s="947" customFormat="1" ht="22.5" customHeight="1" thickBot="1">
      <c r="A200" s="1738"/>
      <c r="B200" s="1738"/>
      <c r="C200" s="1738"/>
      <c r="D200" s="1738"/>
      <c r="E200" s="984"/>
      <c r="F200" s="984"/>
      <c r="G200" s="984"/>
      <c r="H200" s="984"/>
      <c r="I200" s="984"/>
      <c r="J200" s="984"/>
      <c r="K200" s="984"/>
      <c r="L200" s="984"/>
      <c r="M200" s="984"/>
      <c r="N200" s="984"/>
      <c r="O200" s="984"/>
      <c r="P200" s="984"/>
      <c r="Q200" s="984"/>
      <c r="R200" s="984"/>
      <c r="S200" s="984"/>
      <c r="T200" s="984"/>
      <c r="U200" s="984"/>
      <c r="V200" s="984"/>
      <c r="W200" s="984"/>
      <c r="X200" s="984"/>
      <c r="Y200" s="984"/>
      <c r="Z200" s="985"/>
      <c r="AA200" s="985"/>
      <c r="AB200" s="1757"/>
      <c r="AC200" s="1757"/>
      <c r="AD200" s="1757"/>
      <c r="AE200" s="1757"/>
      <c r="AF200" s="1757"/>
      <c r="AG200" s="1757"/>
      <c r="AH200" s="1753"/>
      <c r="AI200" s="1753"/>
      <c r="AJ200" s="1753"/>
      <c r="AK200" s="1753"/>
      <c r="AL200" s="1753"/>
      <c r="AM200" s="1753"/>
      <c r="AN200" s="1753"/>
      <c r="AO200" s="1753"/>
      <c r="AP200" s="1753"/>
      <c r="AQ200" s="1753"/>
      <c r="AR200" s="1753"/>
      <c r="AS200" s="1753"/>
      <c r="AT200" s="1753"/>
      <c r="AU200" s="1753"/>
      <c r="AV200" s="1753"/>
      <c r="AW200" s="1753"/>
      <c r="AX200" s="1753"/>
      <c r="AY200" s="1753"/>
      <c r="AZ200" s="1753"/>
      <c r="BA200" s="1753"/>
    </row>
    <row r="201" spans="1:53" ht="22.5" customHeight="1">
      <c r="A201" s="1758"/>
      <c r="B201" s="1759"/>
      <c r="C201" s="1759"/>
      <c r="D201" s="1759"/>
      <c r="E201" s="973"/>
      <c r="F201" s="960" t="s">
        <v>416</v>
      </c>
      <c r="G201" s="960"/>
      <c r="H201" s="960"/>
      <c r="I201" s="960"/>
      <c r="J201" s="960"/>
      <c r="K201" s="960"/>
      <c r="L201" s="960"/>
      <c r="M201" s="960"/>
      <c r="N201" s="960"/>
      <c r="O201" s="960"/>
      <c r="P201" s="960"/>
      <c r="Q201" s="960"/>
      <c r="R201" s="960"/>
      <c r="S201" s="960"/>
      <c r="T201" s="960"/>
      <c r="U201" s="960"/>
      <c r="V201" s="960"/>
      <c r="W201" s="960"/>
      <c r="X201" s="960"/>
      <c r="Y201" s="960"/>
      <c r="Z201" s="974"/>
      <c r="AA201" s="975"/>
      <c r="AB201" s="1760"/>
      <c r="AC201" s="1761"/>
      <c r="AD201" s="1762"/>
      <c r="AE201" s="1763"/>
      <c r="AF201" s="1763"/>
      <c r="AG201" s="1763"/>
      <c r="AH201" s="1754"/>
      <c r="AI201" s="1754"/>
      <c r="AJ201" s="1754"/>
      <c r="AK201" s="1754"/>
      <c r="AL201" s="1754"/>
      <c r="AM201" s="1754"/>
      <c r="AN201" s="1754"/>
      <c r="AO201" s="1754"/>
      <c r="AP201" s="1754"/>
      <c r="AQ201" s="1754"/>
      <c r="AR201" s="1754"/>
      <c r="AS201" s="1754"/>
      <c r="AT201" s="1754"/>
      <c r="AU201" s="1754"/>
      <c r="AV201" s="1754"/>
      <c r="AW201" s="1754"/>
      <c r="AX201" s="1754"/>
      <c r="AY201" s="1754"/>
      <c r="AZ201" s="1754"/>
      <c r="BA201" s="1755"/>
    </row>
    <row r="202" spans="1:53" ht="22.5" customHeight="1">
      <c r="A202" s="1736"/>
      <c r="B202" s="1737"/>
      <c r="C202" s="1737"/>
      <c r="D202" s="1737"/>
      <c r="E202" s="964"/>
      <c r="F202" s="965" t="s">
        <v>417</v>
      </c>
      <c r="G202" s="965"/>
      <c r="H202" s="965"/>
      <c r="I202" s="965"/>
      <c r="J202" s="965"/>
      <c r="K202" s="965"/>
      <c r="L202" s="965"/>
      <c r="M202" s="965"/>
      <c r="N202" s="965"/>
      <c r="O202" s="965"/>
      <c r="P202" s="965"/>
      <c r="Q202" s="965"/>
      <c r="R202" s="965"/>
      <c r="S202" s="965"/>
      <c r="T202" s="965"/>
      <c r="U202" s="965"/>
      <c r="V202" s="965"/>
      <c r="W202" s="965"/>
      <c r="X202" s="965"/>
      <c r="Y202" s="965"/>
      <c r="Z202" s="966"/>
      <c r="AA202" s="967"/>
      <c r="AB202" s="1744"/>
      <c r="AC202" s="1745"/>
      <c r="AD202" s="1746"/>
      <c r="AE202" s="1747" t="s">
        <v>153</v>
      </c>
      <c r="AF202" s="1747"/>
      <c r="AG202" s="1747"/>
      <c r="AH202" s="1748">
        <f>SUMIF(unos!E:E,AE202,unos!G:G)</f>
        <v>0</v>
      </c>
      <c r="AI202" s="1748"/>
      <c r="AJ202" s="1748"/>
      <c r="AK202" s="1748"/>
      <c r="AL202" s="1748"/>
      <c r="AM202" s="1748"/>
      <c r="AN202" s="1748"/>
      <c r="AO202" s="1748"/>
      <c r="AP202" s="1748"/>
      <c r="AQ202" s="1748"/>
      <c r="AR202" s="1748">
        <f>SUMIF(unos!E:E,AE202,unos!F:F)</f>
        <v>0</v>
      </c>
      <c r="AS202" s="1748"/>
      <c r="AT202" s="1748"/>
      <c r="AU202" s="1748"/>
      <c r="AV202" s="1748"/>
      <c r="AW202" s="1748"/>
      <c r="AX202" s="1748"/>
      <c r="AY202" s="1748"/>
      <c r="AZ202" s="1748"/>
      <c r="BA202" s="1756"/>
    </row>
    <row r="203" spans="1:53" ht="22.5" customHeight="1" thickBot="1">
      <c r="A203" s="1742"/>
      <c r="B203" s="1743"/>
      <c r="C203" s="1743"/>
      <c r="D203" s="1743"/>
      <c r="E203" s="969"/>
      <c r="F203" s="970" t="s">
        <v>418</v>
      </c>
      <c r="G203" s="970"/>
      <c r="H203" s="970"/>
      <c r="I203" s="970"/>
      <c r="J203" s="970"/>
      <c r="K203" s="970"/>
      <c r="L203" s="970"/>
      <c r="M203" s="970"/>
      <c r="N203" s="970"/>
      <c r="O203" s="970"/>
      <c r="P203" s="970"/>
      <c r="Q203" s="970"/>
      <c r="R203" s="970"/>
      <c r="S203" s="970"/>
      <c r="T203" s="970"/>
      <c r="U203" s="970"/>
      <c r="V203" s="970"/>
      <c r="W203" s="970"/>
      <c r="X203" s="970"/>
      <c r="Y203" s="970"/>
      <c r="Z203" s="971"/>
      <c r="AA203" s="972"/>
      <c r="AB203" s="1749"/>
      <c r="AC203" s="1750"/>
      <c r="AD203" s="1751"/>
      <c r="AE203" s="1752" t="s">
        <v>1395</v>
      </c>
      <c r="AF203" s="1752"/>
      <c r="AG203" s="1752"/>
      <c r="AH203" s="1734">
        <f>SUMIF(unos!E:E,AE203,unos!G:G)</f>
        <v>0</v>
      </c>
      <c r="AI203" s="1734"/>
      <c r="AJ203" s="1734"/>
      <c r="AK203" s="1734"/>
      <c r="AL203" s="1734"/>
      <c r="AM203" s="1734"/>
      <c r="AN203" s="1734"/>
      <c r="AO203" s="1734"/>
      <c r="AP203" s="1734"/>
      <c r="AQ203" s="1734"/>
      <c r="AR203" s="1734">
        <f>SUMIF(unos!E:E,AE203,unos!F:F)</f>
        <v>0</v>
      </c>
      <c r="AS203" s="1734"/>
      <c r="AT203" s="1734"/>
      <c r="AU203" s="1734"/>
      <c r="AV203" s="1734"/>
      <c r="AW203" s="1734"/>
      <c r="AX203" s="1734"/>
      <c r="AY203" s="1734"/>
      <c r="AZ203" s="1734"/>
      <c r="BA203" s="1735"/>
    </row>
    <row r="206" spans="1:53" s="947" customFormat="1" ht="27.75" customHeight="1">
      <c r="A206" s="1741" t="s">
        <v>2437</v>
      </c>
      <c r="B206" s="1741"/>
      <c r="C206" s="1741"/>
      <c r="D206" s="1741"/>
      <c r="E206" s="961"/>
      <c r="F206" s="1083">
        <f>FirmaSjediste</f>
        <v>0</v>
      </c>
      <c r="G206" s="961"/>
      <c r="H206" s="961"/>
      <c r="I206" s="961"/>
      <c r="J206" s="961"/>
      <c r="K206" s="961"/>
      <c r="L206" s="961"/>
      <c r="M206" s="961"/>
      <c r="N206" s="961"/>
      <c r="O206" s="984"/>
      <c r="P206" s="984"/>
      <c r="Q206" s="984"/>
      <c r="R206" s="984" t="s">
        <v>2628</v>
      </c>
      <c r="S206" s="984"/>
      <c r="T206" s="984"/>
      <c r="U206" s="984"/>
      <c r="V206" s="984"/>
      <c r="W206" s="984"/>
      <c r="X206" s="984"/>
      <c r="Y206" s="984"/>
      <c r="Z206" s="985"/>
      <c r="AA206" s="985"/>
      <c r="AB206" s="985"/>
      <c r="AC206" s="985"/>
      <c r="AD206" s="985"/>
      <c r="AE206" s="985"/>
      <c r="AF206" s="985"/>
      <c r="AG206" s="985"/>
      <c r="AH206" s="985"/>
      <c r="AI206" s="985"/>
      <c r="AJ206" s="985"/>
      <c r="AK206" s="985"/>
      <c r="AL206" s="985"/>
      <c r="AM206" s="985"/>
      <c r="AN206" s="985"/>
      <c r="AO206" s="985"/>
      <c r="AP206" s="985"/>
      <c r="AQ206" s="985"/>
      <c r="AR206" s="985"/>
      <c r="AS206" s="985" t="s">
        <v>845</v>
      </c>
      <c r="AT206" s="985"/>
      <c r="AU206" s="985"/>
      <c r="AV206" s="985"/>
      <c r="AW206" s="985"/>
      <c r="AX206" s="985"/>
      <c r="AY206" s="985"/>
      <c r="AZ206" s="985"/>
      <c r="BA206" s="985"/>
    </row>
    <row r="207" spans="1:53" s="947" customFormat="1" ht="27.75" customHeight="1">
      <c r="A207" s="1740" t="s">
        <v>2224</v>
      </c>
      <c r="B207" s="1740"/>
      <c r="C207" s="1740"/>
      <c r="D207" s="1740"/>
      <c r="E207" s="965"/>
      <c r="F207" s="1084" t="str">
        <f>ObracunPredaja</f>
        <v>28.2.2012.</v>
      </c>
      <c r="G207" s="965"/>
      <c r="H207" s="965"/>
      <c r="I207" s="965"/>
      <c r="J207" s="965"/>
      <c r="K207" s="965"/>
      <c r="L207" s="965"/>
      <c r="M207" s="965"/>
      <c r="N207" s="965"/>
      <c r="O207" s="984"/>
      <c r="P207" s="984"/>
      <c r="Q207" s="984"/>
      <c r="R207" s="984"/>
      <c r="S207" s="984"/>
      <c r="T207" s="984"/>
      <c r="U207" s="984"/>
      <c r="V207" s="984"/>
      <c r="W207" s="984"/>
      <c r="X207" s="984"/>
      <c r="Y207" s="984"/>
      <c r="Z207" s="985"/>
      <c r="AA207" s="985"/>
      <c r="AB207" s="985"/>
      <c r="AC207" s="985"/>
      <c r="AD207" s="985"/>
      <c r="AE207" s="985"/>
      <c r="AF207" s="985"/>
      <c r="AG207" s="985"/>
      <c r="AH207" s="985"/>
      <c r="AI207" s="985"/>
      <c r="AJ207" s="985"/>
      <c r="AK207" s="985"/>
      <c r="AL207" s="985"/>
      <c r="AM207" s="985"/>
      <c r="AN207" s="985"/>
      <c r="AO207" s="985"/>
      <c r="AP207" s="985"/>
      <c r="AQ207" s="985"/>
      <c r="AR207" s="985"/>
      <c r="AS207" s="985"/>
      <c r="AT207" s="985"/>
      <c r="AU207" s="985"/>
      <c r="AV207" s="985"/>
      <c r="AW207" s="985"/>
      <c r="AX207" s="985"/>
      <c r="AY207" s="985"/>
      <c r="AZ207" s="985"/>
      <c r="BA207" s="985"/>
    </row>
    <row r="208" spans="1:53" s="947" customFormat="1" ht="9.75" customHeight="1">
      <c r="A208" s="1738"/>
      <c r="B208" s="1738"/>
      <c r="C208" s="1738"/>
      <c r="D208" s="1738"/>
      <c r="E208" s="984"/>
      <c r="F208" s="984"/>
      <c r="G208" s="984"/>
      <c r="H208" s="984"/>
      <c r="I208" s="984"/>
      <c r="J208" s="984"/>
      <c r="K208" s="984"/>
      <c r="L208" s="984"/>
      <c r="M208" s="984"/>
      <c r="N208" s="984"/>
      <c r="O208" s="984"/>
      <c r="P208" s="984"/>
      <c r="Q208" s="984"/>
      <c r="R208" s="961"/>
      <c r="S208" s="961"/>
      <c r="T208" s="961"/>
      <c r="U208" s="961"/>
      <c r="V208" s="961"/>
      <c r="W208" s="961"/>
      <c r="X208" s="961"/>
      <c r="Y208" s="961"/>
      <c r="Z208" s="962"/>
      <c r="AA208" s="985"/>
      <c r="AB208" s="985"/>
      <c r="AC208" s="985"/>
      <c r="AD208" s="985"/>
      <c r="AE208" s="985"/>
      <c r="AF208" s="985"/>
      <c r="AG208" s="985"/>
      <c r="AH208" s="985"/>
      <c r="AI208" s="985"/>
      <c r="AJ208" s="985"/>
      <c r="AK208" s="985"/>
      <c r="AL208" s="985"/>
      <c r="AM208" s="985"/>
      <c r="AN208" s="985"/>
      <c r="AO208" s="985"/>
      <c r="AP208" s="985"/>
      <c r="AQ208" s="962"/>
      <c r="AR208" s="962"/>
      <c r="AS208" s="962"/>
      <c r="AT208" s="962"/>
      <c r="AU208" s="962"/>
      <c r="AV208" s="962"/>
      <c r="AW208" s="962"/>
      <c r="AX208" s="962"/>
      <c r="AY208" s="985"/>
      <c r="AZ208" s="985"/>
      <c r="BA208" s="985"/>
    </row>
    <row r="209" spans="1:53" s="947" customFormat="1" ht="27.75" customHeight="1">
      <c r="A209" s="1738"/>
      <c r="B209" s="1738"/>
      <c r="C209" s="1738"/>
      <c r="D209" s="1738"/>
      <c r="E209" s="984"/>
      <c r="F209" s="984"/>
      <c r="G209" s="984"/>
      <c r="H209" s="984"/>
      <c r="I209" s="984"/>
      <c r="J209" s="984"/>
      <c r="K209" s="984"/>
      <c r="L209" s="984"/>
      <c r="M209" s="984"/>
      <c r="N209" s="984"/>
      <c r="O209" s="984"/>
      <c r="P209" s="984"/>
      <c r="Q209" s="984"/>
      <c r="R209" s="984"/>
      <c r="S209" s="984"/>
      <c r="T209" s="984"/>
      <c r="U209" s="987">
        <f>RacunovodjaIme</f>
        <v>0</v>
      </c>
      <c r="V209" s="984"/>
      <c r="W209" s="984"/>
      <c r="X209" s="984"/>
      <c r="Y209" s="984"/>
      <c r="Z209" s="985"/>
      <c r="AA209" s="985"/>
      <c r="AB209" s="985"/>
      <c r="AC209" s="985"/>
      <c r="AD209" s="985"/>
      <c r="AE209" s="985"/>
      <c r="AF209" s="985"/>
      <c r="AG209" s="985"/>
      <c r="AH209" s="985"/>
      <c r="AI209" s="985"/>
      <c r="AJ209" s="985"/>
      <c r="AK209" s="985"/>
      <c r="AL209" s="985"/>
      <c r="AM209" s="985"/>
      <c r="AN209" s="985"/>
      <c r="AO209" s="985"/>
      <c r="AP209" s="985"/>
      <c r="AQ209" s="985"/>
      <c r="AR209" s="985"/>
      <c r="AS209" s="985"/>
      <c r="AT209" s="987">
        <f>FirmaDirekor</f>
        <v>0</v>
      </c>
      <c r="AU209" s="985"/>
      <c r="AV209" s="985"/>
      <c r="AW209" s="985"/>
      <c r="AX209" s="985"/>
      <c r="AY209" s="985"/>
      <c r="AZ209" s="985"/>
      <c r="BA209" s="985"/>
    </row>
    <row r="210" spans="1:53" s="947" customFormat="1" ht="27.75" customHeight="1">
      <c r="A210" s="1738"/>
      <c r="B210" s="1738"/>
      <c r="C210" s="1738"/>
      <c r="D210" s="1738"/>
      <c r="E210" s="984"/>
      <c r="F210" s="984"/>
      <c r="G210" s="984"/>
      <c r="H210" s="984"/>
      <c r="I210" s="984"/>
      <c r="J210" s="984"/>
      <c r="K210" s="984"/>
      <c r="L210" s="984"/>
      <c r="M210" s="984"/>
      <c r="N210" s="984"/>
      <c r="O210" s="984"/>
      <c r="P210" s="984"/>
      <c r="Q210" s="984"/>
      <c r="R210" s="984" t="s">
        <v>844</v>
      </c>
      <c r="S210" s="984"/>
      <c r="T210" s="984"/>
      <c r="U210" s="984"/>
      <c r="V210" s="1739">
        <f>RacunovodjaLicenca</f>
        <v>0</v>
      </c>
      <c r="W210" s="1739"/>
      <c r="X210" s="1739"/>
      <c r="Y210" s="1739"/>
      <c r="Z210" s="1739"/>
      <c r="AA210" s="985"/>
      <c r="AB210" s="985"/>
      <c r="AC210" s="985"/>
      <c r="AD210" s="985"/>
      <c r="AE210" s="985"/>
      <c r="AF210" s="985"/>
      <c r="AG210" s="985"/>
      <c r="AH210" s="985"/>
      <c r="AI210" s="985"/>
      <c r="AJ210" s="985"/>
      <c r="AK210" s="985"/>
      <c r="AL210" s="985"/>
      <c r="AM210" s="985"/>
      <c r="AN210" s="985"/>
      <c r="AO210" s="985"/>
      <c r="AP210" s="985"/>
      <c r="AQ210" s="985"/>
      <c r="AR210" s="985"/>
      <c r="AS210" s="985"/>
      <c r="AT210" s="985"/>
      <c r="AU210" s="985"/>
      <c r="AV210" s="985"/>
      <c r="AW210" s="985"/>
      <c r="AX210" s="985"/>
      <c r="AY210" s="985"/>
      <c r="AZ210" s="985"/>
      <c r="BA210" s="985"/>
    </row>
    <row r="211" spans="1:53" s="947" customFormat="1" ht="27.75" customHeight="1">
      <c r="A211" s="1738"/>
      <c r="B211" s="1738"/>
      <c r="C211" s="1738"/>
      <c r="D211" s="1738"/>
      <c r="E211" s="984"/>
      <c r="F211" s="984"/>
      <c r="G211" s="984"/>
      <c r="H211" s="984"/>
      <c r="I211" s="984"/>
      <c r="J211" s="984"/>
      <c r="K211" s="984"/>
      <c r="L211" s="984"/>
      <c r="M211" s="984"/>
      <c r="N211" s="984"/>
      <c r="O211" s="984"/>
      <c r="P211" s="984"/>
      <c r="Q211" s="984"/>
      <c r="R211" s="984"/>
      <c r="S211" s="984"/>
      <c r="T211" s="984"/>
      <c r="U211" s="984"/>
      <c r="V211" s="984"/>
      <c r="W211" s="984"/>
      <c r="X211" s="984"/>
      <c r="Y211" s="984"/>
      <c r="Z211" s="985"/>
      <c r="AA211" s="985"/>
      <c r="AB211" s="985"/>
      <c r="AC211" s="985"/>
      <c r="AD211" s="985"/>
      <c r="AE211" s="985"/>
      <c r="AF211" s="985"/>
      <c r="AG211" s="985"/>
      <c r="AH211" s="985"/>
      <c r="AI211" s="985"/>
      <c r="AJ211" s="985"/>
      <c r="AK211" s="985"/>
      <c r="AL211" s="985"/>
      <c r="AM211" s="985"/>
      <c r="AN211" s="985"/>
      <c r="AO211" s="985"/>
      <c r="AP211" s="985"/>
      <c r="AQ211" s="985"/>
      <c r="AR211" s="985"/>
      <c r="AS211" s="985"/>
      <c r="AT211" s="985"/>
      <c r="AU211" s="985"/>
      <c r="AV211" s="985"/>
      <c r="AW211" s="985"/>
      <c r="AX211" s="985"/>
      <c r="AY211" s="985"/>
      <c r="AZ211" s="985"/>
      <c r="BA211" s="985"/>
    </row>
    <row r="218" spans="1:53" ht="15.75" customHeight="1">
      <c r="BA218" s="989" t="s">
        <v>1</v>
      </c>
    </row>
  </sheetData>
  <mergeCells count="932">
    <mergeCell ref="A6:W6"/>
    <mergeCell ref="A7:W7"/>
    <mergeCell ref="A2:W2"/>
    <mergeCell ref="A3:W3"/>
    <mergeCell ref="A4:W4"/>
    <mergeCell ref="A5:W5"/>
    <mergeCell ref="A19:BA19"/>
    <mergeCell ref="AK13:AZ13"/>
    <mergeCell ref="A14:P14"/>
    <mergeCell ref="S14:AH14"/>
    <mergeCell ref="AK14:AZ14"/>
    <mergeCell ref="A13:P13"/>
    <mergeCell ref="S13:AH13"/>
    <mergeCell ref="T17:AG18"/>
    <mergeCell ref="AN17:BA18"/>
    <mergeCell ref="A25:D25"/>
    <mergeCell ref="E25:T25"/>
    <mergeCell ref="AB25:AD25"/>
    <mergeCell ref="AE25:AG25"/>
    <mergeCell ref="AR23:BA24"/>
    <mergeCell ref="AU22:BA22"/>
    <mergeCell ref="A23:D24"/>
    <mergeCell ref="E23:T24"/>
    <mergeCell ref="AB23:AD24"/>
    <mergeCell ref="AE23:AG24"/>
    <mergeCell ref="AH25:AQ25"/>
    <mergeCell ref="AR25:BA25"/>
    <mergeCell ref="A22:D22"/>
    <mergeCell ref="E22:T22"/>
    <mergeCell ref="U22:V22"/>
    <mergeCell ref="W22:Y22"/>
    <mergeCell ref="Z22:AF22"/>
    <mergeCell ref="AG22:AM22"/>
    <mergeCell ref="AH23:AQ24"/>
    <mergeCell ref="AN22:AT22"/>
    <mergeCell ref="AR26:BA26"/>
    <mergeCell ref="A27:D27"/>
    <mergeCell ref="AB27:AD27"/>
    <mergeCell ref="AE27:AG27"/>
    <mergeCell ref="AH27:AQ27"/>
    <mergeCell ref="AR27:BA27"/>
    <mergeCell ref="A26:D26"/>
    <mergeCell ref="AB26:AD26"/>
    <mergeCell ref="AE26:AG26"/>
    <mergeCell ref="AH26:AQ26"/>
    <mergeCell ref="AR28:BA28"/>
    <mergeCell ref="A29:D29"/>
    <mergeCell ref="AB29:AD29"/>
    <mergeCell ref="AE29:AG29"/>
    <mergeCell ref="AH29:AQ29"/>
    <mergeCell ref="AR29:BA29"/>
    <mergeCell ref="A28:D28"/>
    <mergeCell ref="AB28:AD28"/>
    <mergeCell ref="AE28:AG28"/>
    <mergeCell ref="AH28:AQ28"/>
    <mergeCell ref="AR30:BA30"/>
    <mergeCell ref="A31:D31"/>
    <mergeCell ref="AB31:AD31"/>
    <mergeCell ref="AE31:AG31"/>
    <mergeCell ref="AH31:AQ31"/>
    <mergeCell ref="AR31:BA31"/>
    <mergeCell ref="A30:D30"/>
    <mergeCell ref="AB30:AD30"/>
    <mergeCell ref="AE30:AG30"/>
    <mergeCell ref="AH30:AQ30"/>
    <mergeCell ref="AR32:BA32"/>
    <mergeCell ref="A33:D33"/>
    <mergeCell ref="AB33:AD33"/>
    <mergeCell ref="AE33:AG33"/>
    <mergeCell ref="AH33:AQ33"/>
    <mergeCell ref="AR33:BA33"/>
    <mergeCell ref="A32:D32"/>
    <mergeCell ref="AB32:AD32"/>
    <mergeCell ref="AE32:AG32"/>
    <mergeCell ref="AH32:AQ32"/>
    <mergeCell ref="AR34:BA34"/>
    <mergeCell ref="A35:D35"/>
    <mergeCell ref="AB35:AD35"/>
    <mergeCell ref="AE35:AG35"/>
    <mergeCell ref="AH35:AQ35"/>
    <mergeCell ref="AR35:BA35"/>
    <mergeCell ref="A34:D34"/>
    <mergeCell ref="AB34:AD34"/>
    <mergeCell ref="AE34:AG34"/>
    <mergeCell ref="AH34:AQ34"/>
    <mergeCell ref="AR36:BA36"/>
    <mergeCell ref="A37:D37"/>
    <mergeCell ref="AB37:AD37"/>
    <mergeCell ref="AE37:AG37"/>
    <mergeCell ref="AH37:AQ37"/>
    <mergeCell ref="AR37:BA37"/>
    <mergeCell ref="A36:D36"/>
    <mergeCell ref="AB36:AD36"/>
    <mergeCell ref="AE36:AG36"/>
    <mergeCell ref="AH36:AQ36"/>
    <mergeCell ref="AR38:BA38"/>
    <mergeCell ref="Z39:AF39"/>
    <mergeCell ref="AG39:AM39"/>
    <mergeCell ref="AN39:AT39"/>
    <mergeCell ref="A38:D38"/>
    <mergeCell ref="AB38:AD38"/>
    <mergeCell ref="AE38:AG38"/>
    <mergeCell ref="AH38:AQ38"/>
    <mergeCell ref="A39:D39"/>
    <mergeCell ref="E39:T39"/>
    <mergeCell ref="U39:V39"/>
    <mergeCell ref="W39:Y39"/>
    <mergeCell ref="AR41:BA41"/>
    <mergeCell ref="AU39:BA39"/>
    <mergeCell ref="AR42:BA42"/>
    <mergeCell ref="A41:D41"/>
    <mergeCell ref="E41:T41"/>
    <mergeCell ref="AB41:AD41"/>
    <mergeCell ref="AE41:AG41"/>
    <mergeCell ref="A42:D42"/>
    <mergeCell ref="AB42:AD42"/>
    <mergeCell ref="AE42:AG42"/>
    <mergeCell ref="AH42:AQ42"/>
    <mergeCell ref="AH41:AQ41"/>
    <mergeCell ref="AR43:BA43"/>
    <mergeCell ref="A44:D44"/>
    <mergeCell ref="AB44:AD44"/>
    <mergeCell ref="AE44:AG44"/>
    <mergeCell ref="AH44:AQ44"/>
    <mergeCell ref="AR44:BA44"/>
    <mergeCell ref="A43:D43"/>
    <mergeCell ref="AB43:AD43"/>
    <mergeCell ref="AE43:AG43"/>
    <mergeCell ref="AH43:AQ43"/>
    <mergeCell ref="AR45:BA45"/>
    <mergeCell ref="A46:D46"/>
    <mergeCell ref="AB46:AD46"/>
    <mergeCell ref="AE46:AG46"/>
    <mergeCell ref="AH46:AQ46"/>
    <mergeCell ref="AR46:BA46"/>
    <mergeCell ref="A45:D45"/>
    <mergeCell ref="AB45:AD45"/>
    <mergeCell ref="AE45:AG45"/>
    <mergeCell ref="AH45:AQ45"/>
    <mergeCell ref="AR47:BA47"/>
    <mergeCell ref="A48:D48"/>
    <mergeCell ref="AB48:AD48"/>
    <mergeCell ref="AE48:AG48"/>
    <mergeCell ref="AH48:AQ48"/>
    <mergeCell ref="AR48:BA48"/>
    <mergeCell ref="A47:D47"/>
    <mergeCell ref="AB47:AD47"/>
    <mergeCell ref="AE47:AG47"/>
    <mergeCell ref="AH47:AQ47"/>
    <mergeCell ref="AR49:BA49"/>
    <mergeCell ref="A50:D50"/>
    <mergeCell ref="AB50:AD50"/>
    <mergeCell ref="AE50:AG50"/>
    <mergeCell ref="AH50:AQ50"/>
    <mergeCell ref="AR50:BA50"/>
    <mergeCell ref="A49:D49"/>
    <mergeCell ref="AB49:AD49"/>
    <mergeCell ref="AE49:AG49"/>
    <mergeCell ref="AH49:AQ49"/>
    <mergeCell ref="AR51:BA51"/>
    <mergeCell ref="A52:D52"/>
    <mergeCell ref="AB52:AD52"/>
    <mergeCell ref="AE52:AG52"/>
    <mergeCell ref="AH52:AQ52"/>
    <mergeCell ref="AR52:BA52"/>
    <mergeCell ref="A51:D51"/>
    <mergeCell ref="AB51:AD51"/>
    <mergeCell ref="AE51:AG51"/>
    <mergeCell ref="AH51:AQ51"/>
    <mergeCell ref="AR53:BA53"/>
    <mergeCell ref="A54:D54"/>
    <mergeCell ref="AB54:AD54"/>
    <mergeCell ref="AE54:AG54"/>
    <mergeCell ref="AH54:AQ54"/>
    <mergeCell ref="AR54:BA54"/>
    <mergeCell ref="A53:D53"/>
    <mergeCell ref="AB53:AD53"/>
    <mergeCell ref="AE53:AG53"/>
    <mergeCell ref="AH53:AQ53"/>
    <mergeCell ref="AR55:BA55"/>
    <mergeCell ref="A56:D56"/>
    <mergeCell ref="AB56:AD56"/>
    <mergeCell ref="AE56:AG56"/>
    <mergeCell ref="AH56:AQ56"/>
    <mergeCell ref="AR56:BA56"/>
    <mergeCell ref="A55:D55"/>
    <mergeCell ref="AB55:AD55"/>
    <mergeCell ref="AE55:AG55"/>
    <mergeCell ref="AH55:AQ55"/>
    <mergeCell ref="AR57:BA57"/>
    <mergeCell ref="A58:D58"/>
    <mergeCell ref="AB58:AD58"/>
    <mergeCell ref="AE58:AG58"/>
    <mergeCell ref="AH58:AQ58"/>
    <mergeCell ref="AR58:BA58"/>
    <mergeCell ref="A57:D57"/>
    <mergeCell ref="AB57:AD57"/>
    <mergeCell ref="AE57:AG57"/>
    <mergeCell ref="AH57:AQ57"/>
    <mergeCell ref="AR59:BA59"/>
    <mergeCell ref="A60:D60"/>
    <mergeCell ref="AB60:AD60"/>
    <mergeCell ref="AE60:AG60"/>
    <mergeCell ref="AH60:AQ60"/>
    <mergeCell ref="AR60:BA60"/>
    <mergeCell ref="A59:D59"/>
    <mergeCell ref="AB59:AD59"/>
    <mergeCell ref="AE59:AG59"/>
    <mergeCell ref="AH59:AQ59"/>
    <mergeCell ref="AR61:BA61"/>
    <mergeCell ref="A62:D62"/>
    <mergeCell ref="AB62:AD62"/>
    <mergeCell ref="AE62:AG62"/>
    <mergeCell ref="AH62:AQ62"/>
    <mergeCell ref="AR62:BA62"/>
    <mergeCell ref="A61:D61"/>
    <mergeCell ref="AB61:AD61"/>
    <mergeCell ref="AE61:AG61"/>
    <mergeCell ref="AH61:AQ61"/>
    <mergeCell ref="AR66:BA66"/>
    <mergeCell ref="AR63:BA63"/>
    <mergeCell ref="A64:D64"/>
    <mergeCell ref="AB64:AD64"/>
    <mergeCell ref="AE64:AG64"/>
    <mergeCell ref="AH64:AQ64"/>
    <mergeCell ref="AR64:BA64"/>
    <mergeCell ref="A63:D63"/>
    <mergeCell ref="AB63:AD63"/>
    <mergeCell ref="AE63:AG63"/>
    <mergeCell ref="AH63:AQ63"/>
    <mergeCell ref="AB66:AD66"/>
    <mergeCell ref="AE66:AG66"/>
    <mergeCell ref="AR69:BA69"/>
    <mergeCell ref="A70:D70"/>
    <mergeCell ref="AB70:AD70"/>
    <mergeCell ref="AE70:AG70"/>
    <mergeCell ref="AH70:AQ70"/>
    <mergeCell ref="AR70:BA70"/>
    <mergeCell ref="A69:D69"/>
    <mergeCell ref="AB69:AD69"/>
    <mergeCell ref="A65:D65"/>
    <mergeCell ref="AB65:AD65"/>
    <mergeCell ref="AE65:AG65"/>
    <mergeCell ref="AH65:AQ65"/>
    <mergeCell ref="AR67:BA67"/>
    <mergeCell ref="A68:D68"/>
    <mergeCell ref="AB68:AD68"/>
    <mergeCell ref="AE68:AG68"/>
    <mergeCell ref="AH68:AQ68"/>
    <mergeCell ref="AR68:BA68"/>
    <mergeCell ref="A67:D67"/>
    <mergeCell ref="AB67:AD67"/>
    <mergeCell ref="AE67:AG67"/>
    <mergeCell ref="AH67:AQ67"/>
    <mergeCell ref="AR65:BA65"/>
    <mergeCell ref="A66:D66"/>
    <mergeCell ref="AR75:BA75"/>
    <mergeCell ref="AB75:AD75"/>
    <mergeCell ref="AH73:AQ73"/>
    <mergeCell ref="AU71:BA71"/>
    <mergeCell ref="A71:D71"/>
    <mergeCell ref="E71:T71"/>
    <mergeCell ref="U71:V71"/>
    <mergeCell ref="W71:Y71"/>
    <mergeCell ref="AG71:AM71"/>
    <mergeCell ref="AN71:AT71"/>
    <mergeCell ref="AR74:BA74"/>
    <mergeCell ref="A73:D73"/>
    <mergeCell ref="E73:T73"/>
    <mergeCell ref="AR73:BA73"/>
    <mergeCell ref="A74:D74"/>
    <mergeCell ref="AB74:AD74"/>
    <mergeCell ref="AE74:AG74"/>
    <mergeCell ref="AH74:AQ74"/>
    <mergeCell ref="AB73:AD73"/>
    <mergeCell ref="AE73:AG73"/>
    <mergeCell ref="A97:D97"/>
    <mergeCell ref="AB92:AD92"/>
    <mergeCell ref="AE92:AG92"/>
    <mergeCell ref="AH92:AQ92"/>
    <mergeCell ref="AB90:AD90"/>
    <mergeCell ref="A96:D96"/>
    <mergeCell ref="AE79:AG79"/>
    <mergeCell ref="A78:D78"/>
    <mergeCell ref="AB78:AD78"/>
    <mergeCell ref="AE78:AG78"/>
    <mergeCell ref="A94:D94"/>
    <mergeCell ref="A95:D95"/>
    <mergeCell ref="AH91:AQ91"/>
    <mergeCell ref="AH82:AQ82"/>
    <mergeCell ref="AB97:AD97"/>
    <mergeCell ref="AE97:AG97"/>
    <mergeCell ref="AH97:AQ97"/>
    <mergeCell ref="AB83:AD83"/>
    <mergeCell ref="AE87:AG87"/>
    <mergeCell ref="AH87:AQ87"/>
    <mergeCell ref="A93:D93"/>
    <mergeCell ref="A89:D89"/>
    <mergeCell ref="A92:D92"/>
    <mergeCell ref="A91:D91"/>
    <mergeCell ref="Z20:AA20"/>
    <mergeCell ref="E79:AA79"/>
    <mergeCell ref="AE77:AG77"/>
    <mergeCell ref="AH77:AQ77"/>
    <mergeCell ref="AE69:AG69"/>
    <mergeCell ref="AH69:AQ69"/>
    <mergeCell ref="E89:AA89"/>
    <mergeCell ref="AB20:AH20"/>
    <mergeCell ref="Z71:AF71"/>
    <mergeCell ref="S20:Y20"/>
    <mergeCell ref="AB86:AD86"/>
    <mergeCell ref="AE86:AG86"/>
    <mergeCell ref="AH86:AQ86"/>
    <mergeCell ref="AE85:AG85"/>
    <mergeCell ref="AH85:AQ85"/>
    <mergeCell ref="AE84:AG84"/>
    <mergeCell ref="AH84:AQ84"/>
    <mergeCell ref="AB76:AD76"/>
    <mergeCell ref="AE76:AG76"/>
    <mergeCell ref="AH76:AQ76"/>
    <mergeCell ref="AE75:AG75"/>
    <mergeCell ref="AH75:AQ75"/>
    <mergeCell ref="AH83:AQ83"/>
    <mergeCell ref="AH66:AQ66"/>
    <mergeCell ref="A77:D77"/>
    <mergeCell ref="AB77:AD77"/>
    <mergeCell ref="AE81:AG81"/>
    <mergeCell ref="A80:D80"/>
    <mergeCell ref="AB80:AD80"/>
    <mergeCell ref="AE80:AG80"/>
    <mergeCell ref="A75:D75"/>
    <mergeCell ref="A83:D83"/>
    <mergeCell ref="A90:D90"/>
    <mergeCell ref="A85:D85"/>
    <mergeCell ref="AB85:AD85"/>
    <mergeCell ref="A76:D76"/>
    <mergeCell ref="AB88:AD88"/>
    <mergeCell ref="A87:D87"/>
    <mergeCell ref="AB87:AD87"/>
    <mergeCell ref="AE82:AG82"/>
    <mergeCell ref="AE83:AG83"/>
    <mergeCell ref="A86:D86"/>
    <mergeCell ref="AE89:AG89"/>
    <mergeCell ref="A88:D88"/>
    <mergeCell ref="A84:D84"/>
    <mergeCell ref="AB84:AD84"/>
    <mergeCell ref="AR85:BA85"/>
    <mergeCell ref="AR86:BA86"/>
    <mergeCell ref="AR78:BA78"/>
    <mergeCell ref="AH81:AQ81"/>
    <mergeCell ref="AR79:BA79"/>
    <mergeCell ref="AH80:AQ80"/>
    <mergeCell ref="AR82:BA82"/>
    <mergeCell ref="A81:D81"/>
    <mergeCell ref="AB81:AD81"/>
    <mergeCell ref="AR80:BA80"/>
    <mergeCell ref="A79:D79"/>
    <mergeCell ref="AB79:AD79"/>
    <mergeCell ref="AR81:BA81"/>
    <mergeCell ref="A82:D82"/>
    <mergeCell ref="AB82:AD82"/>
    <mergeCell ref="AR76:BA76"/>
    <mergeCell ref="AH79:AQ79"/>
    <mergeCell ref="AR77:BA77"/>
    <mergeCell ref="AH78:AQ78"/>
    <mergeCell ref="AB96:AD96"/>
    <mergeCell ref="AE96:AG96"/>
    <mergeCell ref="AH96:AQ96"/>
    <mergeCell ref="AR96:BA96"/>
    <mergeCell ref="AR91:BA91"/>
    <mergeCell ref="AR87:BA87"/>
    <mergeCell ref="AR90:BA90"/>
    <mergeCell ref="AE93:AG93"/>
    <mergeCell ref="AH93:AQ93"/>
    <mergeCell ref="AH89:AQ89"/>
    <mergeCell ref="AH88:AQ88"/>
    <mergeCell ref="AE90:AG90"/>
    <mergeCell ref="AH90:AQ90"/>
    <mergeCell ref="AE88:AG88"/>
    <mergeCell ref="AR89:BA89"/>
    <mergeCell ref="AR84:BA84"/>
    <mergeCell ref="AR83:BA83"/>
    <mergeCell ref="AB93:AD93"/>
    <mergeCell ref="AB91:AD91"/>
    <mergeCell ref="AE91:AG91"/>
    <mergeCell ref="AR97:BA97"/>
    <mergeCell ref="AR88:BA88"/>
    <mergeCell ref="AB94:AD94"/>
    <mergeCell ref="AE94:AG94"/>
    <mergeCell ref="AH94:AQ94"/>
    <mergeCell ref="AR94:BA94"/>
    <mergeCell ref="AB95:AD95"/>
    <mergeCell ref="AE95:AG95"/>
    <mergeCell ref="AH95:AQ95"/>
    <mergeCell ref="AR95:BA95"/>
    <mergeCell ref="AR93:BA93"/>
    <mergeCell ref="AB89:AD89"/>
    <mergeCell ref="AR92:BA92"/>
    <mergeCell ref="AR98:BA98"/>
    <mergeCell ref="A99:D99"/>
    <mergeCell ref="AB99:AD99"/>
    <mergeCell ref="AE99:AG99"/>
    <mergeCell ref="AH99:AQ99"/>
    <mergeCell ref="AR99:BA99"/>
    <mergeCell ref="A98:D98"/>
    <mergeCell ref="AB98:AD98"/>
    <mergeCell ref="AE98:AG98"/>
    <mergeCell ref="AH98:AQ98"/>
    <mergeCell ref="AR100:BA100"/>
    <mergeCell ref="A100:D100"/>
    <mergeCell ref="AB100:AD100"/>
    <mergeCell ref="AE100:AG100"/>
    <mergeCell ref="AH100:AQ100"/>
    <mergeCell ref="A101:D101"/>
    <mergeCell ref="E101:T101"/>
    <mergeCell ref="U101:V101"/>
    <mergeCell ref="W101:Y101"/>
    <mergeCell ref="Z101:AF101"/>
    <mergeCell ref="E104:AA104"/>
    <mergeCell ref="A103:D103"/>
    <mergeCell ref="E103:T103"/>
    <mergeCell ref="AB103:AD103"/>
    <mergeCell ref="A104:D104"/>
    <mergeCell ref="AB104:AD104"/>
    <mergeCell ref="AG101:AM101"/>
    <mergeCell ref="AH103:AQ103"/>
    <mergeCell ref="AN101:AT101"/>
    <mergeCell ref="AR103:BA103"/>
    <mergeCell ref="AU101:BA101"/>
    <mergeCell ref="AR104:BA104"/>
    <mergeCell ref="AE104:AG104"/>
    <mergeCell ref="AH104:AQ104"/>
    <mergeCell ref="AE103:AG103"/>
    <mergeCell ref="AB108:AD108"/>
    <mergeCell ref="AE108:AG108"/>
    <mergeCell ref="AH108:AQ108"/>
    <mergeCell ref="A107:D107"/>
    <mergeCell ref="F108:AA108"/>
    <mergeCell ref="AB107:AD107"/>
    <mergeCell ref="A108:D108"/>
    <mergeCell ref="AR105:BA105"/>
    <mergeCell ref="AR106:BA106"/>
    <mergeCell ref="AR107:BA107"/>
    <mergeCell ref="AH105:AQ105"/>
    <mergeCell ref="AH106:AQ106"/>
    <mergeCell ref="AR108:BA108"/>
    <mergeCell ref="AE107:AG107"/>
    <mergeCell ref="AH107:AQ107"/>
    <mergeCell ref="A105:D105"/>
    <mergeCell ref="AB105:AD105"/>
    <mergeCell ref="AE105:AG105"/>
    <mergeCell ref="A106:D106"/>
    <mergeCell ref="AB106:AD106"/>
    <mergeCell ref="AE106:AG106"/>
    <mergeCell ref="AR109:BA109"/>
    <mergeCell ref="A110:D110"/>
    <mergeCell ref="AB110:AD110"/>
    <mergeCell ref="AE110:AG110"/>
    <mergeCell ref="AH110:AQ110"/>
    <mergeCell ref="AR110:BA110"/>
    <mergeCell ref="F110:AA110"/>
    <mergeCell ref="A109:D109"/>
    <mergeCell ref="AB109:AD109"/>
    <mergeCell ref="AE109:AG109"/>
    <mergeCell ref="AH109:AQ109"/>
    <mergeCell ref="AR111:BA111"/>
    <mergeCell ref="A112:D112"/>
    <mergeCell ref="AB112:AD112"/>
    <mergeCell ref="AE112:AG112"/>
    <mergeCell ref="AH112:AQ112"/>
    <mergeCell ref="AR112:BA112"/>
    <mergeCell ref="A111:D111"/>
    <mergeCell ref="AB111:AD111"/>
    <mergeCell ref="AE111:AG111"/>
    <mergeCell ref="AH111:AQ111"/>
    <mergeCell ref="AR113:BA113"/>
    <mergeCell ref="A114:D114"/>
    <mergeCell ref="AB114:AD114"/>
    <mergeCell ref="AE114:AG114"/>
    <mergeCell ref="AH114:AQ114"/>
    <mergeCell ref="AR114:BA114"/>
    <mergeCell ref="A113:D113"/>
    <mergeCell ref="AB113:AD113"/>
    <mergeCell ref="AE113:AG113"/>
    <mergeCell ref="AH113:AQ113"/>
    <mergeCell ref="AR115:BA115"/>
    <mergeCell ref="A116:D116"/>
    <mergeCell ref="AB116:AD116"/>
    <mergeCell ref="AE116:AG116"/>
    <mergeCell ref="AH116:AQ116"/>
    <mergeCell ref="AR116:BA116"/>
    <mergeCell ref="A115:D115"/>
    <mergeCell ref="AB115:AD115"/>
    <mergeCell ref="AE115:AG115"/>
    <mergeCell ref="AH115:AQ115"/>
    <mergeCell ref="AR117:BA117"/>
    <mergeCell ref="A118:D118"/>
    <mergeCell ref="AB118:AD118"/>
    <mergeCell ref="AE118:AG118"/>
    <mergeCell ref="AH118:AQ118"/>
    <mergeCell ref="AR118:BA118"/>
    <mergeCell ref="A117:D117"/>
    <mergeCell ref="AB117:AD117"/>
    <mergeCell ref="AE117:AG117"/>
    <mergeCell ref="AH117:AQ117"/>
    <mergeCell ref="AR119:BA119"/>
    <mergeCell ref="A120:D120"/>
    <mergeCell ref="AB120:AD120"/>
    <mergeCell ref="AE120:AG120"/>
    <mergeCell ref="AH120:AQ120"/>
    <mergeCell ref="AR120:BA120"/>
    <mergeCell ref="F120:AA120"/>
    <mergeCell ref="A119:D119"/>
    <mergeCell ref="AB119:AD119"/>
    <mergeCell ref="AE119:AG119"/>
    <mergeCell ref="AH119:AQ119"/>
    <mergeCell ref="AR121:BA121"/>
    <mergeCell ref="A122:D122"/>
    <mergeCell ref="AB122:AD122"/>
    <mergeCell ref="AE122:AG122"/>
    <mergeCell ref="AH122:AQ122"/>
    <mergeCell ref="AR122:BA122"/>
    <mergeCell ref="A121:D121"/>
    <mergeCell ref="AB121:AD121"/>
    <mergeCell ref="AE121:AG121"/>
    <mergeCell ref="AH121:AQ121"/>
    <mergeCell ref="AR123:BA123"/>
    <mergeCell ref="A124:D124"/>
    <mergeCell ref="AB124:AD124"/>
    <mergeCell ref="AE124:AG124"/>
    <mergeCell ref="AH124:AQ124"/>
    <mergeCell ref="AR124:BA124"/>
    <mergeCell ref="A123:D123"/>
    <mergeCell ref="AB123:AD123"/>
    <mergeCell ref="AE123:AG123"/>
    <mergeCell ref="AH123:AQ123"/>
    <mergeCell ref="AR125:BA125"/>
    <mergeCell ref="A126:D126"/>
    <mergeCell ref="AB126:AD126"/>
    <mergeCell ref="AE126:AG126"/>
    <mergeCell ref="AH126:AQ126"/>
    <mergeCell ref="AR126:BA126"/>
    <mergeCell ref="A125:D125"/>
    <mergeCell ref="AB125:AD125"/>
    <mergeCell ref="AE125:AG125"/>
    <mergeCell ref="AH125:AQ125"/>
    <mergeCell ref="AR127:BA127"/>
    <mergeCell ref="A128:D128"/>
    <mergeCell ref="AB128:AD128"/>
    <mergeCell ref="AE128:AG128"/>
    <mergeCell ref="AH128:AQ128"/>
    <mergeCell ref="AR128:BA128"/>
    <mergeCell ref="A127:D127"/>
    <mergeCell ref="AB127:AD127"/>
    <mergeCell ref="AE127:AG127"/>
    <mergeCell ref="AH127:AQ127"/>
    <mergeCell ref="AR134:BA134"/>
    <mergeCell ref="AH134:AQ134"/>
    <mergeCell ref="AB134:AD134"/>
    <mergeCell ref="AE134:AG134"/>
    <mergeCell ref="AR129:BA129"/>
    <mergeCell ref="A130:D130"/>
    <mergeCell ref="AB130:AD130"/>
    <mergeCell ref="AE130:AG130"/>
    <mergeCell ref="AH130:AQ130"/>
    <mergeCell ref="AR130:BA130"/>
    <mergeCell ref="A129:D129"/>
    <mergeCell ref="AB129:AD129"/>
    <mergeCell ref="AE129:AG129"/>
    <mergeCell ref="AH129:AQ129"/>
    <mergeCell ref="AR131:BA131"/>
    <mergeCell ref="A131:D131"/>
    <mergeCell ref="AB131:AD131"/>
    <mergeCell ref="AE131:AG131"/>
    <mergeCell ref="AH131:AQ131"/>
    <mergeCell ref="Z132:AF132"/>
    <mergeCell ref="AG132:AM132"/>
    <mergeCell ref="AN132:AT132"/>
    <mergeCell ref="AU132:BA132"/>
    <mergeCell ref="F137:AA137"/>
    <mergeCell ref="AE136:AG136"/>
    <mergeCell ref="AH136:AQ136"/>
    <mergeCell ref="A136:D136"/>
    <mergeCell ref="AB136:AD136"/>
    <mergeCell ref="E132:T132"/>
    <mergeCell ref="U132:V132"/>
    <mergeCell ref="W132:Y132"/>
    <mergeCell ref="A134:D134"/>
    <mergeCell ref="E134:T134"/>
    <mergeCell ref="A132:D132"/>
    <mergeCell ref="AR135:BA135"/>
    <mergeCell ref="AH138:AQ138"/>
    <mergeCell ref="AR136:BA136"/>
    <mergeCell ref="AR137:BA137"/>
    <mergeCell ref="AH135:AQ135"/>
    <mergeCell ref="AR138:BA138"/>
    <mergeCell ref="F138:AA138"/>
    <mergeCell ref="A140:D140"/>
    <mergeCell ref="AB140:AD140"/>
    <mergeCell ref="AE140:AG140"/>
    <mergeCell ref="AH140:AQ140"/>
    <mergeCell ref="A135:D135"/>
    <mergeCell ref="AB135:AD135"/>
    <mergeCell ref="AE135:AG135"/>
    <mergeCell ref="A138:D138"/>
    <mergeCell ref="AB138:AD138"/>
    <mergeCell ref="AE138:AG138"/>
    <mergeCell ref="A139:D139"/>
    <mergeCell ref="AB139:AD139"/>
    <mergeCell ref="AE139:AG139"/>
    <mergeCell ref="A137:D137"/>
    <mergeCell ref="AB137:AD137"/>
    <mergeCell ref="AE137:AG137"/>
    <mergeCell ref="AH137:AQ137"/>
    <mergeCell ref="AE142:AG142"/>
    <mergeCell ref="AH142:AQ142"/>
    <mergeCell ref="AR139:BA139"/>
    <mergeCell ref="AR142:BA142"/>
    <mergeCell ref="AH139:AQ139"/>
    <mergeCell ref="AR140:BA140"/>
    <mergeCell ref="A143:D143"/>
    <mergeCell ref="AB143:AD143"/>
    <mergeCell ref="AE143:AG143"/>
    <mergeCell ref="AH143:AQ143"/>
    <mergeCell ref="AR143:BA143"/>
    <mergeCell ref="A142:D142"/>
    <mergeCell ref="AB142:AD142"/>
    <mergeCell ref="A141:D141"/>
    <mergeCell ref="AB141:AD141"/>
    <mergeCell ref="AE141:AG141"/>
    <mergeCell ref="AH141:AQ141"/>
    <mergeCell ref="AR141:BA141"/>
    <mergeCell ref="F141:AA141"/>
    <mergeCell ref="F140:AA140"/>
    <mergeCell ref="AR144:BA144"/>
    <mergeCell ref="A145:D145"/>
    <mergeCell ref="AB145:AD145"/>
    <mergeCell ref="AE145:AG145"/>
    <mergeCell ref="AH145:AQ145"/>
    <mergeCell ref="AR145:BA145"/>
    <mergeCell ref="A144:D144"/>
    <mergeCell ref="AB144:AD144"/>
    <mergeCell ref="AE144:AG144"/>
    <mergeCell ref="AH144:AQ144"/>
    <mergeCell ref="AR146:BA146"/>
    <mergeCell ref="A147:D147"/>
    <mergeCell ref="AB147:AD147"/>
    <mergeCell ref="AE147:AG147"/>
    <mergeCell ref="AH147:AQ147"/>
    <mergeCell ref="AR147:BA147"/>
    <mergeCell ref="A146:D146"/>
    <mergeCell ref="AB146:AD146"/>
    <mergeCell ref="AE146:AG146"/>
    <mergeCell ref="AH146:AQ146"/>
    <mergeCell ref="AR148:BA148"/>
    <mergeCell ref="AR149:BA149"/>
    <mergeCell ref="A149:D149"/>
    <mergeCell ref="AB149:AD149"/>
    <mergeCell ref="AE149:AG149"/>
    <mergeCell ref="AH149:AQ149"/>
    <mergeCell ref="A148:D148"/>
    <mergeCell ref="AB148:AD148"/>
    <mergeCell ref="AE148:AG148"/>
    <mergeCell ref="AH148:AQ148"/>
    <mergeCell ref="AR150:BA150"/>
    <mergeCell ref="A151:D151"/>
    <mergeCell ref="AB151:AD151"/>
    <mergeCell ref="AE151:AG151"/>
    <mergeCell ref="AH151:AQ151"/>
    <mergeCell ref="AR151:BA151"/>
    <mergeCell ref="F150:AA150"/>
    <mergeCell ref="F151:AA151"/>
    <mergeCell ref="A150:D150"/>
    <mergeCell ref="AB150:AD150"/>
    <mergeCell ref="AE150:AG150"/>
    <mergeCell ref="AH150:AQ150"/>
    <mergeCell ref="AR152:BA152"/>
    <mergeCell ref="A153:D153"/>
    <mergeCell ref="AB153:AD153"/>
    <mergeCell ref="AE153:AG153"/>
    <mergeCell ref="AH153:AQ153"/>
    <mergeCell ref="AR153:BA153"/>
    <mergeCell ref="A152:D152"/>
    <mergeCell ref="AB152:AD152"/>
    <mergeCell ref="AE152:AG152"/>
    <mergeCell ref="AH152:AQ152"/>
    <mergeCell ref="AR154:BA154"/>
    <mergeCell ref="A155:D155"/>
    <mergeCell ref="AB155:AD155"/>
    <mergeCell ref="AE155:AG155"/>
    <mergeCell ref="AH155:AQ155"/>
    <mergeCell ref="AR155:BA155"/>
    <mergeCell ref="A154:D154"/>
    <mergeCell ref="AB154:AD154"/>
    <mergeCell ref="AE154:AG154"/>
    <mergeCell ref="AH154:AQ154"/>
    <mergeCell ref="AR156:BA156"/>
    <mergeCell ref="A157:D157"/>
    <mergeCell ref="AB157:AD157"/>
    <mergeCell ref="AE157:AG157"/>
    <mergeCell ref="AH157:AQ157"/>
    <mergeCell ref="AR157:BA157"/>
    <mergeCell ref="A156:D156"/>
    <mergeCell ref="AB156:AD156"/>
    <mergeCell ref="AE156:AG156"/>
    <mergeCell ref="AH156:AQ156"/>
    <mergeCell ref="AR160:BA160"/>
    <mergeCell ref="A160:D160"/>
    <mergeCell ref="AB160:AD160"/>
    <mergeCell ref="AE160:AG160"/>
    <mergeCell ref="AH160:AQ160"/>
    <mergeCell ref="Z161:AF161"/>
    <mergeCell ref="AG161:AM161"/>
    <mergeCell ref="A161:D161"/>
    <mergeCell ref="AR158:BA158"/>
    <mergeCell ref="A159:D159"/>
    <mergeCell ref="AB159:AD159"/>
    <mergeCell ref="AE159:AG159"/>
    <mergeCell ref="AH159:AQ159"/>
    <mergeCell ref="AR159:BA159"/>
    <mergeCell ref="A158:D158"/>
    <mergeCell ref="AB158:AD158"/>
    <mergeCell ref="AE158:AG158"/>
    <mergeCell ref="AH158:AQ158"/>
    <mergeCell ref="AR164:BA164"/>
    <mergeCell ref="AN161:AT161"/>
    <mergeCell ref="AU161:BA161"/>
    <mergeCell ref="A163:D163"/>
    <mergeCell ref="E163:T163"/>
    <mergeCell ref="AB163:AD163"/>
    <mergeCell ref="AE163:AG163"/>
    <mergeCell ref="A164:D164"/>
    <mergeCell ref="AR163:BA163"/>
    <mergeCell ref="AB164:AD164"/>
    <mergeCell ref="AE164:AG164"/>
    <mergeCell ref="AH164:AQ164"/>
    <mergeCell ref="AE166:AG166"/>
    <mergeCell ref="AH166:AQ166"/>
    <mergeCell ref="E161:T161"/>
    <mergeCell ref="U161:V161"/>
    <mergeCell ref="W161:Y161"/>
    <mergeCell ref="AH163:AQ163"/>
    <mergeCell ref="A165:D165"/>
    <mergeCell ref="AB165:AD165"/>
    <mergeCell ref="AE165:AG165"/>
    <mergeCell ref="AH165:AQ165"/>
    <mergeCell ref="AR166:BA166"/>
    <mergeCell ref="AR165:BA165"/>
    <mergeCell ref="AR169:BA169"/>
    <mergeCell ref="A170:D170"/>
    <mergeCell ref="AB170:AD170"/>
    <mergeCell ref="AE170:AG170"/>
    <mergeCell ref="AH170:AQ170"/>
    <mergeCell ref="AR170:BA170"/>
    <mergeCell ref="A169:D169"/>
    <mergeCell ref="AB169:AD169"/>
    <mergeCell ref="AE169:AG169"/>
    <mergeCell ref="AH169:AQ169"/>
    <mergeCell ref="AR167:BA167"/>
    <mergeCell ref="A168:D168"/>
    <mergeCell ref="AB168:AD168"/>
    <mergeCell ref="AE168:AG168"/>
    <mergeCell ref="AH168:AQ168"/>
    <mergeCell ref="AR168:BA168"/>
    <mergeCell ref="A167:D167"/>
    <mergeCell ref="AB167:AD167"/>
    <mergeCell ref="AE167:AG167"/>
    <mergeCell ref="AH167:AQ167"/>
    <mergeCell ref="A166:D166"/>
    <mergeCell ref="AB166:AD166"/>
    <mergeCell ref="AR171:BA171"/>
    <mergeCell ref="A172:D172"/>
    <mergeCell ref="AB172:AD172"/>
    <mergeCell ref="AE172:AG172"/>
    <mergeCell ref="AH172:AQ172"/>
    <mergeCell ref="AR172:BA172"/>
    <mergeCell ref="A171:D171"/>
    <mergeCell ref="AB171:AD171"/>
    <mergeCell ref="AE171:AG171"/>
    <mergeCell ref="AH171:AQ171"/>
    <mergeCell ref="AR173:BA173"/>
    <mergeCell ref="A174:D174"/>
    <mergeCell ref="AB174:AD174"/>
    <mergeCell ref="AE174:AG174"/>
    <mergeCell ref="AH174:AQ174"/>
    <mergeCell ref="AR174:BA174"/>
    <mergeCell ref="A173:D173"/>
    <mergeCell ref="AB173:AD173"/>
    <mergeCell ref="AE173:AG173"/>
    <mergeCell ref="AH173:AQ173"/>
    <mergeCell ref="AR175:BA175"/>
    <mergeCell ref="A176:D176"/>
    <mergeCell ref="AB176:AD176"/>
    <mergeCell ref="AE176:AG176"/>
    <mergeCell ref="AH176:AQ176"/>
    <mergeCell ref="AR176:BA176"/>
    <mergeCell ref="A175:D175"/>
    <mergeCell ref="AB175:AD175"/>
    <mergeCell ref="AE175:AG175"/>
    <mergeCell ref="AH175:AQ175"/>
    <mergeCell ref="AR177:BA177"/>
    <mergeCell ref="A178:D178"/>
    <mergeCell ref="AB178:AD178"/>
    <mergeCell ref="AE178:AG178"/>
    <mergeCell ref="AH178:AQ178"/>
    <mergeCell ref="AR178:BA178"/>
    <mergeCell ref="A177:D177"/>
    <mergeCell ref="AB177:AD177"/>
    <mergeCell ref="AE177:AG177"/>
    <mergeCell ref="AH177:AQ177"/>
    <mergeCell ref="AR179:BA179"/>
    <mergeCell ref="A180:D180"/>
    <mergeCell ref="AB180:AD180"/>
    <mergeCell ref="AE180:AG180"/>
    <mergeCell ref="AH180:AQ180"/>
    <mergeCell ref="AR180:BA180"/>
    <mergeCell ref="A179:D179"/>
    <mergeCell ref="AB179:AD179"/>
    <mergeCell ref="AE179:AG179"/>
    <mergeCell ref="AH179:AQ179"/>
    <mergeCell ref="AR181:BA181"/>
    <mergeCell ref="A182:D182"/>
    <mergeCell ref="AB182:AD182"/>
    <mergeCell ref="AE182:AG182"/>
    <mergeCell ref="AH182:AQ182"/>
    <mergeCell ref="AR182:BA182"/>
    <mergeCell ref="A181:D181"/>
    <mergeCell ref="AB181:AD181"/>
    <mergeCell ref="AE181:AG181"/>
    <mergeCell ref="AH181:AQ181"/>
    <mergeCell ref="AR183:BA183"/>
    <mergeCell ref="A184:D184"/>
    <mergeCell ref="AB184:AD184"/>
    <mergeCell ref="AE184:AG184"/>
    <mergeCell ref="AH184:AQ184"/>
    <mergeCell ref="AR184:BA184"/>
    <mergeCell ref="A183:D183"/>
    <mergeCell ref="AB183:AD183"/>
    <mergeCell ref="AE183:AG183"/>
    <mergeCell ref="AH183:AQ183"/>
    <mergeCell ref="AH185:AQ185"/>
    <mergeCell ref="Z186:AF186"/>
    <mergeCell ref="AG186:AM186"/>
    <mergeCell ref="AN186:AT186"/>
    <mergeCell ref="AR190:BA190"/>
    <mergeCell ref="AU186:BA186"/>
    <mergeCell ref="AR185:BA185"/>
    <mergeCell ref="A185:D185"/>
    <mergeCell ref="AB185:AD185"/>
    <mergeCell ref="AE185:AG185"/>
    <mergeCell ref="A186:D186"/>
    <mergeCell ref="E186:T186"/>
    <mergeCell ref="U186:V186"/>
    <mergeCell ref="W186:Y186"/>
    <mergeCell ref="AR191:BA191"/>
    <mergeCell ref="A190:D190"/>
    <mergeCell ref="E190:T190"/>
    <mergeCell ref="AB190:AD190"/>
    <mergeCell ref="AE190:AG190"/>
    <mergeCell ref="A191:D191"/>
    <mergeCell ref="AB191:AD191"/>
    <mergeCell ref="AE191:AG191"/>
    <mergeCell ref="AH191:AQ191"/>
    <mergeCell ref="AH190:AQ190"/>
    <mergeCell ref="AR192:BA192"/>
    <mergeCell ref="A193:D193"/>
    <mergeCell ref="AB193:AD193"/>
    <mergeCell ref="AE193:AG193"/>
    <mergeCell ref="AH193:AQ193"/>
    <mergeCell ref="AR193:BA193"/>
    <mergeCell ref="A192:D192"/>
    <mergeCell ref="AB192:AD192"/>
    <mergeCell ref="AE192:AG192"/>
    <mergeCell ref="AH192:AQ192"/>
    <mergeCell ref="AR194:BA194"/>
    <mergeCell ref="A195:D195"/>
    <mergeCell ref="AB195:AD195"/>
    <mergeCell ref="AE195:AG195"/>
    <mergeCell ref="AH195:AQ195"/>
    <mergeCell ref="AR195:BA195"/>
    <mergeCell ref="A194:D194"/>
    <mergeCell ref="AB194:AD194"/>
    <mergeCell ref="AE194:AG194"/>
    <mergeCell ref="AH194:AQ194"/>
    <mergeCell ref="AR196:BA196"/>
    <mergeCell ref="A197:D197"/>
    <mergeCell ref="AB197:AD197"/>
    <mergeCell ref="AE197:AG197"/>
    <mergeCell ref="AH197:AQ197"/>
    <mergeCell ref="AR197:BA197"/>
    <mergeCell ref="A196:D196"/>
    <mergeCell ref="AB196:AD196"/>
    <mergeCell ref="AE196:AG196"/>
    <mergeCell ref="AH196:AQ196"/>
    <mergeCell ref="A201:D201"/>
    <mergeCell ref="AB201:AD201"/>
    <mergeCell ref="AE201:AG201"/>
    <mergeCell ref="AH201:AQ201"/>
    <mergeCell ref="AR198:BA198"/>
    <mergeCell ref="A199:D199"/>
    <mergeCell ref="AB199:AD199"/>
    <mergeCell ref="AE199:AG199"/>
    <mergeCell ref="AH199:AQ199"/>
    <mergeCell ref="AR199:BA199"/>
    <mergeCell ref="A198:D198"/>
    <mergeCell ref="AB198:AD198"/>
    <mergeCell ref="AE198:AG198"/>
    <mergeCell ref="AH198:AQ198"/>
    <mergeCell ref="AI20:AL20"/>
    <mergeCell ref="AR203:BA203"/>
    <mergeCell ref="A202:D202"/>
    <mergeCell ref="A211:D211"/>
    <mergeCell ref="V210:Z210"/>
    <mergeCell ref="A210:D210"/>
    <mergeCell ref="A209:D209"/>
    <mergeCell ref="A208:D208"/>
    <mergeCell ref="A207:D207"/>
    <mergeCell ref="A206:D206"/>
    <mergeCell ref="A203:D203"/>
    <mergeCell ref="AB202:AD202"/>
    <mergeCell ref="AE202:AG202"/>
    <mergeCell ref="AH202:AQ202"/>
    <mergeCell ref="AB203:AD203"/>
    <mergeCell ref="AE203:AG203"/>
    <mergeCell ref="AH203:AQ203"/>
    <mergeCell ref="AR200:BA200"/>
    <mergeCell ref="AR201:BA201"/>
    <mergeCell ref="AR202:BA202"/>
    <mergeCell ref="A200:D200"/>
    <mergeCell ref="AB200:AD200"/>
    <mergeCell ref="AE200:AG200"/>
    <mergeCell ref="AH200:AQ200"/>
  </mergeCells>
  <phoneticPr fontId="60" type="noConversion"/>
  <pageMargins left="0.75" right="0.4" top="0.38" bottom="0.33" header="0.27" footer="0.23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5" enableFormatConditionsCalculation="0">
    <tabColor indexed="43"/>
  </sheetPr>
  <dimension ref="A1:BF27"/>
  <sheetViews>
    <sheetView showGridLines="0" topLeftCell="A7" workbookViewId="0">
      <selection activeCell="AD16" sqref="AD16"/>
    </sheetView>
  </sheetViews>
  <sheetFormatPr defaultColWidth="2.42578125" defaultRowHeight="18" customHeight="1"/>
  <cols>
    <col min="1" max="1" width="3.140625" style="319" customWidth="1"/>
    <col min="2" max="18" width="2.42578125" style="319" customWidth="1"/>
    <col min="19" max="19" width="3.140625" style="319" customWidth="1"/>
    <col min="20" max="21" width="2.42578125" style="319" customWidth="1"/>
    <col min="22" max="58" width="2.85546875" style="319" customWidth="1"/>
    <col min="59" max="16384" width="2.42578125" style="319"/>
  </cols>
  <sheetData>
    <row r="1" spans="1:58" ht="18" customHeight="1">
      <c r="B1" s="319" t="s">
        <v>179</v>
      </c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BF1" s="321"/>
    </row>
    <row r="2" spans="1:58" ht="18" customHeight="1">
      <c r="A2" s="1842">
        <f>FirmaNaziv</f>
        <v>0</v>
      </c>
      <c r="B2" s="1842"/>
      <c r="C2" s="1842"/>
      <c r="D2" s="1842"/>
      <c r="E2" s="1842"/>
      <c r="F2" s="1842"/>
      <c r="G2" s="1842"/>
      <c r="H2" s="1842"/>
      <c r="I2" s="1842"/>
      <c r="J2" s="1842"/>
      <c r="K2" s="1842"/>
      <c r="L2" s="1842"/>
      <c r="M2" s="1842"/>
      <c r="N2" s="1842"/>
      <c r="O2" s="1842"/>
      <c r="P2" s="1842"/>
      <c r="Q2" s="1842"/>
      <c r="R2" s="1842"/>
      <c r="S2" s="1842"/>
      <c r="T2" s="1842"/>
      <c r="U2" s="1842"/>
      <c r="V2" s="184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  <c r="AT2" s="341" t="str">
        <f>MID(FirmaID,1,1)</f>
        <v/>
      </c>
      <c r="AU2" s="341" t="str">
        <f>MID(FirmaID,2,1)</f>
        <v/>
      </c>
      <c r="AV2" s="341" t="str">
        <f>MID(FirmaID,3,1)</f>
        <v/>
      </c>
      <c r="AW2" s="341" t="str">
        <f>MID(FirmaID,4,1)</f>
        <v/>
      </c>
      <c r="AX2" s="341" t="str">
        <f>MID(FirmaID,5,1)</f>
        <v/>
      </c>
      <c r="AY2" s="341" t="str">
        <f>MID(FirmaID,6,1)</f>
        <v/>
      </c>
      <c r="AZ2" s="341" t="str">
        <f>MID(FirmaID,7,1)</f>
        <v/>
      </c>
      <c r="BA2" s="341" t="str">
        <f>MID(FirmaID,8,1)</f>
        <v/>
      </c>
      <c r="BB2" s="341" t="str">
        <f>MID(FirmaID,9,1)</f>
        <v/>
      </c>
      <c r="BC2" s="341" t="str">
        <f>MID(FirmaID,10,1)</f>
        <v/>
      </c>
      <c r="BD2" s="341" t="str">
        <f>MID(FirmaID,11,1)</f>
        <v/>
      </c>
      <c r="BE2" s="341" t="str">
        <f>MID(FirmaID,12,1)</f>
        <v/>
      </c>
      <c r="BF2" s="341" t="str">
        <f>MID(FirmaID,13,1)</f>
        <v/>
      </c>
    </row>
    <row r="3" spans="1:58" ht="18" customHeight="1">
      <c r="B3" s="323" t="s">
        <v>180</v>
      </c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BF3" s="321" t="s">
        <v>498</v>
      </c>
    </row>
    <row r="4" spans="1:58" ht="18" customHeight="1">
      <c r="A4" s="1843" t="str">
        <f>FirmaSjediste &amp; ", " &amp; FirmaAdresa</f>
        <v xml:space="preserve">, </v>
      </c>
      <c r="B4" s="1843"/>
      <c r="C4" s="1843"/>
      <c r="D4" s="1843"/>
      <c r="E4" s="1843"/>
      <c r="F4" s="1843"/>
      <c r="G4" s="1843"/>
      <c r="H4" s="1843"/>
      <c r="I4" s="1843"/>
      <c r="J4" s="1843"/>
      <c r="K4" s="1843"/>
      <c r="L4" s="1843"/>
      <c r="M4" s="1843"/>
      <c r="N4" s="1843"/>
      <c r="O4" s="1843"/>
      <c r="P4" s="1843"/>
      <c r="Q4" s="1843"/>
      <c r="R4" s="1843"/>
      <c r="S4" s="1843"/>
      <c r="T4" s="1843"/>
      <c r="U4" s="1843"/>
      <c r="V4" s="1843"/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4"/>
      <c r="AU4" s="341" t="str">
        <f>MID(FirmaPDV,1,1)</f>
        <v/>
      </c>
      <c r="AV4" s="341" t="str">
        <f>MID(FirmaPDV,2,1)</f>
        <v/>
      </c>
      <c r="AW4" s="341" t="str">
        <f>MID(FirmaPDV,3,1)</f>
        <v/>
      </c>
      <c r="AX4" s="341" t="str">
        <f>MID(FirmaPDV,4,1)</f>
        <v/>
      </c>
      <c r="AY4" s="341" t="str">
        <f>MID(FirmaPDV,5,1)</f>
        <v/>
      </c>
      <c r="AZ4" s="341" t="str">
        <f>MID(FirmaPDV,6,1)</f>
        <v/>
      </c>
      <c r="BA4" s="341" t="str">
        <f>MID(FirmaPDV,7,1)</f>
        <v/>
      </c>
      <c r="BB4" s="341" t="str">
        <f>MID(FirmaPDV,8,1)</f>
        <v/>
      </c>
      <c r="BC4" s="341" t="str">
        <f>MID(FirmaPDV,9,1)</f>
        <v/>
      </c>
      <c r="BD4" s="341" t="str">
        <f>MID(FirmaPDV,10,1)</f>
        <v/>
      </c>
      <c r="BE4" s="341" t="str">
        <f>MID(FirmaPDV,11,1)</f>
        <v/>
      </c>
      <c r="BF4" s="341" t="str">
        <f>MID(FirmaPDV,12,1)</f>
        <v/>
      </c>
    </row>
    <row r="5" spans="1:58" ht="18" customHeight="1">
      <c r="B5" s="325" t="s">
        <v>181</v>
      </c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BF5" s="321" t="s">
        <v>2267</v>
      </c>
    </row>
    <row r="6" spans="1:58" ht="18" customHeight="1">
      <c r="A6" s="1843">
        <f>FirmaDjeNaziv</f>
        <v>0</v>
      </c>
      <c r="B6" s="1843"/>
      <c r="C6" s="1843"/>
      <c r="D6" s="1843"/>
      <c r="E6" s="1843"/>
      <c r="F6" s="1843"/>
      <c r="G6" s="1843"/>
      <c r="H6" s="1843"/>
      <c r="I6" s="1843"/>
      <c r="J6" s="1843"/>
      <c r="K6" s="1843"/>
      <c r="L6" s="1843"/>
      <c r="M6" s="1843"/>
      <c r="N6" s="1843"/>
      <c r="O6" s="1843"/>
      <c r="P6" s="1843"/>
      <c r="Q6" s="1843"/>
      <c r="R6" s="1843"/>
      <c r="S6" s="1843"/>
      <c r="T6" s="1843"/>
      <c r="U6" s="1843"/>
      <c r="V6" s="1843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BB6" s="341" t="str">
        <f>MID(FirmaDjeSifra,1,1)</f>
        <v/>
      </c>
      <c r="BC6" s="341" t="str">
        <f>MID(FirmaDjeSifra,2,1)</f>
        <v/>
      </c>
      <c r="BD6" s="341" t="str">
        <f>MID(FirmaDjeSifra,3,1)</f>
        <v/>
      </c>
      <c r="BE6" s="341" t="str">
        <f>MID(FirmaDjeSifra,4,1)</f>
        <v/>
      </c>
      <c r="BF6" s="341" t="str">
        <f>MID(FirmaDjeSifra,5,1)</f>
        <v/>
      </c>
    </row>
    <row r="7" spans="1:58" ht="18" customHeight="1">
      <c r="B7" s="325" t="s">
        <v>159</v>
      </c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BF7" s="321" t="s">
        <v>1452</v>
      </c>
    </row>
    <row r="8" spans="1:58" ht="18" customHeight="1">
      <c r="A8" s="373" t="s">
        <v>499</v>
      </c>
      <c r="B8" s="325"/>
      <c r="C8" s="325"/>
      <c r="D8" s="325"/>
      <c r="E8" s="325"/>
      <c r="F8" s="325"/>
      <c r="G8" s="325"/>
      <c r="H8" s="325"/>
      <c r="I8" s="325"/>
      <c r="J8" s="325"/>
      <c r="K8" s="325"/>
      <c r="L8" s="325"/>
      <c r="M8" s="325"/>
      <c r="N8" s="325"/>
      <c r="O8" s="325"/>
      <c r="P8" s="325"/>
      <c r="Q8" s="325"/>
      <c r="R8" s="325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  <c r="AN8" s="325"/>
      <c r="BD8" s="341" t="str">
        <f>MID(FirmaOpcina,1,1)</f>
        <v/>
      </c>
      <c r="BE8" s="341" t="str">
        <f>MID(FirmaOpcina,2,1)</f>
        <v/>
      </c>
      <c r="BF8" s="341" t="str">
        <f>MID(FirmaOpcina,3,1)</f>
        <v/>
      </c>
    </row>
    <row r="9" spans="1:58" ht="18" customHeight="1"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5"/>
      <c r="X9" s="325"/>
      <c r="Y9" s="325"/>
      <c r="Z9" s="325"/>
      <c r="AA9" s="325"/>
      <c r="AB9" s="325"/>
      <c r="AC9" s="325"/>
      <c r="AD9" s="325"/>
      <c r="AE9" s="325"/>
      <c r="AF9" s="325"/>
      <c r="AG9" s="325"/>
      <c r="AH9" s="325"/>
      <c r="AI9" s="325"/>
      <c r="AJ9" s="325"/>
      <c r="AK9" s="325"/>
      <c r="AL9" s="325"/>
      <c r="AM9" s="325"/>
      <c r="AN9" s="325"/>
      <c r="BF9" s="321" t="s">
        <v>158</v>
      </c>
    </row>
    <row r="10" spans="1:58" ht="18" customHeight="1">
      <c r="B10" s="1841">
        <f>FirmaBanka1</f>
        <v>0</v>
      </c>
      <c r="C10" s="1841"/>
      <c r="D10" s="1841"/>
      <c r="E10" s="1841"/>
      <c r="F10" s="1841"/>
      <c r="G10" s="1841"/>
      <c r="H10" s="1841"/>
      <c r="I10" s="1841"/>
      <c r="J10" s="1841"/>
      <c r="K10" s="1841"/>
      <c r="L10" s="1841"/>
      <c r="M10" s="1841"/>
      <c r="N10" s="1841"/>
      <c r="O10" s="1841"/>
      <c r="P10" s="1841"/>
      <c r="Q10" s="1841"/>
      <c r="U10" s="1841">
        <f>FirmaBanka2</f>
        <v>0</v>
      </c>
      <c r="V10" s="1841"/>
      <c r="W10" s="1841"/>
      <c r="X10" s="1841"/>
      <c r="Y10" s="1841"/>
      <c r="Z10" s="1841"/>
      <c r="AA10" s="1841"/>
      <c r="AB10" s="1841"/>
      <c r="AC10" s="1841"/>
      <c r="AD10" s="1841"/>
      <c r="AE10" s="1841"/>
      <c r="AF10" s="1841"/>
      <c r="AG10" s="1841"/>
      <c r="AH10" s="1841"/>
      <c r="AI10" s="1841"/>
      <c r="AJ10" s="1841"/>
      <c r="AQ10" s="1841">
        <f>FirmaBanka3</f>
        <v>0</v>
      </c>
      <c r="AR10" s="1841"/>
      <c r="AS10" s="1841"/>
      <c r="AT10" s="1841"/>
      <c r="AU10" s="1841"/>
      <c r="AV10" s="1841"/>
      <c r="AW10" s="1841"/>
      <c r="AX10" s="1841"/>
      <c r="AY10" s="1841"/>
      <c r="AZ10" s="1841"/>
      <c r="BA10" s="1841"/>
      <c r="BB10" s="1841"/>
      <c r="BC10" s="1841"/>
      <c r="BD10" s="1841"/>
      <c r="BE10" s="1841"/>
      <c r="BF10" s="1841"/>
    </row>
    <row r="11" spans="1:58" ht="18" customHeight="1">
      <c r="I11" s="321" t="s">
        <v>160</v>
      </c>
      <c r="AB11" s="321" t="s">
        <v>160</v>
      </c>
      <c r="AX11" s="321" t="s">
        <v>160</v>
      </c>
    </row>
    <row r="12" spans="1:58" s="327" customFormat="1" ht="18" customHeight="1">
      <c r="B12" s="341" t="str">
        <f>MID(FirmaRacun1,1,1)</f>
        <v/>
      </c>
      <c r="C12" s="341" t="str">
        <f>MID(FirmaRacun1,2,1)</f>
        <v/>
      </c>
      <c r="D12" s="341" t="str">
        <f>MID(FirmaRacun1,3,1)</f>
        <v/>
      </c>
      <c r="E12" s="341" t="str">
        <f>MID(FirmaRacun1,4,1)</f>
        <v/>
      </c>
      <c r="F12" s="341" t="str">
        <f>MID(FirmaRacun1,5,1)</f>
        <v/>
      </c>
      <c r="G12" s="341" t="str">
        <f>MID(FirmaRacun1,6,1)</f>
        <v/>
      </c>
      <c r="H12" s="341" t="str">
        <f>MID(FirmaRacun1,7,1)</f>
        <v/>
      </c>
      <c r="I12" s="341" t="str">
        <f>MID(FirmaRacun1,8,1)</f>
        <v/>
      </c>
      <c r="J12" s="341" t="str">
        <f>MID(FirmaRacun1,9,1)</f>
        <v/>
      </c>
      <c r="K12" s="341" t="str">
        <f>MID(FirmaRacun1,10,1)</f>
        <v/>
      </c>
      <c r="L12" s="341" t="str">
        <f>MID(FirmaRacun1,11,1)</f>
        <v/>
      </c>
      <c r="M12" s="341" t="str">
        <f>MID(FirmaRacun1,12,1)</f>
        <v/>
      </c>
      <c r="N12" s="341" t="str">
        <f>MID(FirmaRacun1,13,1)</f>
        <v/>
      </c>
      <c r="O12" s="341" t="str">
        <f>MID(FirmaRacun1,14,1)</f>
        <v/>
      </c>
      <c r="P12" s="341" t="str">
        <f>MID(FirmaRacun1,15,1)</f>
        <v/>
      </c>
      <c r="Q12" s="341" t="str">
        <f>MID(FirmaRacun1,16,1)</f>
        <v/>
      </c>
      <c r="U12" s="341" t="str">
        <f>MID(FirmaRacun2,1,1)</f>
        <v/>
      </c>
      <c r="V12" s="341" t="str">
        <f>MID(FirmaRacun2,2,1)</f>
        <v/>
      </c>
      <c r="W12" s="341" t="str">
        <f>MID(FirmaRacun2,3,1)</f>
        <v/>
      </c>
      <c r="X12" s="341" t="str">
        <f>MID(FirmaRacun2,4,1)</f>
        <v/>
      </c>
      <c r="Y12" s="341" t="str">
        <f>MID(FirmaRacun2,5,1)</f>
        <v/>
      </c>
      <c r="Z12" s="341" t="str">
        <f>MID(FirmaRacun2,6,1)</f>
        <v/>
      </c>
      <c r="AA12" s="341" t="str">
        <f>MID(FirmaRacun2,7,1)</f>
        <v/>
      </c>
      <c r="AB12" s="341" t="str">
        <f>MID(FirmaRacun2,8,1)</f>
        <v/>
      </c>
      <c r="AC12" s="341" t="str">
        <f>MID(FirmaRacun2,9,1)</f>
        <v/>
      </c>
      <c r="AD12" s="341" t="str">
        <f>MID(FirmaRacun2,10,1)</f>
        <v/>
      </c>
      <c r="AE12" s="341" t="str">
        <f>MID(FirmaRacun2,11,1)</f>
        <v/>
      </c>
      <c r="AF12" s="341" t="str">
        <f>MID(FirmaRacun2,12,1)</f>
        <v/>
      </c>
      <c r="AG12" s="341" t="str">
        <f>MID(FirmaRacun2,13,1)</f>
        <v/>
      </c>
      <c r="AH12" s="341" t="str">
        <f>MID(FirmaRacun2,14,1)</f>
        <v/>
      </c>
      <c r="AI12" s="341" t="str">
        <f>MID(FirmaRacun2,15,1)</f>
        <v/>
      </c>
      <c r="AJ12" s="341" t="str">
        <f>MID(FirmaRacun2,16,1)</f>
        <v/>
      </c>
      <c r="AQ12" s="341" t="str">
        <f>MID(FirmaRacun3,1,1)</f>
        <v/>
      </c>
      <c r="AR12" s="341" t="str">
        <f>MID(FirmaRacun3,2,1)</f>
        <v/>
      </c>
      <c r="AS12" s="341" t="str">
        <f>MID(FirmaRacun3,3,1)</f>
        <v/>
      </c>
      <c r="AT12" s="341" t="str">
        <f>MID(FirmaRacun3,4,1)</f>
        <v/>
      </c>
      <c r="AU12" s="341" t="str">
        <f>MID(FirmaRacun3,5,1)</f>
        <v/>
      </c>
      <c r="AV12" s="341" t="str">
        <f>MID(FirmaRacun3,6,1)</f>
        <v/>
      </c>
      <c r="AW12" s="341" t="str">
        <f>MID(FirmaRacun3,7,1)</f>
        <v/>
      </c>
      <c r="AX12" s="341" t="str">
        <f>MID(FirmaRacun3,8,1)</f>
        <v/>
      </c>
      <c r="AY12" s="341" t="str">
        <f>MID(FirmaRacun3,9,1)</f>
        <v/>
      </c>
      <c r="AZ12" s="341" t="str">
        <f>MID(FirmaRacun3,10,1)</f>
        <v/>
      </c>
      <c r="BA12" s="341" t="str">
        <f>MID(FirmaRacun3,11,1)</f>
        <v/>
      </c>
      <c r="BB12" s="341" t="str">
        <f>MID(FirmaRacun3,12,1)</f>
        <v/>
      </c>
      <c r="BC12" s="341" t="str">
        <f>MID(FirmaRacun3,13,1)</f>
        <v/>
      </c>
      <c r="BD12" s="341" t="str">
        <f>MID(FirmaRacun3,14,1)</f>
        <v/>
      </c>
      <c r="BE12" s="341" t="str">
        <f>MID(FirmaRacun3,15,1)</f>
        <v/>
      </c>
      <c r="BF12" s="341" t="str">
        <f>MID(FirmaRacun3,16,1)</f>
        <v/>
      </c>
    </row>
    <row r="13" spans="1:58" ht="18" customHeight="1">
      <c r="BF13" s="321"/>
    </row>
    <row r="14" spans="1:58" ht="33" customHeight="1">
      <c r="AV14" s="1837" t="s">
        <v>2632</v>
      </c>
      <c r="AW14" s="1838"/>
      <c r="AX14" s="1838"/>
      <c r="AY14" s="1838"/>
      <c r="AZ14" s="1838"/>
      <c r="BA14" s="1838"/>
      <c r="BB14" s="1838"/>
      <c r="BC14" s="1838"/>
      <c r="BD14" s="1838"/>
      <c r="BE14" s="1838"/>
      <c r="BF14" s="1839"/>
    </row>
    <row r="15" spans="1:58" ht="24" customHeight="1">
      <c r="AC15" s="342" t="s">
        <v>793</v>
      </c>
      <c r="BF15" s="321"/>
    </row>
    <row r="16" spans="1:58" s="343" customFormat="1" ht="15" customHeight="1">
      <c r="AC16" s="344" t="s">
        <v>1453</v>
      </c>
      <c r="AD16" s="345" t="str">
        <f>ObracunDoDatuma</f>
        <v>31.12.</v>
      </c>
      <c r="AE16" s="345"/>
      <c r="AF16" s="345"/>
      <c r="AG16" s="1087" t="str">
        <f>ObracunGodina</f>
        <v>2011</v>
      </c>
      <c r="AH16" s="322"/>
      <c r="AI16" s="347" t="s">
        <v>1454</v>
      </c>
      <c r="AJ16" s="346"/>
      <c r="BF16" s="348"/>
    </row>
    <row r="17" spans="2:58" s="328" customFormat="1" ht="21.75" customHeight="1">
      <c r="AE17" s="329"/>
      <c r="AF17" s="324"/>
      <c r="AG17" s="324"/>
      <c r="AH17" s="324"/>
      <c r="AI17" s="330"/>
      <c r="AJ17" s="324"/>
      <c r="AK17" s="331"/>
      <c r="AL17" s="330"/>
      <c r="BF17" s="332"/>
    </row>
    <row r="18" spans="2:58" ht="43.5" customHeight="1"/>
    <row r="19" spans="2:58" ht="18" customHeight="1">
      <c r="V19" s="349" t="s">
        <v>2628</v>
      </c>
    </row>
    <row r="20" spans="2:58" ht="18" customHeight="1">
      <c r="B20" s="319" t="s">
        <v>2437</v>
      </c>
      <c r="C20" s="712"/>
      <c r="D20" s="1088">
        <f>FirmaSjediste</f>
        <v>0</v>
      </c>
      <c r="E20" s="712"/>
      <c r="F20" s="712"/>
      <c r="G20" s="712"/>
      <c r="H20" s="712"/>
      <c r="I20" s="712"/>
      <c r="J20" s="712"/>
      <c r="K20" s="712"/>
      <c r="L20" s="712"/>
      <c r="M20" s="712"/>
      <c r="S20" s="1718">
        <f>RacunovodjaIme</f>
        <v>0</v>
      </c>
      <c r="T20" s="1718"/>
      <c r="U20" s="1718"/>
      <c r="V20" s="1718"/>
      <c r="W20" s="1718"/>
      <c r="X20" s="1718"/>
      <c r="Y20" s="1718"/>
      <c r="Z20" s="1718"/>
      <c r="AA20" s="1718"/>
      <c r="AH20" s="1840" t="s">
        <v>846</v>
      </c>
      <c r="AI20" s="1840"/>
      <c r="AJ20" s="1840"/>
      <c r="AK20" s="1840"/>
      <c r="AZ20" s="328" t="s">
        <v>845</v>
      </c>
    </row>
    <row r="21" spans="2:58" ht="18" customHeight="1">
      <c r="B21" s="319" t="s">
        <v>2438</v>
      </c>
      <c r="D21" s="1089" t="str">
        <f>ObracunPredaja</f>
        <v>28.2.2012.</v>
      </c>
      <c r="E21" s="1036"/>
      <c r="F21" s="1036"/>
      <c r="G21" s="1036"/>
      <c r="H21" s="1036"/>
      <c r="I21" s="1036"/>
      <c r="J21" s="1036"/>
      <c r="K21" s="1036"/>
      <c r="L21" s="1036"/>
      <c r="M21" s="1036"/>
      <c r="V21" s="332" t="s">
        <v>844</v>
      </c>
      <c r="W21" s="1835">
        <f>RacunovodjaLicenca</f>
        <v>0</v>
      </c>
      <c r="X21" s="1835"/>
      <c r="Y21" s="1835"/>
      <c r="Z21" s="1835"/>
      <c r="AA21" s="1835"/>
      <c r="AH21" s="1840"/>
      <c r="AI21" s="1840"/>
      <c r="AJ21" s="1840"/>
      <c r="AK21" s="1840"/>
      <c r="AX21" s="1718"/>
      <c r="AY21" s="1718"/>
      <c r="AZ21" s="1718"/>
      <c r="BA21" s="1718"/>
      <c r="BB21" s="1718"/>
      <c r="BC21" s="1718"/>
      <c r="BD21" s="1718"/>
      <c r="BE21" s="1718"/>
      <c r="BF21" s="1718"/>
    </row>
    <row r="22" spans="2:58" ht="18" customHeight="1">
      <c r="W22" s="332" t="s">
        <v>154</v>
      </c>
      <c r="X22" s="1835">
        <f>RacunovodjaTelefon</f>
        <v>0</v>
      </c>
      <c r="Y22" s="1835"/>
      <c r="Z22" s="1835"/>
      <c r="AA22" s="1835"/>
      <c r="AX22" s="1836">
        <f>FirmaDirekor</f>
        <v>0</v>
      </c>
      <c r="AY22" s="1836"/>
      <c r="AZ22" s="1836"/>
      <c r="BA22" s="1836"/>
      <c r="BB22" s="1836"/>
      <c r="BC22" s="1836"/>
      <c r="BD22" s="1836"/>
      <c r="BE22" s="1836"/>
      <c r="BF22" s="1836"/>
    </row>
    <row r="24" spans="2:58" ht="18" customHeight="1">
      <c r="BF24" s="321"/>
    </row>
    <row r="25" spans="2:58" ht="18" customHeight="1">
      <c r="BF25" s="321"/>
    </row>
    <row r="27" spans="2:58" ht="18" customHeight="1">
      <c r="BF27" s="321" t="s">
        <v>847</v>
      </c>
    </row>
  </sheetData>
  <mergeCells count="13">
    <mergeCell ref="AQ10:BF10"/>
    <mergeCell ref="A2:V2"/>
    <mergeCell ref="A4:V4"/>
    <mergeCell ref="A6:V6"/>
    <mergeCell ref="B10:Q10"/>
    <mergeCell ref="U10:AJ10"/>
    <mergeCell ref="X22:AA22"/>
    <mergeCell ref="AX22:BF22"/>
    <mergeCell ref="AV14:BF14"/>
    <mergeCell ref="S20:AA20"/>
    <mergeCell ref="AH20:AK21"/>
    <mergeCell ref="W21:AA21"/>
    <mergeCell ref="AX21:BF21"/>
  </mergeCells>
  <phoneticPr fontId="60" type="noConversion"/>
  <pageMargins left="0.5" right="0.17" top="1" bottom="0.62" header="0.5" footer="0.28000000000000003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6" enableFormatConditionsCalculation="0">
    <tabColor indexed="45"/>
  </sheetPr>
  <dimension ref="A1:BB27"/>
  <sheetViews>
    <sheetView showGridLines="0" workbookViewId="0">
      <selection activeCell="AL14" sqref="AL14:AO14"/>
    </sheetView>
  </sheetViews>
  <sheetFormatPr defaultColWidth="2.42578125" defaultRowHeight="24" customHeight="1"/>
  <cols>
    <col min="1" max="1" width="9.7109375" style="328" customWidth="1"/>
    <col min="2" max="18" width="2.42578125" style="328" customWidth="1"/>
    <col min="19" max="19" width="19.5703125" style="328" customWidth="1"/>
    <col min="20" max="20" width="2.42578125" style="328" customWidth="1"/>
    <col min="21" max="21" width="2" style="328" customWidth="1"/>
    <col min="22" max="54" width="2.85546875" style="328" customWidth="1"/>
    <col min="55" max="16384" width="2.42578125" style="328"/>
  </cols>
  <sheetData>
    <row r="1" spans="1:54" ht="24.75" customHeight="1">
      <c r="A1" s="1852" t="s">
        <v>1440</v>
      </c>
      <c r="B1" s="1852"/>
      <c r="C1" s="1852"/>
      <c r="D1" s="1852"/>
      <c r="E1" s="1852"/>
      <c r="F1" s="1852"/>
      <c r="G1" s="1852"/>
      <c r="H1" s="1852"/>
      <c r="I1" s="1852"/>
      <c r="J1" s="1852"/>
      <c r="K1" s="1852"/>
      <c r="L1" s="1852"/>
      <c r="M1" s="1852"/>
      <c r="N1" s="1852"/>
      <c r="O1" s="1852"/>
      <c r="P1" s="1852"/>
      <c r="Q1" s="1852"/>
      <c r="R1" s="1852"/>
      <c r="S1" s="1852"/>
      <c r="T1" s="1853" t="s">
        <v>1439</v>
      </c>
      <c r="U1" s="1854"/>
      <c r="V1" s="1861" t="s">
        <v>1450</v>
      </c>
      <c r="W1" s="1835"/>
      <c r="X1" s="1835"/>
      <c r="Y1" s="1835"/>
      <c r="Z1" s="1835"/>
      <c r="AA1" s="1835"/>
      <c r="AB1" s="1835"/>
      <c r="AC1" s="1835"/>
      <c r="AD1" s="1835"/>
      <c r="AE1" s="1835"/>
      <c r="AF1" s="1835"/>
      <c r="AG1" s="1835"/>
      <c r="AH1" s="1835"/>
      <c r="AI1" s="1835"/>
      <c r="AJ1" s="1835"/>
      <c r="AK1" s="1835"/>
      <c r="AL1" s="1835"/>
      <c r="AM1" s="1835"/>
      <c r="AN1" s="1835"/>
      <c r="AO1" s="1835"/>
      <c r="AP1" s="1835"/>
      <c r="AQ1" s="1835"/>
      <c r="AR1" s="1835"/>
      <c r="AS1" s="1862"/>
      <c r="AT1" s="1863" t="s">
        <v>1448</v>
      </c>
      <c r="AU1" s="1864"/>
      <c r="AV1" s="1864"/>
      <c r="AW1" s="1865"/>
      <c r="AX1" s="1863" t="s">
        <v>1449</v>
      </c>
      <c r="AY1" s="1864"/>
      <c r="AZ1" s="1864"/>
      <c r="BA1" s="1864"/>
      <c r="BB1" s="1865"/>
    </row>
    <row r="2" spans="1:54" s="333" customFormat="1" ht="89.25" customHeight="1">
      <c r="A2" s="1852"/>
      <c r="B2" s="1852"/>
      <c r="C2" s="1852"/>
      <c r="D2" s="1852"/>
      <c r="E2" s="1852"/>
      <c r="F2" s="1852"/>
      <c r="G2" s="1852"/>
      <c r="H2" s="1852"/>
      <c r="I2" s="1852"/>
      <c r="J2" s="1852"/>
      <c r="K2" s="1852"/>
      <c r="L2" s="1852"/>
      <c r="M2" s="1852"/>
      <c r="N2" s="1852"/>
      <c r="O2" s="1852"/>
      <c r="P2" s="1852"/>
      <c r="Q2" s="1852"/>
      <c r="R2" s="1852"/>
      <c r="S2" s="1852"/>
      <c r="T2" s="1855"/>
      <c r="U2" s="1856"/>
      <c r="V2" s="1846" t="s">
        <v>1441</v>
      </c>
      <c r="W2" s="1847"/>
      <c r="X2" s="1847"/>
      <c r="Y2" s="1848"/>
      <c r="Z2" s="1846" t="s">
        <v>1443</v>
      </c>
      <c r="AA2" s="1847"/>
      <c r="AB2" s="1847"/>
      <c r="AC2" s="1848"/>
      <c r="AD2" s="1849" t="s">
        <v>1444</v>
      </c>
      <c r="AE2" s="1850"/>
      <c r="AF2" s="1850"/>
      <c r="AG2" s="1851"/>
      <c r="AH2" s="1849" t="s">
        <v>1445</v>
      </c>
      <c r="AI2" s="1850"/>
      <c r="AJ2" s="1850"/>
      <c r="AK2" s="1851"/>
      <c r="AL2" s="1846" t="s">
        <v>1446</v>
      </c>
      <c r="AM2" s="1847"/>
      <c r="AN2" s="1847"/>
      <c r="AO2" s="1848"/>
      <c r="AP2" s="1846" t="s">
        <v>1447</v>
      </c>
      <c r="AQ2" s="1847"/>
      <c r="AR2" s="1847"/>
      <c r="AS2" s="1848"/>
      <c r="AT2" s="1866"/>
      <c r="AU2" s="1867"/>
      <c r="AV2" s="1867"/>
      <c r="AW2" s="1868"/>
      <c r="AX2" s="1866"/>
      <c r="AY2" s="1867"/>
      <c r="AZ2" s="1867"/>
      <c r="BA2" s="1867"/>
      <c r="BB2" s="1868"/>
    </row>
    <row r="3" spans="1:54" ht="16.5" customHeight="1">
      <c r="A3" s="1857">
        <v>1</v>
      </c>
      <c r="B3" s="1857"/>
      <c r="C3" s="1857"/>
      <c r="D3" s="1857"/>
      <c r="E3" s="1857"/>
      <c r="F3" s="1857"/>
      <c r="G3" s="1857"/>
      <c r="H3" s="1857"/>
      <c r="I3" s="1857"/>
      <c r="J3" s="1857"/>
      <c r="K3" s="1857"/>
      <c r="L3" s="1857"/>
      <c r="M3" s="1857"/>
      <c r="N3" s="1857"/>
      <c r="O3" s="1857"/>
      <c r="P3" s="1857"/>
      <c r="Q3" s="1857"/>
      <c r="R3" s="1857"/>
      <c r="S3" s="1857"/>
      <c r="T3" s="1857">
        <v>2</v>
      </c>
      <c r="U3" s="1857"/>
      <c r="V3" s="1858">
        <v>3</v>
      </c>
      <c r="W3" s="1858"/>
      <c r="X3" s="1858"/>
      <c r="Y3" s="1858"/>
      <c r="Z3" s="1858">
        <v>4</v>
      </c>
      <c r="AA3" s="1858"/>
      <c r="AB3" s="1858"/>
      <c r="AC3" s="1858"/>
      <c r="AD3" s="1858">
        <v>5</v>
      </c>
      <c r="AE3" s="1858"/>
      <c r="AF3" s="1858"/>
      <c r="AG3" s="1858"/>
      <c r="AH3" s="1858">
        <v>6</v>
      </c>
      <c r="AI3" s="1858"/>
      <c r="AJ3" s="1858"/>
      <c r="AK3" s="1858"/>
      <c r="AL3" s="1858">
        <v>7</v>
      </c>
      <c r="AM3" s="1858"/>
      <c r="AN3" s="1858"/>
      <c r="AO3" s="1858"/>
      <c r="AP3" s="1858">
        <v>8</v>
      </c>
      <c r="AQ3" s="1858"/>
      <c r="AR3" s="1858"/>
      <c r="AS3" s="1858"/>
      <c r="AT3" s="1858">
        <v>9</v>
      </c>
      <c r="AU3" s="1858"/>
      <c r="AV3" s="1858"/>
      <c r="AW3" s="1858"/>
      <c r="AX3" s="1858">
        <v>10</v>
      </c>
      <c r="AY3" s="1858"/>
      <c r="AZ3" s="1858"/>
      <c r="BA3" s="1858"/>
      <c r="BB3" s="1858"/>
    </row>
    <row r="4" spans="1:54" s="331" customFormat="1" ht="20.100000000000001" customHeight="1">
      <c r="A4" s="334" t="str">
        <f>"1. Stanje na dan 31.12."&amp;ObracunGodina-2&amp;".godine"</f>
        <v>1. Stanje na dan 31.12.2009.godine</v>
      </c>
      <c r="B4" s="335"/>
      <c r="C4" s="335"/>
      <c r="D4" s="335"/>
      <c r="E4" s="335"/>
      <c r="F4" s="895"/>
      <c r="G4" s="901"/>
      <c r="H4" s="901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6"/>
      <c r="T4" s="1852">
        <v>901</v>
      </c>
      <c r="U4" s="1852"/>
      <c r="V4" s="1860">
        <f>unos!D482</f>
        <v>0</v>
      </c>
      <c r="W4" s="1860"/>
      <c r="X4" s="1860"/>
      <c r="Y4" s="1860"/>
      <c r="Z4" s="1860">
        <f>unos!F482</f>
        <v>0</v>
      </c>
      <c r="AA4" s="1860"/>
      <c r="AB4" s="1860"/>
      <c r="AC4" s="1860"/>
      <c r="AD4" s="1860">
        <f>unos!G482</f>
        <v>0</v>
      </c>
      <c r="AE4" s="1860"/>
      <c r="AF4" s="1860"/>
      <c r="AG4" s="1860"/>
      <c r="AH4" s="1860">
        <f>unos!H482</f>
        <v>0</v>
      </c>
      <c r="AI4" s="1860"/>
      <c r="AJ4" s="1860"/>
      <c r="AK4" s="1860"/>
      <c r="AL4" s="1860">
        <f>unos!I482</f>
        <v>0</v>
      </c>
      <c r="AM4" s="1860"/>
      <c r="AN4" s="1860"/>
      <c r="AO4" s="1860"/>
      <c r="AP4" s="1860">
        <f>V4+Z4+AD4+AH4+AL4</f>
        <v>0</v>
      </c>
      <c r="AQ4" s="1860"/>
      <c r="AR4" s="1860"/>
      <c r="AS4" s="1860"/>
      <c r="AT4" s="1860">
        <f>unos!L482</f>
        <v>0</v>
      </c>
      <c r="AU4" s="1860"/>
      <c r="AV4" s="1860"/>
      <c r="AW4" s="1860"/>
      <c r="AX4" s="1860">
        <f>AP4-AT4</f>
        <v>0</v>
      </c>
      <c r="AY4" s="1860"/>
      <c r="AZ4" s="1860"/>
      <c r="BA4" s="1860"/>
      <c r="BB4" s="1860"/>
    </row>
    <row r="5" spans="1:54" ht="20.100000000000001" customHeight="1">
      <c r="A5" s="337" t="s">
        <v>471</v>
      </c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  <c r="Q5" s="338"/>
      <c r="R5" s="338"/>
      <c r="S5" s="339"/>
      <c r="T5" s="1857">
        <v>902</v>
      </c>
      <c r="U5" s="1857"/>
      <c r="V5" s="1859">
        <f>unos!D483</f>
        <v>0</v>
      </c>
      <c r="W5" s="1859"/>
      <c r="X5" s="1859"/>
      <c r="Y5" s="1859"/>
      <c r="Z5" s="1859">
        <f>unos!F483</f>
        <v>0</v>
      </c>
      <c r="AA5" s="1859"/>
      <c r="AB5" s="1859"/>
      <c r="AC5" s="1859"/>
      <c r="AD5" s="1859">
        <f>unos!G483</f>
        <v>0</v>
      </c>
      <c r="AE5" s="1859"/>
      <c r="AF5" s="1859"/>
      <c r="AG5" s="1859"/>
      <c r="AH5" s="1859">
        <f>unos!H483</f>
        <v>0</v>
      </c>
      <c r="AI5" s="1859"/>
      <c r="AJ5" s="1859"/>
      <c r="AK5" s="1859"/>
      <c r="AL5" s="1859">
        <f>unos!I483</f>
        <v>0</v>
      </c>
      <c r="AM5" s="1859"/>
      <c r="AN5" s="1859"/>
      <c r="AO5" s="1859"/>
      <c r="AP5" s="1860">
        <f t="shared" ref="AP5:AP26" si="0">V5+Z5+AD5+AH5+AL5</f>
        <v>0</v>
      </c>
      <c r="AQ5" s="1860"/>
      <c r="AR5" s="1860"/>
      <c r="AS5" s="1860"/>
      <c r="AT5" s="1859">
        <f>unos!L483</f>
        <v>0</v>
      </c>
      <c r="AU5" s="1859"/>
      <c r="AV5" s="1859"/>
      <c r="AW5" s="1859"/>
      <c r="AX5" s="1859">
        <f>AP5-AT5</f>
        <v>0</v>
      </c>
      <c r="AY5" s="1859"/>
      <c r="AZ5" s="1859"/>
      <c r="BA5" s="1859"/>
      <c r="BB5" s="1859"/>
    </row>
    <row r="6" spans="1:54" ht="20.100000000000001" customHeight="1">
      <c r="A6" s="337" t="s">
        <v>472</v>
      </c>
      <c r="B6" s="33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338"/>
      <c r="R6" s="338"/>
      <c r="S6" s="339"/>
      <c r="T6" s="1857">
        <v>903</v>
      </c>
      <c r="U6" s="1857"/>
      <c r="V6" s="1859">
        <f>unos!D484</f>
        <v>0</v>
      </c>
      <c r="W6" s="1859"/>
      <c r="X6" s="1859"/>
      <c r="Y6" s="1859"/>
      <c r="Z6" s="1859">
        <f>unos!F484</f>
        <v>0</v>
      </c>
      <c r="AA6" s="1859"/>
      <c r="AB6" s="1859"/>
      <c r="AC6" s="1859"/>
      <c r="AD6" s="1859">
        <f>unos!G484</f>
        <v>0</v>
      </c>
      <c r="AE6" s="1859"/>
      <c r="AF6" s="1859"/>
      <c r="AG6" s="1859"/>
      <c r="AH6" s="1859">
        <f>unos!H484</f>
        <v>0</v>
      </c>
      <c r="AI6" s="1859"/>
      <c r="AJ6" s="1859"/>
      <c r="AK6" s="1859"/>
      <c r="AL6" s="1859">
        <f>unos!I484</f>
        <v>0</v>
      </c>
      <c r="AM6" s="1859"/>
      <c r="AN6" s="1859"/>
      <c r="AO6" s="1859"/>
      <c r="AP6" s="1860">
        <f t="shared" si="0"/>
        <v>0</v>
      </c>
      <c r="AQ6" s="1860"/>
      <c r="AR6" s="1860"/>
      <c r="AS6" s="1860"/>
      <c r="AT6" s="1859">
        <f>unos!L484</f>
        <v>0</v>
      </c>
      <c r="AU6" s="1859"/>
      <c r="AV6" s="1859"/>
      <c r="AW6" s="1859"/>
      <c r="AX6" s="1859">
        <f t="shared" ref="AX6:AX14" si="1">AP6-AT6</f>
        <v>0</v>
      </c>
      <c r="AY6" s="1859"/>
      <c r="AZ6" s="1859"/>
      <c r="BA6" s="1859"/>
      <c r="BB6" s="1859"/>
    </row>
    <row r="7" spans="1:54" s="331" customFormat="1" ht="20.100000000000001" customHeight="1">
      <c r="A7" s="340" t="str">
        <f>"4. Ponovo iskazano stanje na dan 31.12."&amp;ObracunGodina-2&amp;", odnosno 01.01."&amp;ObracunGodina-1&amp;".godine (901+-902+-903"</f>
        <v>4. Ponovo iskazano stanje na dan 31.12.2009, odnosno 01.01.2010.godine (901+-902+-903</v>
      </c>
      <c r="B7" s="898"/>
      <c r="C7" s="898"/>
      <c r="D7" s="898"/>
      <c r="E7" s="898"/>
      <c r="F7" s="898"/>
      <c r="G7" s="898"/>
      <c r="H7" s="898"/>
      <c r="I7" s="898"/>
      <c r="J7" s="898"/>
      <c r="K7" s="898"/>
      <c r="L7" s="898"/>
      <c r="M7" s="898"/>
      <c r="N7" s="898"/>
      <c r="O7" s="898"/>
      <c r="P7" s="898"/>
      <c r="Q7" s="898"/>
      <c r="R7" s="898"/>
      <c r="S7" s="899"/>
      <c r="T7" s="1852">
        <v>904</v>
      </c>
      <c r="U7" s="1852"/>
      <c r="V7" s="1860">
        <f>unos!D485</f>
        <v>0</v>
      </c>
      <c r="W7" s="1860"/>
      <c r="X7" s="1860"/>
      <c r="Y7" s="1860"/>
      <c r="Z7" s="1860">
        <f>unos!F485</f>
        <v>0</v>
      </c>
      <c r="AA7" s="1860"/>
      <c r="AB7" s="1860"/>
      <c r="AC7" s="1860"/>
      <c r="AD7" s="1860">
        <f>unos!G485</f>
        <v>0</v>
      </c>
      <c r="AE7" s="1860"/>
      <c r="AF7" s="1860"/>
      <c r="AG7" s="1860"/>
      <c r="AH7" s="1860">
        <f>unos!H485</f>
        <v>0</v>
      </c>
      <c r="AI7" s="1860"/>
      <c r="AJ7" s="1860"/>
      <c r="AK7" s="1860"/>
      <c r="AL7" s="1860">
        <f>unos!I485</f>
        <v>0</v>
      </c>
      <c r="AM7" s="1860"/>
      <c r="AN7" s="1860"/>
      <c r="AO7" s="1860"/>
      <c r="AP7" s="1860">
        <f t="shared" si="0"/>
        <v>0</v>
      </c>
      <c r="AQ7" s="1860"/>
      <c r="AR7" s="1860"/>
      <c r="AS7" s="1860"/>
      <c r="AT7" s="1860">
        <f>unos!L485</f>
        <v>0</v>
      </c>
      <c r="AU7" s="1860"/>
      <c r="AV7" s="1860"/>
      <c r="AW7" s="1860"/>
      <c r="AX7" s="1860">
        <f t="shared" si="1"/>
        <v>0</v>
      </c>
      <c r="AY7" s="1860"/>
      <c r="AZ7" s="1860"/>
      <c r="BA7" s="1860"/>
      <c r="BB7" s="1860"/>
    </row>
    <row r="8" spans="1:54" ht="20.100000000000001" customHeight="1">
      <c r="A8" s="337" t="s">
        <v>473</v>
      </c>
      <c r="B8" s="338"/>
      <c r="C8" s="338"/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8"/>
      <c r="R8" s="338"/>
      <c r="S8" s="339"/>
      <c r="T8" s="1857">
        <v>905</v>
      </c>
      <c r="U8" s="1857"/>
      <c r="V8" s="1859">
        <f>unos!D486</f>
        <v>0</v>
      </c>
      <c r="W8" s="1859"/>
      <c r="X8" s="1859"/>
      <c r="Y8" s="1859"/>
      <c r="Z8" s="1859">
        <f>unos!F486</f>
        <v>0</v>
      </c>
      <c r="AA8" s="1859"/>
      <c r="AB8" s="1859"/>
      <c r="AC8" s="1859"/>
      <c r="AD8" s="1859">
        <f>unos!G486</f>
        <v>0</v>
      </c>
      <c r="AE8" s="1859"/>
      <c r="AF8" s="1859"/>
      <c r="AG8" s="1859"/>
      <c r="AH8" s="1859">
        <f>unos!H486</f>
        <v>0</v>
      </c>
      <c r="AI8" s="1859"/>
      <c r="AJ8" s="1859"/>
      <c r="AK8" s="1859"/>
      <c r="AL8" s="1859">
        <f>unos!I486</f>
        <v>0</v>
      </c>
      <c r="AM8" s="1859"/>
      <c r="AN8" s="1859"/>
      <c r="AO8" s="1859"/>
      <c r="AP8" s="1860">
        <f t="shared" si="0"/>
        <v>0</v>
      </c>
      <c r="AQ8" s="1860"/>
      <c r="AR8" s="1860"/>
      <c r="AS8" s="1860"/>
      <c r="AT8" s="1859">
        <f>unos!L486</f>
        <v>0</v>
      </c>
      <c r="AU8" s="1859"/>
      <c r="AV8" s="1859"/>
      <c r="AW8" s="1859"/>
      <c r="AX8" s="1859">
        <f t="shared" si="1"/>
        <v>0</v>
      </c>
      <c r="AY8" s="1859"/>
      <c r="AZ8" s="1859"/>
      <c r="BA8" s="1859"/>
      <c r="BB8" s="1859"/>
    </row>
    <row r="9" spans="1:54" ht="20.100000000000001" customHeight="1">
      <c r="A9" s="337" t="s">
        <v>474</v>
      </c>
      <c r="B9" s="338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9"/>
      <c r="T9" s="1857">
        <v>906</v>
      </c>
      <c r="U9" s="1857"/>
      <c r="V9" s="1859">
        <f>unos!D487</f>
        <v>0</v>
      </c>
      <c r="W9" s="1859"/>
      <c r="X9" s="1859"/>
      <c r="Y9" s="1859"/>
      <c r="Z9" s="1859">
        <f>unos!F487</f>
        <v>0</v>
      </c>
      <c r="AA9" s="1859"/>
      <c r="AB9" s="1859"/>
      <c r="AC9" s="1859"/>
      <c r="AD9" s="1859">
        <f>unos!G487</f>
        <v>0</v>
      </c>
      <c r="AE9" s="1859"/>
      <c r="AF9" s="1859"/>
      <c r="AG9" s="1859"/>
      <c r="AH9" s="1859">
        <f>unos!H487</f>
        <v>0</v>
      </c>
      <c r="AI9" s="1859"/>
      <c r="AJ9" s="1859"/>
      <c r="AK9" s="1859"/>
      <c r="AL9" s="1859">
        <f>unos!I487</f>
        <v>0</v>
      </c>
      <c r="AM9" s="1859"/>
      <c r="AN9" s="1859"/>
      <c r="AO9" s="1859"/>
      <c r="AP9" s="1860">
        <f t="shared" si="0"/>
        <v>0</v>
      </c>
      <c r="AQ9" s="1860"/>
      <c r="AR9" s="1860"/>
      <c r="AS9" s="1860"/>
      <c r="AT9" s="1859">
        <f>unos!L487</f>
        <v>0</v>
      </c>
      <c r="AU9" s="1859"/>
      <c r="AV9" s="1859"/>
      <c r="AW9" s="1859"/>
      <c r="AX9" s="1859">
        <f t="shared" si="1"/>
        <v>0</v>
      </c>
      <c r="AY9" s="1859"/>
      <c r="AZ9" s="1859"/>
      <c r="BA9" s="1859"/>
      <c r="BB9" s="1859"/>
    </row>
    <row r="10" spans="1:54" ht="20.100000000000001" customHeight="1">
      <c r="A10" s="337" t="s">
        <v>475</v>
      </c>
      <c r="B10" s="338"/>
      <c r="C10" s="338"/>
      <c r="D10" s="338"/>
      <c r="E10" s="338"/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8"/>
      <c r="R10" s="338"/>
      <c r="S10" s="339"/>
      <c r="T10" s="1857">
        <v>907</v>
      </c>
      <c r="U10" s="1857"/>
      <c r="V10" s="1859">
        <f>unos!D488</f>
        <v>0</v>
      </c>
      <c r="W10" s="1859"/>
      <c r="X10" s="1859"/>
      <c r="Y10" s="1859"/>
      <c r="Z10" s="1859">
        <f>unos!F488</f>
        <v>0</v>
      </c>
      <c r="AA10" s="1859"/>
      <c r="AB10" s="1859"/>
      <c r="AC10" s="1859"/>
      <c r="AD10" s="1859">
        <f>unos!G488</f>
        <v>0</v>
      </c>
      <c r="AE10" s="1859"/>
      <c r="AF10" s="1859"/>
      <c r="AG10" s="1859"/>
      <c r="AH10" s="1859">
        <f>unos!H488</f>
        <v>0</v>
      </c>
      <c r="AI10" s="1859"/>
      <c r="AJ10" s="1859"/>
      <c r="AK10" s="1859"/>
      <c r="AL10" s="1859">
        <f>unos!I488</f>
        <v>0</v>
      </c>
      <c r="AM10" s="1859"/>
      <c r="AN10" s="1859"/>
      <c r="AO10" s="1859"/>
      <c r="AP10" s="1860">
        <f t="shared" si="0"/>
        <v>0</v>
      </c>
      <c r="AQ10" s="1860"/>
      <c r="AR10" s="1860"/>
      <c r="AS10" s="1860"/>
      <c r="AT10" s="1859">
        <f>unos!L488</f>
        <v>0</v>
      </c>
      <c r="AU10" s="1859"/>
      <c r="AV10" s="1859"/>
      <c r="AW10" s="1859"/>
      <c r="AX10" s="1859">
        <f t="shared" si="1"/>
        <v>0</v>
      </c>
      <c r="AY10" s="1859"/>
      <c r="AZ10" s="1859"/>
      <c r="BA10" s="1859"/>
      <c r="BB10" s="1859"/>
    </row>
    <row r="11" spans="1:54" ht="20.100000000000001" customHeight="1">
      <c r="A11" s="337" t="s">
        <v>476</v>
      </c>
      <c r="B11" s="338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8"/>
      <c r="R11" s="338"/>
      <c r="S11" s="339"/>
      <c r="T11" s="1857">
        <v>908</v>
      </c>
      <c r="U11" s="1857"/>
      <c r="V11" s="1859">
        <f>unos!D489</f>
        <v>0</v>
      </c>
      <c r="W11" s="1859"/>
      <c r="X11" s="1859"/>
      <c r="Y11" s="1859"/>
      <c r="Z11" s="1859">
        <f>unos!F489</f>
        <v>0</v>
      </c>
      <c r="AA11" s="1859"/>
      <c r="AB11" s="1859"/>
      <c r="AC11" s="1859"/>
      <c r="AD11" s="1859">
        <f>unos!G489</f>
        <v>0</v>
      </c>
      <c r="AE11" s="1859"/>
      <c r="AF11" s="1859"/>
      <c r="AG11" s="1859"/>
      <c r="AH11" s="1859">
        <f>unos!H489</f>
        <v>0</v>
      </c>
      <c r="AI11" s="1859"/>
      <c r="AJ11" s="1859"/>
      <c r="AK11" s="1859"/>
      <c r="AL11" s="1859">
        <f>unos!I489</f>
        <v>0</v>
      </c>
      <c r="AM11" s="1859"/>
      <c r="AN11" s="1859"/>
      <c r="AO11" s="1859"/>
      <c r="AP11" s="1860">
        <f t="shared" si="0"/>
        <v>0</v>
      </c>
      <c r="AQ11" s="1860"/>
      <c r="AR11" s="1860"/>
      <c r="AS11" s="1860"/>
      <c r="AT11" s="1859">
        <f>unos!L489</f>
        <v>0</v>
      </c>
      <c r="AU11" s="1859"/>
      <c r="AV11" s="1859"/>
      <c r="AW11" s="1859"/>
      <c r="AX11" s="1859">
        <f t="shared" si="1"/>
        <v>0</v>
      </c>
      <c r="AY11" s="1859"/>
      <c r="AZ11" s="1859"/>
      <c r="BA11" s="1859"/>
      <c r="BB11" s="1859"/>
    </row>
    <row r="12" spans="1:54" ht="20.100000000000001" customHeight="1">
      <c r="A12" s="337" t="s">
        <v>477</v>
      </c>
      <c r="B12" s="338"/>
      <c r="C12" s="338"/>
      <c r="D12" s="338"/>
      <c r="E12" s="338"/>
      <c r="F12" s="338"/>
      <c r="G12" s="338"/>
      <c r="H12" s="338"/>
      <c r="I12" s="338"/>
      <c r="J12" s="338"/>
      <c r="K12" s="338"/>
      <c r="L12" s="338"/>
      <c r="M12" s="338"/>
      <c r="N12" s="338"/>
      <c r="O12" s="338"/>
      <c r="P12" s="338"/>
      <c r="Q12" s="338"/>
      <c r="R12" s="338"/>
      <c r="S12" s="339"/>
      <c r="T12" s="1857">
        <v>909</v>
      </c>
      <c r="U12" s="1857"/>
      <c r="V12" s="1859">
        <f>unos!D490</f>
        <v>0</v>
      </c>
      <c r="W12" s="1859"/>
      <c r="X12" s="1859"/>
      <c r="Y12" s="1859"/>
      <c r="Z12" s="1859">
        <f>unos!F490</f>
        <v>0</v>
      </c>
      <c r="AA12" s="1859"/>
      <c r="AB12" s="1859"/>
      <c r="AC12" s="1859"/>
      <c r="AD12" s="1859">
        <f>unos!G490</f>
        <v>0</v>
      </c>
      <c r="AE12" s="1859"/>
      <c r="AF12" s="1859"/>
      <c r="AG12" s="1859"/>
      <c r="AH12" s="1859">
        <f>unos!H490</f>
        <v>0</v>
      </c>
      <c r="AI12" s="1859"/>
      <c r="AJ12" s="1859"/>
      <c r="AK12" s="1859"/>
      <c r="AL12" s="1859">
        <f>unos!I490</f>
        <v>0</v>
      </c>
      <c r="AM12" s="1859"/>
      <c r="AN12" s="1859"/>
      <c r="AO12" s="1859"/>
      <c r="AP12" s="1860">
        <f t="shared" si="0"/>
        <v>0</v>
      </c>
      <c r="AQ12" s="1860"/>
      <c r="AR12" s="1860"/>
      <c r="AS12" s="1860"/>
      <c r="AT12" s="1859">
        <f>unos!L490</f>
        <v>0</v>
      </c>
      <c r="AU12" s="1859"/>
      <c r="AV12" s="1859"/>
      <c r="AW12" s="1859"/>
      <c r="AX12" s="1859">
        <f t="shared" si="1"/>
        <v>0</v>
      </c>
      <c r="AY12" s="1859"/>
      <c r="AZ12" s="1859"/>
      <c r="BA12" s="1859"/>
      <c r="BB12" s="1859"/>
    </row>
    <row r="13" spans="1:54" ht="20.100000000000001" customHeight="1">
      <c r="A13" s="337" t="s">
        <v>2169</v>
      </c>
      <c r="B13" s="338"/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9"/>
      <c r="T13" s="1857">
        <v>910</v>
      </c>
      <c r="U13" s="1857"/>
      <c r="V13" s="1859">
        <f>unos!D491</f>
        <v>0</v>
      </c>
      <c r="W13" s="1859"/>
      <c r="X13" s="1859"/>
      <c r="Y13" s="1859"/>
      <c r="Z13" s="1859">
        <f>unos!F491</f>
        <v>0</v>
      </c>
      <c r="AA13" s="1859"/>
      <c r="AB13" s="1859"/>
      <c r="AC13" s="1859"/>
      <c r="AD13" s="1859">
        <f>unos!G491</f>
        <v>0</v>
      </c>
      <c r="AE13" s="1859"/>
      <c r="AF13" s="1859"/>
      <c r="AG13" s="1859"/>
      <c r="AH13" s="1859">
        <f>unos!H491</f>
        <v>0</v>
      </c>
      <c r="AI13" s="1859"/>
      <c r="AJ13" s="1859"/>
      <c r="AK13" s="1859"/>
      <c r="AL13" s="1859">
        <f>unos!I491</f>
        <v>0</v>
      </c>
      <c r="AM13" s="1859"/>
      <c r="AN13" s="1859"/>
      <c r="AO13" s="1859"/>
      <c r="AP13" s="1860">
        <f t="shared" si="0"/>
        <v>0</v>
      </c>
      <c r="AQ13" s="1860"/>
      <c r="AR13" s="1860"/>
      <c r="AS13" s="1860"/>
      <c r="AT13" s="1859">
        <f>unos!L491</f>
        <v>0</v>
      </c>
      <c r="AU13" s="1859"/>
      <c r="AV13" s="1859"/>
      <c r="AW13" s="1859"/>
      <c r="AX13" s="1859">
        <f t="shared" si="1"/>
        <v>0</v>
      </c>
      <c r="AY13" s="1859"/>
      <c r="AZ13" s="1859"/>
      <c r="BA13" s="1859"/>
      <c r="BB13" s="1859"/>
    </row>
    <row r="14" spans="1:54" ht="20.100000000000001" customHeight="1">
      <c r="A14" s="337" t="s">
        <v>1461</v>
      </c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9"/>
      <c r="T14" s="1857">
        <v>911</v>
      </c>
      <c r="U14" s="1857"/>
      <c r="V14" s="1859">
        <f>unos!D492</f>
        <v>0</v>
      </c>
      <c r="W14" s="1859"/>
      <c r="X14" s="1859"/>
      <c r="Y14" s="1859"/>
      <c r="Z14" s="1859">
        <f>unos!F492</f>
        <v>0</v>
      </c>
      <c r="AA14" s="1859"/>
      <c r="AB14" s="1859"/>
      <c r="AC14" s="1859"/>
      <c r="AD14" s="1859">
        <f>unos!G492</f>
        <v>0</v>
      </c>
      <c r="AE14" s="1859"/>
      <c r="AF14" s="1859"/>
      <c r="AG14" s="1859"/>
      <c r="AH14" s="1859">
        <f>unos!H492</f>
        <v>0</v>
      </c>
      <c r="AI14" s="1859"/>
      <c r="AJ14" s="1859"/>
      <c r="AK14" s="1859"/>
      <c r="AL14" s="1859">
        <f>unos!I492</f>
        <v>0</v>
      </c>
      <c r="AM14" s="1859"/>
      <c r="AN14" s="1859"/>
      <c r="AO14" s="1859"/>
      <c r="AP14" s="1860">
        <f t="shared" si="0"/>
        <v>0</v>
      </c>
      <c r="AQ14" s="1860"/>
      <c r="AR14" s="1860"/>
      <c r="AS14" s="1860"/>
      <c r="AT14" s="1859">
        <f>unos!L492</f>
        <v>0</v>
      </c>
      <c r="AU14" s="1859"/>
      <c r="AV14" s="1859"/>
      <c r="AW14" s="1859"/>
      <c r="AX14" s="1859">
        <f t="shared" si="1"/>
        <v>0</v>
      </c>
      <c r="AY14" s="1859"/>
      <c r="AZ14" s="1859"/>
      <c r="BA14" s="1859"/>
      <c r="BB14" s="1859"/>
    </row>
    <row r="15" spans="1:54" s="331" customFormat="1" ht="20.100000000000001" customHeight="1">
      <c r="A15" s="896" t="str">
        <f>"12. Stanje na dan 31.12."&amp;ObracunGodina-1&amp;", odnosno 01.01."&amp;ObracunGodina&amp;".godine"</f>
        <v>12. Stanje na dan 31.12.2010, odnosno 01.01.2011.godine</v>
      </c>
      <c r="B15" s="897"/>
      <c r="C15" s="897"/>
      <c r="D15" s="897"/>
      <c r="E15" s="897"/>
      <c r="F15" s="897"/>
      <c r="G15" s="897"/>
      <c r="H15" s="897"/>
      <c r="I15" s="897"/>
      <c r="J15" s="897"/>
      <c r="K15" s="897"/>
      <c r="L15" s="897"/>
      <c r="M15" s="897"/>
      <c r="N15" s="897"/>
      <c r="O15" s="897"/>
      <c r="P15" s="1844" t="s">
        <v>2170</v>
      </c>
      <c r="Q15" s="1844"/>
      <c r="R15" s="1844"/>
      <c r="S15" s="1845"/>
      <c r="T15" s="1852">
        <v>912</v>
      </c>
      <c r="U15" s="1852"/>
      <c r="V15" s="1860">
        <f>unos!D493</f>
        <v>0</v>
      </c>
      <c r="W15" s="1860"/>
      <c r="X15" s="1860"/>
      <c r="Y15" s="1860"/>
      <c r="Z15" s="1860">
        <f>unos!F493</f>
        <v>0</v>
      </c>
      <c r="AA15" s="1860"/>
      <c r="AB15" s="1860"/>
      <c r="AC15" s="1860"/>
      <c r="AD15" s="1860">
        <f>unos!G493</f>
        <v>0</v>
      </c>
      <c r="AE15" s="1860"/>
      <c r="AF15" s="1860"/>
      <c r="AG15" s="1860"/>
      <c r="AH15" s="1860">
        <f>unos!H493</f>
        <v>0</v>
      </c>
      <c r="AI15" s="1860"/>
      <c r="AJ15" s="1860"/>
      <c r="AK15" s="1860"/>
      <c r="AL15" s="1860">
        <f>unos!I493</f>
        <v>0</v>
      </c>
      <c r="AM15" s="1860"/>
      <c r="AN15" s="1860"/>
      <c r="AO15" s="1860"/>
      <c r="AP15" s="1860">
        <f t="shared" si="0"/>
        <v>0</v>
      </c>
      <c r="AQ15" s="1860"/>
      <c r="AR15" s="1860"/>
      <c r="AS15" s="1860"/>
      <c r="AT15" s="1860">
        <f>unos!L493</f>
        <v>0</v>
      </c>
      <c r="AU15" s="1860"/>
      <c r="AV15" s="1860"/>
      <c r="AW15" s="1860"/>
      <c r="AX15" s="1860">
        <f>AP15-AT15</f>
        <v>0</v>
      </c>
      <c r="AY15" s="1860"/>
      <c r="AZ15" s="1860"/>
      <c r="BA15" s="1860"/>
      <c r="BB15" s="1860"/>
    </row>
    <row r="16" spans="1:54" ht="20.100000000000001" customHeight="1">
      <c r="A16" s="337" t="s">
        <v>768</v>
      </c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9"/>
      <c r="T16" s="1857">
        <v>913</v>
      </c>
      <c r="U16" s="1857"/>
      <c r="V16" s="1859">
        <f>unos!D494</f>
        <v>0</v>
      </c>
      <c r="W16" s="1859"/>
      <c r="X16" s="1859"/>
      <c r="Y16" s="1859"/>
      <c r="Z16" s="1859">
        <f>unos!F494</f>
        <v>0</v>
      </c>
      <c r="AA16" s="1859"/>
      <c r="AB16" s="1859"/>
      <c r="AC16" s="1859"/>
      <c r="AD16" s="1859">
        <f>unos!G494</f>
        <v>0</v>
      </c>
      <c r="AE16" s="1859"/>
      <c r="AF16" s="1859"/>
      <c r="AG16" s="1859"/>
      <c r="AH16" s="1859">
        <f>unos!H494</f>
        <v>0</v>
      </c>
      <c r="AI16" s="1859"/>
      <c r="AJ16" s="1859"/>
      <c r="AK16" s="1859"/>
      <c r="AL16" s="1859">
        <f>unos!I494</f>
        <v>0</v>
      </c>
      <c r="AM16" s="1859"/>
      <c r="AN16" s="1859"/>
      <c r="AO16" s="1859"/>
      <c r="AP16" s="1860">
        <f t="shared" si="0"/>
        <v>0</v>
      </c>
      <c r="AQ16" s="1860"/>
      <c r="AR16" s="1860"/>
      <c r="AS16" s="1860"/>
      <c r="AT16" s="1859">
        <f>unos!L494</f>
        <v>0</v>
      </c>
      <c r="AU16" s="1859"/>
      <c r="AV16" s="1859"/>
      <c r="AW16" s="1859"/>
      <c r="AX16" s="1859">
        <f>AP16-AT16</f>
        <v>0</v>
      </c>
      <c r="AY16" s="1859"/>
      <c r="AZ16" s="1859"/>
      <c r="BA16" s="1859"/>
      <c r="BB16" s="1859"/>
    </row>
    <row r="17" spans="1:54" ht="20.100000000000001" customHeight="1">
      <c r="A17" s="337" t="s">
        <v>769</v>
      </c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9"/>
      <c r="T17" s="1857">
        <v>914</v>
      </c>
      <c r="U17" s="1857"/>
      <c r="V17" s="1859">
        <f>unos!D495</f>
        <v>0</v>
      </c>
      <c r="W17" s="1859"/>
      <c r="X17" s="1859"/>
      <c r="Y17" s="1859"/>
      <c r="Z17" s="1859">
        <f>unos!F495</f>
        <v>0</v>
      </c>
      <c r="AA17" s="1859"/>
      <c r="AB17" s="1859"/>
      <c r="AC17" s="1859"/>
      <c r="AD17" s="1859">
        <f>unos!G495</f>
        <v>0</v>
      </c>
      <c r="AE17" s="1859"/>
      <c r="AF17" s="1859"/>
      <c r="AG17" s="1859"/>
      <c r="AH17" s="1859">
        <f>unos!H495</f>
        <v>0</v>
      </c>
      <c r="AI17" s="1859"/>
      <c r="AJ17" s="1859"/>
      <c r="AK17" s="1859"/>
      <c r="AL17" s="1859">
        <f>unos!I495</f>
        <v>0</v>
      </c>
      <c r="AM17" s="1859"/>
      <c r="AN17" s="1859"/>
      <c r="AO17" s="1859"/>
      <c r="AP17" s="1860">
        <f t="shared" si="0"/>
        <v>0</v>
      </c>
      <c r="AQ17" s="1860"/>
      <c r="AR17" s="1860"/>
      <c r="AS17" s="1860"/>
      <c r="AT17" s="1859">
        <f>unos!L495</f>
        <v>0</v>
      </c>
      <c r="AU17" s="1859"/>
      <c r="AV17" s="1859"/>
      <c r="AW17" s="1859"/>
      <c r="AX17" s="1859">
        <f t="shared" ref="AX17:AX26" si="2">AP17-AT17</f>
        <v>0</v>
      </c>
      <c r="AY17" s="1859"/>
      <c r="AZ17" s="1859"/>
      <c r="BA17" s="1859"/>
      <c r="BB17" s="1859"/>
    </row>
    <row r="18" spans="1:54" s="331" customFormat="1" ht="20.100000000000001" customHeight="1">
      <c r="A18" s="340" t="str">
        <f>"15. Ponovo iskazano stanje na dan 31.12."&amp;ObracunGodina-1&amp;", odnosno 01.01."&amp;ObracunGodina&amp;".godine (912+-913+-914)"</f>
        <v>15. Ponovo iskazano stanje na dan 31.12.2010, odnosno 01.01.2011.godine (912+-913+-914)</v>
      </c>
      <c r="B18" s="335"/>
      <c r="C18" s="335"/>
      <c r="D18" s="335"/>
      <c r="E18" s="335"/>
      <c r="F18" s="335"/>
      <c r="G18" s="335"/>
      <c r="H18" s="335"/>
      <c r="I18" s="335"/>
      <c r="J18" s="335"/>
      <c r="K18" s="335"/>
      <c r="L18" s="335"/>
      <c r="M18" s="335"/>
      <c r="N18" s="335"/>
      <c r="O18" s="335"/>
      <c r="P18" s="335"/>
      <c r="Q18" s="335"/>
      <c r="R18" s="335"/>
      <c r="S18" s="336"/>
      <c r="T18" s="1852">
        <v>915</v>
      </c>
      <c r="U18" s="1852"/>
      <c r="V18" s="1860">
        <f>unos!D496</f>
        <v>0</v>
      </c>
      <c r="W18" s="1860"/>
      <c r="X18" s="1860"/>
      <c r="Y18" s="1860"/>
      <c r="Z18" s="1860">
        <f>unos!F496</f>
        <v>0</v>
      </c>
      <c r="AA18" s="1860"/>
      <c r="AB18" s="1860"/>
      <c r="AC18" s="1860"/>
      <c r="AD18" s="1860">
        <f>unos!G496</f>
        <v>0</v>
      </c>
      <c r="AE18" s="1860"/>
      <c r="AF18" s="1860"/>
      <c r="AG18" s="1860"/>
      <c r="AH18" s="1860">
        <f>unos!H496</f>
        <v>0</v>
      </c>
      <c r="AI18" s="1860"/>
      <c r="AJ18" s="1860"/>
      <c r="AK18" s="1860"/>
      <c r="AL18" s="1860">
        <f>unos!I496</f>
        <v>0</v>
      </c>
      <c r="AM18" s="1860"/>
      <c r="AN18" s="1860"/>
      <c r="AO18" s="1860"/>
      <c r="AP18" s="1860">
        <f t="shared" si="0"/>
        <v>0</v>
      </c>
      <c r="AQ18" s="1860"/>
      <c r="AR18" s="1860"/>
      <c r="AS18" s="1860"/>
      <c r="AT18" s="1860">
        <f>unos!L496</f>
        <v>0</v>
      </c>
      <c r="AU18" s="1860"/>
      <c r="AV18" s="1860"/>
      <c r="AW18" s="1860"/>
      <c r="AX18" s="1860">
        <f t="shared" si="2"/>
        <v>0</v>
      </c>
      <c r="AY18" s="1860"/>
      <c r="AZ18" s="1860"/>
      <c r="BA18" s="1860"/>
      <c r="BB18" s="1860"/>
    </row>
    <row r="19" spans="1:54" ht="20.100000000000001" customHeight="1">
      <c r="A19" s="337" t="s">
        <v>771</v>
      </c>
      <c r="B19" s="338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9"/>
      <c r="T19" s="1857">
        <v>916</v>
      </c>
      <c r="U19" s="1857"/>
      <c r="V19" s="1859">
        <f>unos!D497</f>
        <v>0</v>
      </c>
      <c r="W19" s="1859"/>
      <c r="X19" s="1859"/>
      <c r="Y19" s="1859"/>
      <c r="Z19" s="1859">
        <f>unos!F497</f>
        <v>0</v>
      </c>
      <c r="AA19" s="1859"/>
      <c r="AB19" s="1859"/>
      <c r="AC19" s="1859"/>
      <c r="AD19" s="1859">
        <f>unos!G497</f>
        <v>0</v>
      </c>
      <c r="AE19" s="1859"/>
      <c r="AF19" s="1859"/>
      <c r="AG19" s="1859"/>
      <c r="AH19" s="1859">
        <f>unos!H497</f>
        <v>0</v>
      </c>
      <c r="AI19" s="1859"/>
      <c r="AJ19" s="1859"/>
      <c r="AK19" s="1859"/>
      <c r="AL19" s="1859">
        <f>unos!I497</f>
        <v>0</v>
      </c>
      <c r="AM19" s="1859"/>
      <c r="AN19" s="1859"/>
      <c r="AO19" s="1859"/>
      <c r="AP19" s="1860">
        <f t="shared" si="0"/>
        <v>0</v>
      </c>
      <c r="AQ19" s="1860"/>
      <c r="AR19" s="1860"/>
      <c r="AS19" s="1860"/>
      <c r="AT19" s="1859">
        <f>unos!L497</f>
        <v>0</v>
      </c>
      <c r="AU19" s="1859"/>
      <c r="AV19" s="1859"/>
      <c r="AW19" s="1859"/>
      <c r="AX19" s="1859">
        <f t="shared" si="2"/>
        <v>0</v>
      </c>
      <c r="AY19" s="1859"/>
      <c r="AZ19" s="1859"/>
      <c r="BA19" s="1859"/>
      <c r="BB19" s="1859"/>
    </row>
    <row r="20" spans="1:54" ht="20.100000000000001" customHeight="1">
      <c r="A20" s="337" t="s">
        <v>772</v>
      </c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9"/>
      <c r="T20" s="1857">
        <v>917</v>
      </c>
      <c r="U20" s="1857"/>
      <c r="V20" s="1859">
        <f>unos!D498</f>
        <v>0</v>
      </c>
      <c r="W20" s="1859"/>
      <c r="X20" s="1859"/>
      <c r="Y20" s="1859"/>
      <c r="Z20" s="1859">
        <f>unos!F498</f>
        <v>0</v>
      </c>
      <c r="AA20" s="1859"/>
      <c r="AB20" s="1859"/>
      <c r="AC20" s="1859"/>
      <c r="AD20" s="1859">
        <f>unos!G498</f>
        <v>0</v>
      </c>
      <c r="AE20" s="1859"/>
      <c r="AF20" s="1859"/>
      <c r="AG20" s="1859"/>
      <c r="AH20" s="1859">
        <f>unos!H498</f>
        <v>0</v>
      </c>
      <c r="AI20" s="1859"/>
      <c r="AJ20" s="1859"/>
      <c r="AK20" s="1859"/>
      <c r="AL20" s="1859">
        <f>unos!I498</f>
        <v>0</v>
      </c>
      <c r="AM20" s="1859"/>
      <c r="AN20" s="1859"/>
      <c r="AO20" s="1859"/>
      <c r="AP20" s="1860">
        <f t="shared" si="0"/>
        <v>0</v>
      </c>
      <c r="AQ20" s="1860"/>
      <c r="AR20" s="1860"/>
      <c r="AS20" s="1860"/>
      <c r="AT20" s="1859">
        <f>unos!L498</f>
        <v>0</v>
      </c>
      <c r="AU20" s="1859"/>
      <c r="AV20" s="1859"/>
      <c r="AW20" s="1859"/>
      <c r="AX20" s="1859">
        <f t="shared" si="2"/>
        <v>0</v>
      </c>
      <c r="AY20" s="1859"/>
      <c r="AZ20" s="1859"/>
      <c r="BA20" s="1859"/>
      <c r="BB20" s="1859"/>
    </row>
    <row r="21" spans="1:54" ht="20.100000000000001" customHeight="1">
      <c r="A21" s="337" t="s">
        <v>773</v>
      </c>
      <c r="B21" s="338"/>
      <c r="C21" s="338"/>
      <c r="D21" s="338"/>
      <c r="E21" s="338"/>
      <c r="F21" s="338"/>
      <c r="G21" s="338"/>
      <c r="H21" s="338"/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39"/>
      <c r="T21" s="1857">
        <v>918</v>
      </c>
      <c r="U21" s="1857"/>
      <c r="V21" s="1859">
        <f>unos!D499</f>
        <v>0</v>
      </c>
      <c r="W21" s="1859"/>
      <c r="X21" s="1859"/>
      <c r="Y21" s="1859"/>
      <c r="Z21" s="1859">
        <f>unos!F499</f>
        <v>0</v>
      </c>
      <c r="AA21" s="1859"/>
      <c r="AB21" s="1859"/>
      <c r="AC21" s="1859"/>
      <c r="AD21" s="1859">
        <f>unos!G499</f>
        <v>0</v>
      </c>
      <c r="AE21" s="1859"/>
      <c r="AF21" s="1859"/>
      <c r="AG21" s="1859"/>
      <c r="AH21" s="1859">
        <f>unos!H499</f>
        <v>0</v>
      </c>
      <c r="AI21" s="1859"/>
      <c r="AJ21" s="1859"/>
      <c r="AK21" s="1859"/>
      <c r="AL21" s="1859">
        <f>unos!I499</f>
        <v>0</v>
      </c>
      <c r="AM21" s="1859"/>
      <c r="AN21" s="1859"/>
      <c r="AO21" s="1859"/>
      <c r="AP21" s="1860">
        <f t="shared" si="0"/>
        <v>0</v>
      </c>
      <c r="AQ21" s="1860"/>
      <c r="AR21" s="1860"/>
      <c r="AS21" s="1860"/>
      <c r="AT21" s="1859">
        <f>unos!L499</f>
        <v>0</v>
      </c>
      <c r="AU21" s="1859"/>
      <c r="AV21" s="1859"/>
      <c r="AW21" s="1859"/>
      <c r="AX21" s="1859">
        <f t="shared" si="2"/>
        <v>0</v>
      </c>
      <c r="AY21" s="1859"/>
      <c r="AZ21" s="1859"/>
      <c r="BA21" s="1859"/>
      <c r="BB21" s="1859"/>
    </row>
    <row r="22" spans="1:54" ht="20.100000000000001" customHeight="1">
      <c r="A22" s="337" t="s">
        <v>774</v>
      </c>
      <c r="B22" s="338"/>
      <c r="C22" s="338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9"/>
      <c r="T22" s="1857">
        <v>919</v>
      </c>
      <c r="U22" s="1857"/>
      <c r="V22" s="1859">
        <f>unos!D500</f>
        <v>0</v>
      </c>
      <c r="W22" s="1859"/>
      <c r="X22" s="1859"/>
      <c r="Y22" s="1859"/>
      <c r="Z22" s="1859">
        <f>unos!F500</f>
        <v>0</v>
      </c>
      <c r="AA22" s="1859"/>
      <c r="AB22" s="1859"/>
      <c r="AC22" s="1859"/>
      <c r="AD22" s="1859">
        <f>unos!G500</f>
        <v>0</v>
      </c>
      <c r="AE22" s="1859"/>
      <c r="AF22" s="1859"/>
      <c r="AG22" s="1859"/>
      <c r="AH22" s="1859">
        <f>unos!H500</f>
        <v>0</v>
      </c>
      <c r="AI22" s="1859"/>
      <c r="AJ22" s="1859"/>
      <c r="AK22" s="1859"/>
      <c r="AL22" s="1859">
        <f>unos!I500</f>
        <v>0</v>
      </c>
      <c r="AM22" s="1859"/>
      <c r="AN22" s="1859"/>
      <c r="AO22" s="1859"/>
      <c r="AP22" s="1860">
        <f t="shared" si="0"/>
        <v>0</v>
      </c>
      <c r="AQ22" s="1860"/>
      <c r="AR22" s="1860"/>
      <c r="AS22" s="1860"/>
      <c r="AT22" s="1859">
        <f>unos!L500</f>
        <v>0</v>
      </c>
      <c r="AU22" s="1859"/>
      <c r="AV22" s="1859"/>
      <c r="AW22" s="1859"/>
      <c r="AX22" s="1859">
        <f t="shared" si="2"/>
        <v>0</v>
      </c>
      <c r="AY22" s="1859"/>
      <c r="AZ22" s="1859"/>
      <c r="BA22" s="1859"/>
      <c r="BB22" s="1859"/>
    </row>
    <row r="23" spans="1:54" ht="20.100000000000001" customHeight="1">
      <c r="A23" s="337" t="s">
        <v>775</v>
      </c>
      <c r="B23" s="338"/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9"/>
      <c r="T23" s="1857">
        <v>920</v>
      </c>
      <c r="U23" s="1857"/>
      <c r="V23" s="1859">
        <f>unos!D501</f>
        <v>0</v>
      </c>
      <c r="W23" s="1859"/>
      <c r="X23" s="1859"/>
      <c r="Y23" s="1859"/>
      <c r="Z23" s="1859">
        <f>unos!F501</f>
        <v>0</v>
      </c>
      <c r="AA23" s="1859"/>
      <c r="AB23" s="1859"/>
      <c r="AC23" s="1859"/>
      <c r="AD23" s="1859">
        <f>unos!G501</f>
        <v>0</v>
      </c>
      <c r="AE23" s="1859"/>
      <c r="AF23" s="1859"/>
      <c r="AG23" s="1859"/>
      <c r="AH23" s="1859">
        <f>unos!H501</f>
        <v>0</v>
      </c>
      <c r="AI23" s="1859"/>
      <c r="AJ23" s="1859"/>
      <c r="AK23" s="1859"/>
      <c r="AL23" s="1859">
        <f>unos!I501</f>
        <v>0</v>
      </c>
      <c r="AM23" s="1859"/>
      <c r="AN23" s="1859"/>
      <c r="AO23" s="1859"/>
      <c r="AP23" s="1860">
        <f t="shared" si="0"/>
        <v>0</v>
      </c>
      <c r="AQ23" s="1860"/>
      <c r="AR23" s="1860"/>
      <c r="AS23" s="1860"/>
      <c r="AT23" s="1859">
        <f>unos!L501</f>
        <v>0</v>
      </c>
      <c r="AU23" s="1859"/>
      <c r="AV23" s="1859"/>
      <c r="AW23" s="1859"/>
      <c r="AX23" s="1859">
        <f t="shared" si="2"/>
        <v>0</v>
      </c>
      <c r="AY23" s="1859"/>
      <c r="AZ23" s="1859"/>
      <c r="BA23" s="1859"/>
      <c r="BB23" s="1859"/>
    </row>
    <row r="24" spans="1:54" ht="20.100000000000001" customHeight="1">
      <c r="A24" s="337" t="s">
        <v>1438</v>
      </c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9"/>
      <c r="T24" s="1857">
        <v>921</v>
      </c>
      <c r="U24" s="1857"/>
      <c r="V24" s="1859">
        <f>unos!D502</f>
        <v>0</v>
      </c>
      <c r="W24" s="1859"/>
      <c r="X24" s="1859"/>
      <c r="Y24" s="1859"/>
      <c r="Z24" s="1859">
        <f>unos!F502</f>
        <v>0</v>
      </c>
      <c r="AA24" s="1859"/>
      <c r="AB24" s="1859"/>
      <c r="AC24" s="1859"/>
      <c r="AD24" s="1859">
        <f>unos!G502</f>
        <v>0</v>
      </c>
      <c r="AE24" s="1859"/>
      <c r="AF24" s="1859"/>
      <c r="AG24" s="1859"/>
      <c r="AH24" s="1859">
        <f>unos!H502</f>
        <v>0</v>
      </c>
      <c r="AI24" s="1859"/>
      <c r="AJ24" s="1859"/>
      <c r="AK24" s="1859"/>
      <c r="AL24" s="1859">
        <f>unos!I502</f>
        <v>0</v>
      </c>
      <c r="AM24" s="1859"/>
      <c r="AN24" s="1859"/>
      <c r="AO24" s="1859"/>
      <c r="AP24" s="1860">
        <f t="shared" si="0"/>
        <v>0</v>
      </c>
      <c r="AQ24" s="1860"/>
      <c r="AR24" s="1860"/>
      <c r="AS24" s="1860"/>
      <c r="AT24" s="1859">
        <f>unos!L502</f>
        <v>0</v>
      </c>
      <c r="AU24" s="1859"/>
      <c r="AV24" s="1859"/>
      <c r="AW24" s="1859"/>
      <c r="AX24" s="1859">
        <f t="shared" si="2"/>
        <v>0</v>
      </c>
      <c r="AY24" s="1859"/>
      <c r="AZ24" s="1859"/>
      <c r="BA24" s="1859"/>
      <c r="BB24" s="1859"/>
    </row>
    <row r="25" spans="1:54" ht="20.100000000000001" customHeight="1">
      <c r="A25" s="337" t="s">
        <v>2297</v>
      </c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9"/>
      <c r="T25" s="1857">
        <v>922</v>
      </c>
      <c r="U25" s="1857"/>
      <c r="V25" s="1859">
        <f>unos!D503</f>
        <v>0</v>
      </c>
      <c r="W25" s="1859"/>
      <c r="X25" s="1859"/>
      <c r="Y25" s="1859"/>
      <c r="Z25" s="1859">
        <f>unos!F503</f>
        <v>0</v>
      </c>
      <c r="AA25" s="1859"/>
      <c r="AB25" s="1859"/>
      <c r="AC25" s="1859"/>
      <c r="AD25" s="1859">
        <f>unos!G503</f>
        <v>0</v>
      </c>
      <c r="AE25" s="1859"/>
      <c r="AF25" s="1859"/>
      <c r="AG25" s="1859"/>
      <c r="AH25" s="1859">
        <f>unos!H503</f>
        <v>0</v>
      </c>
      <c r="AI25" s="1859"/>
      <c r="AJ25" s="1859"/>
      <c r="AK25" s="1859"/>
      <c r="AL25" s="1859">
        <f>unos!I503</f>
        <v>0</v>
      </c>
      <c r="AM25" s="1859"/>
      <c r="AN25" s="1859"/>
      <c r="AO25" s="1859"/>
      <c r="AP25" s="1860">
        <f t="shared" si="0"/>
        <v>0</v>
      </c>
      <c r="AQ25" s="1860"/>
      <c r="AR25" s="1860"/>
      <c r="AS25" s="1860"/>
      <c r="AT25" s="1859">
        <f>unos!L503</f>
        <v>0</v>
      </c>
      <c r="AU25" s="1859"/>
      <c r="AV25" s="1859"/>
      <c r="AW25" s="1859"/>
      <c r="AX25" s="1859">
        <f t="shared" si="2"/>
        <v>0</v>
      </c>
      <c r="AY25" s="1859"/>
      <c r="AZ25" s="1859"/>
      <c r="BA25" s="1859"/>
      <c r="BB25" s="1859"/>
    </row>
    <row r="26" spans="1:54" s="331" customFormat="1" ht="20.100000000000001" customHeight="1">
      <c r="A26" s="334" t="str">
        <f>"23. Stanje na dan "&amp;ObracunDoDatuma&amp;ObracunGodina&amp;". godine"</f>
        <v>23. Stanje na dan 31.12.2011. godine</v>
      </c>
      <c r="B26" s="335"/>
      <c r="C26" s="335"/>
      <c r="D26" s="335"/>
      <c r="E26" s="335"/>
      <c r="F26" s="335"/>
      <c r="G26" s="335"/>
      <c r="H26" s="335"/>
      <c r="I26" s="335"/>
      <c r="J26" s="335"/>
      <c r="K26" s="335" t="s">
        <v>770</v>
      </c>
      <c r="L26" s="335"/>
      <c r="M26" s="335"/>
      <c r="N26" s="335"/>
      <c r="O26" s="335"/>
      <c r="P26" s="335"/>
      <c r="Q26" s="335"/>
      <c r="R26" s="335"/>
      <c r="S26" s="336"/>
      <c r="T26" s="1852">
        <v>923</v>
      </c>
      <c r="U26" s="1852"/>
      <c r="V26" s="1860">
        <f>unos!D504</f>
        <v>0</v>
      </c>
      <c r="W26" s="1860"/>
      <c r="X26" s="1860"/>
      <c r="Y26" s="1860"/>
      <c r="Z26" s="1860">
        <f>unos!F504</f>
        <v>0</v>
      </c>
      <c r="AA26" s="1860"/>
      <c r="AB26" s="1860"/>
      <c r="AC26" s="1860"/>
      <c r="AD26" s="1860">
        <f>unos!G504</f>
        <v>0</v>
      </c>
      <c r="AE26" s="1860"/>
      <c r="AF26" s="1860"/>
      <c r="AG26" s="1860"/>
      <c r="AH26" s="1860">
        <f>unos!H504</f>
        <v>0</v>
      </c>
      <c r="AI26" s="1860"/>
      <c r="AJ26" s="1860"/>
      <c r="AK26" s="1860"/>
      <c r="AL26" s="1860">
        <f>unos!I504</f>
        <v>0</v>
      </c>
      <c r="AM26" s="1860"/>
      <c r="AN26" s="1860"/>
      <c r="AO26" s="1860"/>
      <c r="AP26" s="1860">
        <f t="shared" si="0"/>
        <v>0</v>
      </c>
      <c r="AQ26" s="1860"/>
      <c r="AR26" s="1860"/>
      <c r="AS26" s="1860"/>
      <c r="AT26" s="1860">
        <f>unos!L504</f>
        <v>0</v>
      </c>
      <c r="AU26" s="1860"/>
      <c r="AV26" s="1860"/>
      <c r="AW26" s="1860"/>
      <c r="AX26" s="1860">
        <f t="shared" si="2"/>
        <v>0</v>
      </c>
      <c r="AY26" s="1860"/>
      <c r="AZ26" s="1860"/>
      <c r="BA26" s="1860"/>
      <c r="BB26" s="1860"/>
    </row>
    <row r="27" spans="1:54" ht="24" customHeight="1">
      <c r="V27" s="371"/>
      <c r="W27" s="371"/>
      <c r="X27" s="371"/>
      <c r="Y27" s="371"/>
      <c r="Z27" s="371"/>
      <c r="AA27" s="371"/>
      <c r="AB27" s="371"/>
      <c r="AC27" s="371"/>
      <c r="AD27" s="371"/>
      <c r="AE27" s="371"/>
      <c r="AF27" s="371"/>
      <c r="AG27" s="372"/>
      <c r="AH27" s="371"/>
      <c r="AI27" s="371"/>
      <c r="AJ27" s="371"/>
      <c r="AK27" s="371"/>
      <c r="AL27" s="371"/>
      <c r="AM27" s="371"/>
      <c r="AN27" s="371"/>
      <c r="AO27" s="371"/>
      <c r="AP27" s="371"/>
      <c r="AQ27" s="371"/>
      <c r="AR27" s="371"/>
      <c r="AS27" s="371"/>
      <c r="AT27" s="371"/>
      <c r="AU27" s="371"/>
      <c r="AV27" s="371"/>
      <c r="AW27" s="371"/>
      <c r="AX27" s="371"/>
      <c r="AY27" s="371"/>
      <c r="AZ27" s="371"/>
      <c r="BA27" s="371"/>
      <c r="BB27" s="372" t="s">
        <v>2631</v>
      </c>
    </row>
  </sheetData>
  <mergeCells count="229">
    <mergeCell ref="V1:AS1"/>
    <mergeCell ref="AT1:AW2"/>
    <mergeCell ref="AX1:BB2"/>
    <mergeCell ref="AH2:AK2"/>
    <mergeCell ref="AL2:AO2"/>
    <mergeCell ref="AH3:AK3"/>
    <mergeCell ref="AP3:AS3"/>
    <mergeCell ref="AD3:AG3"/>
    <mergeCell ref="AT3:AW3"/>
    <mergeCell ref="AX3:BB3"/>
    <mergeCell ref="AD5:AG5"/>
    <mergeCell ref="AD4:AG4"/>
    <mergeCell ref="AT6:AW6"/>
    <mergeCell ref="AT4:AW4"/>
    <mergeCell ref="AL3:AO3"/>
    <mergeCell ref="AX4:BB4"/>
    <mergeCell ref="AX6:BB6"/>
    <mergeCell ref="AP2:AS2"/>
    <mergeCell ref="T7:U7"/>
    <mergeCell ref="V7:Y7"/>
    <mergeCell ref="Z7:AC7"/>
    <mergeCell ref="AD7:AG7"/>
    <mergeCell ref="AH7:AK7"/>
    <mergeCell ref="AL7:AO7"/>
    <mergeCell ref="AP7:AS7"/>
    <mergeCell ref="T6:U6"/>
    <mergeCell ref="AP6:AS6"/>
    <mergeCell ref="AH6:AK6"/>
    <mergeCell ref="AL6:AO6"/>
    <mergeCell ref="AT7:AW7"/>
    <mergeCell ref="AX7:BB7"/>
    <mergeCell ref="V6:Y6"/>
    <mergeCell ref="Z6:AC6"/>
    <mergeCell ref="AD6:AG6"/>
    <mergeCell ref="AH5:AK5"/>
    <mergeCell ref="AH4:AK4"/>
    <mergeCell ref="AX5:BB5"/>
    <mergeCell ref="AH9:AK9"/>
    <mergeCell ref="AL9:AO9"/>
    <mergeCell ref="AP9:AS9"/>
    <mergeCell ref="AT9:AW9"/>
    <mergeCell ref="AX9:BB9"/>
    <mergeCell ref="AL4:AO4"/>
    <mergeCell ref="AP4:AS4"/>
    <mergeCell ref="AL5:AO5"/>
    <mergeCell ref="AP5:AS5"/>
    <mergeCell ref="AT5:AW5"/>
    <mergeCell ref="T8:U8"/>
    <mergeCell ref="V8:Y8"/>
    <mergeCell ref="Z8:AC8"/>
    <mergeCell ref="AD8:AG8"/>
    <mergeCell ref="AH8:AK8"/>
    <mergeCell ref="AL8:AO8"/>
    <mergeCell ref="AP8:AS8"/>
    <mergeCell ref="AT8:AW8"/>
    <mergeCell ref="AX8:BB8"/>
    <mergeCell ref="AP10:AS10"/>
    <mergeCell ref="AT10:AW10"/>
    <mergeCell ref="AX10:BB10"/>
    <mergeCell ref="T11:U11"/>
    <mergeCell ref="V11:Y11"/>
    <mergeCell ref="Z11:AC11"/>
    <mergeCell ref="AD11:AG11"/>
    <mergeCell ref="AH11:AK11"/>
    <mergeCell ref="AL11:AO11"/>
    <mergeCell ref="AP11:AS11"/>
    <mergeCell ref="T10:U10"/>
    <mergeCell ref="V10:Y10"/>
    <mergeCell ref="Z10:AC10"/>
    <mergeCell ref="AD10:AG10"/>
    <mergeCell ref="AH10:AK10"/>
    <mergeCell ref="AL10:AO10"/>
    <mergeCell ref="AT11:AW11"/>
    <mergeCell ref="AX11:BB11"/>
    <mergeCell ref="AH13:AK13"/>
    <mergeCell ref="AL13:AO13"/>
    <mergeCell ref="AP13:AS13"/>
    <mergeCell ref="AT13:AW13"/>
    <mergeCell ref="AX13:BB13"/>
    <mergeCell ref="T12:U12"/>
    <mergeCell ref="V12:Y12"/>
    <mergeCell ref="Z12:AC12"/>
    <mergeCell ref="AD12:AG12"/>
    <mergeCell ref="AH12:AK12"/>
    <mergeCell ref="AL12:AO12"/>
    <mergeCell ref="AP12:AS12"/>
    <mergeCell ref="AT12:AW12"/>
    <mergeCell ref="AX12:BB12"/>
    <mergeCell ref="AP14:AS14"/>
    <mergeCell ref="AT14:AW14"/>
    <mergeCell ref="AX14:BB14"/>
    <mergeCell ref="T15:U15"/>
    <mergeCell ref="V15:Y15"/>
    <mergeCell ref="Z15:AC15"/>
    <mergeCell ref="AD15:AG15"/>
    <mergeCell ref="AH15:AK15"/>
    <mergeCell ref="AL15:AO15"/>
    <mergeCell ref="AP15:AS15"/>
    <mergeCell ref="T14:U14"/>
    <mergeCell ref="V14:Y14"/>
    <mergeCell ref="Z14:AC14"/>
    <mergeCell ref="AD14:AG14"/>
    <mergeCell ref="AH14:AK14"/>
    <mergeCell ref="AL14:AO14"/>
    <mergeCell ref="AT15:AW15"/>
    <mergeCell ref="AX15:BB15"/>
    <mergeCell ref="T16:U16"/>
    <mergeCell ref="V16:Y16"/>
    <mergeCell ref="Z16:AC16"/>
    <mergeCell ref="AD16:AG16"/>
    <mergeCell ref="AH16:AK16"/>
    <mergeCell ref="AL16:AO16"/>
    <mergeCell ref="AP16:AS16"/>
    <mergeCell ref="AT16:AW16"/>
    <mergeCell ref="AX16:BB16"/>
    <mergeCell ref="T17:U17"/>
    <mergeCell ref="V17:Y17"/>
    <mergeCell ref="Z17:AC17"/>
    <mergeCell ref="AD17:AG17"/>
    <mergeCell ref="AH17:AK17"/>
    <mergeCell ref="AL17:AO17"/>
    <mergeCell ref="AP17:AS17"/>
    <mergeCell ref="AT17:AW17"/>
    <mergeCell ref="AX17:BB17"/>
    <mergeCell ref="AP18:AS18"/>
    <mergeCell ref="AT18:AW18"/>
    <mergeCell ref="AX18:BB18"/>
    <mergeCell ref="T19:U19"/>
    <mergeCell ref="V19:Y19"/>
    <mergeCell ref="Z19:AC19"/>
    <mergeCell ref="AD19:AG19"/>
    <mergeCell ref="AH19:AK19"/>
    <mergeCell ref="AL19:AO19"/>
    <mergeCell ref="AP19:AS19"/>
    <mergeCell ref="T18:U18"/>
    <mergeCell ref="V18:Y18"/>
    <mergeCell ref="Z18:AC18"/>
    <mergeCell ref="AD18:AG18"/>
    <mergeCell ref="AH18:AK18"/>
    <mergeCell ref="AL18:AO18"/>
    <mergeCell ref="AT19:AW19"/>
    <mergeCell ref="AX19:BB19"/>
    <mergeCell ref="T20:U20"/>
    <mergeCell ref="V20:Y20"/>
    <mergeCell ref="Z20:AC20"/>
    <mergeCell ref="AD20:AG20"/>
    <mergeCell ref="AH20:AK20"/>
    <mergeCell ref="AL20:AO20"/>
    <mergeCell ref="AP20:AS20"/>
    <mergeCell ref="AT20:AW20"/>
    <mergeCell ref="AX20:BB20"/>
    <mergeCell ref="T21:U21"/>
    <mergeCell ref="V21:Y21"/>
    <mergeCell ref="Z21:AC21"/>
    <mergeCell ref="AD21:AG21"/>
    <mergeCell ref="AH21:AK21"/>
    <mergeCell ref="AL21:AO21"/>
    <mergeCell ref="AP21:AS21"/>
    <mergeCell ref="AT21:AW21"/>
    <mergeCell ref="AX21:BB21"/>
    <mergeCell ref="AX23:BB23"/>
    <mergeCell ref="AH24:AK24"/>
    <mergeCell ref="AL24:AO24"/>
    <mergeCell ref="AP24:AS24"/>
    <mergeCell ref="AT24:AW24"/>
    <mergeCell ref="AX22:BB22"/>
    <mergeCell ref="T23:U23"/>
    <mergeCell ref="V23:Y23"/>
    <mergeCell ref="Z23:AC23"/>
    <mergeCell ref="AD23:AG23"/>
    <mergeCell ref="AH23:AK23"/>
    <mergeCell ref="AL23:AO23"/>
    <mergeCell ref="AP23:AS23"/>
    <mergeCell ref="AT23:AW23"/>
    <mergeCell ref="AH22:AK22"/>
    <mergeCell ref="AL22:AO22"/>
    <mergeCell ref="AP22:AS22"/>
    <mergeCell ref="AT22:AW22"/>
    <mergeCell ref="T22:U22"/>
    <mergeCell ref="V22:Y22"/>
    <mergeCell ref="Z22:AC22"/>
    <mergeCell ref="AD22:AG22"/>
    <mergeCell ref="T25:U25"/>
    <mergeCell ref="V25:Y25"/>
    <mergeCell ref="Z25:AC25"/>
    <mergeCell ref="AD25:AG25"/>
    <mergeCell ref="T26:U26"/>
    <mergeCell ref="V26:Y26"/>
    <mergeCell ref="Z26:AC26"/>
    <mergeCell ref="AD26:AG26"/>
    <mergeCell ref="T24:U24"/>
    <mergeCell ref="V24:Y24"/>
    <mergeCell ref="Z24:AC24"/>
    <mergeCell ref="AD24:AG24"/>
    <mergeCell ref="AH26:AK26"/>
    <mergeCell ref="AL26:AO26"/>
    <mergeCell ref="AP26:AS26"/>
    <mergeCell ref="AX24:BB24"/>
    <mergeCell ref="AT26:AW26"/>
    <mergeCell ref="AX26:BB26"/>
    <mergeCell ref="AT25:AW25"/>
    <mergeCell ref="AX25:BB25"/>
    <mergeCell ref="AH25:AK25"/>
    <mergeCell ref="AL25:AO25"/>
    <mergeCell ref="AP25:AS25"/>
    <mergeCell ref="P15:S15"/>
    <mergeCell ref="V2:Y2"/>
    <mergeCell ref="Z2:AC2"/>
    <mergeCell ref="AD2:AG2"/>
    <mergeCell ref="A1:S2"/>
    <mergeCell ref="T1:U2"/>
    <mergeCell ref="A3:S3"/>
    <mergeCell ref="T3:U3"/>
    <mergeCell ref="V3:Y3"/>
    <mergeCell ref="Z3:AC3"/>
    <mergeCell ref="T5:U5"/>
    <mergeCell ref="T4:U4"/>
    <mergeCell ref="T13:U13"/>
    <mergeCell ref="V13:Y13"/>
    <mergeCell ref="Z13:AC13"/>
    <mergeCell ref="AD13:AG13"/>
    <mergeCell ref="T9:U9"/>
    <mergeCell ref="V9:Y9"/>
    <mergeCell ref="Z9:AC9"/>
    <mergeCell ref="AD9:AG9"/>
    <mergeCell ref="V5:Y5"/>
    <mergeCell ref="Z5:AC5"/>
    <mergeCell ref="V4:Y4"/>
    <mergeCell ref="Z4:AC4"/>
  </mergeCells>
  <phoneticPr fontId="60" type="noConversion"/>
  <pageMargins left="0.34" right="0.32" top="0.48" bottom="0.34" header="0.22" footer="0.19"/>
  <pageSetup paperSize="9" scale="8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33" enableFormatConditionsCalculation="0">
    <tabColor indexed="46"/>
  </sheetPr>
  <dimension ref="A1:BI803"/>
  <sheetViews>
    <sheetView showGridLines="0" workbookViewId="0">
      <selection activeCell="BA66" sqref="BA66:BI66"/>
    </sheetView>
  </sheetViews>
  <sheetFormatPr defaultColWidth="1.7109375" defaultRowHeight="12.75"/>
  <cols>
    <col min="1" max="6" width="1.7109375" style="1" customWidth="1"/>
    <col min="7" max="34" width="1.7109375" style="2" customWidth="1"/>
    <col min="35" max="40" width="1.7109375" style="25" customWidth="1"/>
    <col min="41" max="41" width="1.42578125" style="25" customWidth="1"/>
    <col min="42" max="43" width="1.7109375" style="25" customWidth="1"/>
    <col min="44" max="16384" width="1.7109375" style="2"/>
  </cols>
  <sheetData>
    <row r="1" spans="1:60" ht="15" customHeight="1">
      <c r="A1" s="2" t="s">
        <v>179</v>
      </c>
      <c r="B1" s="2"/>
      <c r="C1" s="2"/>
      <c r="D1" s="2"/>
      <c r="E1" s="2"/>
      <c r="F1" s="2"/>
      <c r="BH1" s="6" t="s">
        <v>2266</v>
      </c>
    </row>
    <row r="2" spans="1:60">
      <c r="A2" s="1929">
        <f>FirmaNaziv</f>
        <v>0</v>
      </c>
      <c r="B2" s="1929"/>
      <c r="C2" s="1929"/>
      <c r="D2" s="1929"/>
      <c r="E2" s="1929"/>
      <c r="F2" s="1929"/>
      <c r="G2" s="1929"/>
      <c r="H2" s="1929"/>
      <c r="I2" s="1929"/>
      <c r="J2" s="1929"/>
      <c r="K2" s="1929"/>
      <c r="L2" s="1929"/>
      <c r="M2" s="1929"/>
      <c r="N2" s="1929"/>
      <c r="O2" s="1929"/>
      <c r="P2" s="1929"/>
      <c r="Q2" s="1929"/>
      <c r="R2" s="1929"/>
      <c r="S2" s="1929"/>
      <c r="T2" s="1929"/>
      <c r="U2" s="1929"/>
      <c r="V2" s="1929"/>
      <c r="W2" s="1929"/>
      <c r="X2" s="1929"/>
      <c r="Y2" s="1929"/>
      <c r="Z2" s="1929"/>
      <c r="AA2" s="1929"/>
      <c r="AV2" s="350" t="str">
        <f>MID(FirmaID,1,1)</f>
        <v/>
      </c>
      <c r="AW2" s="350" t="str">
        <f>MID(FirmaID,2,1)</f>
        <v/>
      </c>
      <c r="AX2" s="350" t="str">
        <f>MID(FirmaID,3,1)</f>
        <v/>
      </c>
      <c r="AY2" s="350" t="str">
        <f>MID(FirmaID,4,1)</f>
        <v/>
      </c>
      <c r="AZ2" s="350" t="str">
        <f>MID(FirmaID,5,1)</f>
        <v/>
      </c>
      <c r="BA2" s="350" t="str">
        <f>MID(FirmaID,6,1)</f>
        <v/>
      </c>
      <c r="BB2" s="350" t="str">
        <f>MID(FirmaID,7,1)</f>
        <v/>
      </c>
      <c r="BC2" s="350" t="str">
        <f>MID(FirmaID,8,1)</f>
        <v/>
      </c>
      <c r="BD2" s="350" t="str">
        <f>MID(FirmaID,9,1)</f>
        <v/>
      </c>
      <c r="BE2" s="350" t="str">
        <f>MID(FirmaID,10,1)</f>
        <v/>
      </c>
      <c r="BF2" s="350" t="str">
        <f>MID(FirmaID,11,1)</f>
        <v/>
      </c>
      <c r="BG2" s="350" t="str">
        <f>MID(FirmaID,12,1)</f>
        <v/>
      </c>
      <c r="BH2" s="350" t="str">
        <f>MID(FirmaID,13,1)</f>
        <v/>
      </c>
    </row>
    <row r="3" spans="1:60" ht="14.25" customHeight="1">
      <c r="A3" s="1912" t="s">
        <v>180</v>
      </c>
      <c r="B3" s="1912"/>
      <c r="C3" s="1912"/>
      <c r="D3" s="1912"/>
      <c r="E3" s="1912"/>
      <c r="F3" s="1912"/>
      <c r="G3" s="1912"/>
      <c r="H3" s="1912"/>
      <c r="I3" s="1912"/>
      <c r="J3" s="1912"/>
      <c r="K3" s="1912"/>
      <c r="L3" s="1912"/>
      <c r="M3" s="1912"/>
      <c r="N3" s="1912"/>
      <c r="O3" s="1912"/>
      <c r="P3" s="1912"/>
      <c r="Q3" s="1912"/>
      <c r="R3" s="1912"/>
      <c r="S3" s="1912"/>
      <c r="T3" s="1912"/>
      <c r="U3" s="1912"/>
      <c r="V3" s="1912"/>
      <c r="W3" s="1912"/>
      <c r="X3" s="1912"/>
      <c r="Y3" s="1912"/>
      <c r="Z3" s="1912"/>
      <c r="AA3" s="1912"/>
      <c r="BH3" s="312" t="s">
        <v>496</v>
      </c>
    </row>
    <row r="4" spans="1:60">
      <c r="A4" s="1929" t="str">
        <f>FirmaSjediste &amp; ", " &amp; FirmaAdresa</f>
        <v xml:space="preserve">, </v>
      </c>
      <c r="B4" s="1929"/>
      <c r="C4" s="1929"/>
      <c r="D4" s="1929"/>
      <c r="E4" s="1929"/>
      <c r="F4" s="1929"/>
      <c r="G4" s="1929"/>
      <c r="H4" s="1929"/>
      <c r="I4" s="1929"/>
      <c r="J4" s="1929"/>
      <c r="K4" s="1929"/>
      <c r="L4" s="1929"/>
      <c r="M4" s="1929"/>
      <c r="N4" s="1929"/>
      <c r="O4" s="1929"/>
      <c r="P4" s="1929"/>
      <c r="Q4" s="1929"/>
      <c r="R4" s="1929"/>
      <c r="S4" s="1929"/>
      <c r="T4" s="1929"/>
      <c r="U4" s="1929"/>
      <c r="V4" s="1929"/>
      <c r="W4" s="1929"/>
      <c r="X4" s="1929"/>
      <c r="Y4" s="1929"/>
      <c r="Z4" s="1929"/>
      <c r="AA4" s="1929"/>
      <c r="AW4" s="318" t="str">
        <f>MID(FirmaPDV,1,1)</f>
        <v/>
      </c>
      <c r="AX4" s="318" t="str">
        <f>MID(FirmaPDV,2,1)</f>
        <v/>
      </c>
      <c r="AY4" s="318" t="str">
        <f>MID(FirmaPDV,3,1)</f>
        <v/>
      </c>
      <c r="AZ4" s="318" t="str">
        <f>MID(FirmaPDV,4,1)</f>
        <v/>
      </c>
      <c r="BA4" s="318" t="str">
        <f>MID(FirmaPDV,5,1)</f>
        <v/>
      </c>
      <c r="BB4" s="318" t="str">
        <f>MID(FirmaPDV,6,1)</f>
        <v/>
      </c>
      <c r="BC4" s="318" t="str">
        <f>MID(FirmaPDV,7,1)</f>
        <v/>
      </c>
      <c r="BD4" s="318" t="str">
        <f>MID(FirmaPDV,8,1)</f>
        <v/>
      </c>
      <c r="BE4" s="318" t="str">
        <f>MID(FirmaPDV,9,1)</f>
        <v/>
      </c>
      <c r="BF4" s="318" t="str">
        <f>MID(FirmaPDV,10,1)</f>
        <v/>
      </c>
      <c r="BG4" s="318" t="str">
        <f>MID(FirmaPDV,11,1)</f>
        <v/>
      </c>
      <c r="BH4" s="318" t="str">
        <f>MID(FirmaPDV,12,1)</f>
        <v/>
      </c>
    </row>
    <row r="5" spans="1:60" ht="15" customHeight="1">
      <c r="A5" s="1912" t="s">
        <v>1496</v>
      </c>
      <c r="B5" s="1912"/>
      <c r="C5" s="1912"/>
      <c r="D5" s="1912"/>
      <c r="E5" s="1912"/>
      <c r="F5" s="1912"/>
      <c r="G5" s="1912"/>
      <c r="H5" s="1912"/>
      <c r="I5" s="1912"/>
      <c r="J5" s="1912"/>
      <c r="K5" s="1912"/>
      <c r="L5" s="1912"/>
      <c r="M5" s="1912"/>
      <c r="N5" s="1912"/>
      <c r="O5" s="1912"/>
      <c r="P5" s="1912"/>
      <c r="Q5" s="1912"/>
      <c r="R5" s="1912"/>
      <c r="S5" s="1912"/>
      <c r="T5" s="1912"/>
      <c r="U5" s="1912"/>
      <c r="V5" s="1912"/>
      <c r="W5" s="1912"/>
      <c r="X5" s="1912"/>
      <c r="Y5" s="1912"/>
      <c r="Z5" s="1912"/>
      <c r="AA5" s="1912"/>
      <c r="AW5" s="309"/>
      <c r="AX5" s="309"/>
      <c r="AY5" s="309"/>
      <c r="AZ5" s="309"/>
      <c r="BA5" s="309"/>
      <c r="BB5" s="309"/>
      <c r="BC5" s="309"/>
      <c r="BD5" s="309"/>
      <c r="BE5" s="309"/>
      <c r="BF5" s="309"/>
      <c r="BG5" s="309"/>
      <c r="BH5" s="311" t="s">
        <v>2267</v>
      </c>
    </row>
    <row r="6" spans="1:60">
      <c r="A6" s="1930">
        <f>FirmaDjeNaziv</f>
        <v>0</v>
      </c>
      <c r="B6" s="1930"/>
      <c r="C6" s="1930"/>
      <c r="D6" s="1930"/>
      <c r="E6" s="1930"/>
      <c r="F6" s="1930"/>
      <c r="G6" s="1930"/>
      <c r="H6" s="1930"/>
      <c r="I6" s="1930"/>
      <c r="J6" s="1930"/>
      <c r="K6" s="1930"/>
      <c r="L6" s="1930"/>
      <c r="M6" s="1930"/>
      <c r="N6" s="1930"/>
      <c r="O6" s="1930"/>
      <c r="P6" s="1930"/>
      <c r="Q6" s="1930"/>
      <c r="R6" s="1930"/>
      <c r="S6" s="1930"/>
      <c r="T6" s="1930"/>
      <c r="U6" s="1930"/>
      <c r="V6" s="1930"/>
      <c r="W6" s="1930"/>
      <c r="X6" s="1930"/>
      <c r="Y6" s="1930"/>
      <c r="Z6" s="1930"/>
      <c r="AA6" s="1930"/>
      <c r="BD6" s="350" t="str">
        <f>MID(FirmaDjeSifra,1,1)</f>
        <v/>
      </c>
      <c r="BE6" s="350" t="str">
        <f>MID(FirmaDjeSifra,2,1)</f>
        <v/>
      </c>
      <c r="BF6" s="350" t="str">
        <f>MID(FirmaDjeSifra,3,1)</f>
        <v/>
      </c>
      <c r="BG6" s="350" t="str">
        <f>MID(FirmaDjeSifra,4,1)</f>
        <v/>
      </c>
      <c r="BH6" s="350" t="str">
        <f>MID(FirmaDjeSifra,5,1)</f>
        <v/>
      </c>
    </row>
    <row r="7" spans="1:60">
      <c r="A7" s="1912" t="s">
        <v>1497</v>
      </c>
      <c r="B7" s="1912"/>
      <c r="C7" s="1912"/>
      <c r="D7" s="1912"/>
      <c r="E7" s="1912"/>
      <c r="F7" s="1912"/>
      <c r="G7" s="1912"/>
      <c r="H7" s="1912"/>
      <c r="I7" s="1912"/>
      <c r="J7" s="1912"/>
      <c r="K7" s="1912"/>
      <c r="L7" s="1912"/>
      <c r="M7" s="1912"/>
      <c r="N7" s="1912"/>
      <c r="O7" s="1912"/>
      <c r="P7" s="1912"/>
      <c r="Q7" s="1912"/>
      <c r="R7" s="1912"/>
      <c r="S7" s="1912"/>
      <c r="T7" s="1912"/>
      <c r="U7" s="1912"/>
      <c r="V7" s="1912"/>
      <c r="W7" s="1912"/>
      <c r="X7" s="1912"/>
      <c r="Y7" s="1912"/>
      <c r="Z7" s="1912"/>
      <c r="AA7" s="1912"/>
      <c r="BH7" s="312" t="s">
        <v>697</v>
      </c>
    </row>
    <row r="8" spans="1:60">
      <c r="A8" s="2"/>
      <c r="B8" s="2"/>
      <c r="C8" s="2"/>
      <c r="D8" s="2"/>
      <c r="E8" s="2"/>
      <c r="F8" s="2"/>
      <c r="AI8" s="2"/>
      <c r="AJ8" s="2"/>
      <c r="AK8" s="2"/>
      <c r="AL8" s="2"/>
      <c r="AM8" s="2"/>
      <c r="AN8" s="2"/>
    </row>
    <row r="9" spans="1:60">
      <c r="A9" s="2"/>
      <c r="B9" s="2"/>
      <c r="C9" s="2"/>
      <c r="D9" s="2"/>
      <c r="E9" s="2"/>
      <c r="F9" s="2"/>
      <c r="BF9" s="350" t="str">
        <f>MID(FirmaOpcina,1,1)</f>
        <v/>
      </c>
      <c r="BG9" s="350" t="str">
        <f>MID(FirmaOpcina,2,1)</f>
        <v/>
      </c>
      <c r="BH9" s="350" t="str">
        <f>MID(FirmaOpcina,3,1)</f>
        <v/>
      </c>
    </row>
    <row r="10" spans="1:60">
      <c r="A10" s="368" t="s">
        <v>497</v>
      </c>
      <c r="BH10" s="312" t="s">
        <v>158</v>
      </c>
    </row>
    <row r="12" spans="1:60" s="5" customFormat="1">
      <c r="A12" s="1911">
        <f>FirmaBanka1</f>
        <v>0</v>
      </c>
      <c r="B12" s="1911"/>
      <c r="C12" s="1911"/>
      <c r="D12" s="1911"/>
      <c r="E12" s="1911"/>
      <c r="F12" s="1911"/>
      <c r="G12" s="1911"/>
      <c r="H12" s="1911"/>
      <c r="I12" s="1911"/>
      <c r="J12" s="1911"/>
      <c r="K12" s="1911"/>
      <c r="L12" s="1911"/>
      <c r="M12" s="1911"/>
      <c r="N12" s="1911"/>
      <c r="O12" s="1911"/>
      <c r="P12" s="1911"/>
      <c r="S12" s="1708">
        <f>FirmaBanka2</f>
        <v>0</v>
      </c>
      <c r="T12" s="1708"/>
      <c r="U12" s="1708"/>
      <c r="V12" s="1708"/>
      <c r="W12" s="1708"/>
      <c r="X12" s="1708"/>
      <c r="Y12" s="1708"/>
      <c r="Z12" s="1708"/>
      <c r="AA12" s="1708"/>
      <c r="AB12" s="1708"/>
      <c r="AC12" s="1708"/>
      <c r="AD12" s="1708"/>
      <c r="AE12" s="1708"/>
      <c r="AF12" s="1708"/>
      <c r="AG12" s="1708"/>
      <c r="AH12" s="1708"/>
      <c r="AI12" s="310"/>
      <c r="AJ12" s="310"/>
      <c r="AK12" s="310"/>
      <c r="AL12" s="310"/>
      <c r="AM12" s="310"/>
      <c r="AN12" s="310"/>
      <c r="AO12" s="310"/>
      <c r="AP12" s="1911">
        <f>FirmaBanka3</f>
        <v>0</v>
      </c>
      <c r="AQ12" s="1911"/>
      <c r="AR12" s="1911"/>
      <c r="AS12" s="1911"/>
      <c r="AT12" s="1911"/>
      <c r="AU12" s="1911"/>
      <c r="AV12" s="1911"/>
      <c r="AW12" s="1911"/>
      <c r="AX12" s="1911"/>
      <c r="AY12" s="1911"/>
      <c r="AZ12" s="1911"/>
      <c r="BA12" s="1911"/>
      <c r="BB12" s="1911"/>
      <c r="BC12" s="1911"/>
      <c r="BD12" s="1911"/>
      <c r="BE12" s="1911"/>
    </row>
    <row r="13" spans="1:60" ht="21" customHeight="1">
      <c r="A13" s="1912" t="s">
        <v>160</v>
      </c>
      <c r="B13" s="1912"/>
      <c r="C13" s="1912"/>
      <c r="D13" s="1912"/>
      <c r="E13" s="1912"/>
      <c r="F13" s="1912"/>
      <c r="G13" s="1912"/>
      <c r="H13" s="1912"/>
      <c r="I13" s="1912"/>
      <c r="J13" s="1912"/>
      <c r="K13" s="1912"/>
      <c r="L13" s="1912"/>
      <c r="M13" s="1912"/>
      <c r="N13" s="1912"/>
      <c r="O13" s="1912"/>
      <c r="P13" s="1912"/>
      <c r="S13" s="1912" t="s">
        <v>160</v>
      </c>
      <c r="T13" s="1912"/>
      <c r="U13" s="1912"/>
      <c r="V13" s="1912"/>
      <c r="W13" s="1912"/>
      <c r="X13" s="1912"/>
      <c r="Y13" s="1912"/>
      <c r="Z13" s="1912"/>
      <c r="AA13" s="1912"/>
      <c r="AB13" s="1912"/>
      <c r="AC13" s="1912"/>
      <c r="AD13" s="1912"/>
      <c r="AE13" s="1912"/>
      <c r="AF13" s="1912"/>
      <c r="AG13" s="1912"/>
      <c r="AH13" s="1912"/>
      <c r="AP13" s="1912" t="s">
        <v>160</v>
      </c>
      <c r="AQ13" s="1912"/>
      <c r="AR13" s="1912"/>
      <c r="AS13" s="1912"/>
      <c r="AT13" s="1912"/>
      <c r="AU13" s="1912"/>
      <c r="AV13" s="1912"/>
      <c r="AW13" s="1912"/>
      <c r="AX13" s="1912"/>
      <c r="AY13" s="1912"/>
      <c r="AZ13" s="1912"/>
      <c r="BA13" s="1912"/>
      <c r="BB13" s="1912"/>
      <c r="BC13" s="1912"/>
      <c r="BD13" s="1912"/>
      <c r="BE13" s="1912"/>
    </row>
    <row r="14" spans="1:60" s="5" customFormat="1" ht="15.75" customHeight="1">
      <c r="A14" s="352" t="str">
        <f>MID(FirmaRacun1,1,1)</f>
        <v/>
      </c>
      <c r="B14" s="352" t="str">
        <f>MID(FirmaRacun1,2,1)</f>
        <v/>
      </c>
      <c r="C14" s="352" t="str">
        <f>MID(FirmaRacun1,3,1)</f>
        <v/>
      </c>
      <c r="D14" s="352" t="str">
        <f>MID(FirmaRacun1,4,1)</f>
        <v/>
      </c>
      <c r="E14" s="352" t="str">
        <f>MID(FirmaRacun1,5,1)</f>
        <v/>
      </c>
      <c r="F14" s="352" t="str">
        <f>MID(FirmaRacun1,6,1)</f>
        <v/>
      </c>
      <c r="G14" s="352" t="str">
        <f>MID(FirmaRacun1,7,1)</f>
        <v/>
      </c>
      <c r="H14" s="352" t="str">
        <f>MID(FirmaRacun1,8,1)</f>
        <v/>
      </c>
      <c r="I14" s="352" t="str">
        <f>MID(FirmaRacun1,9,1)</f>
        <v/>
      </c>
      <c r="J14" s="352" t="str">
        <f>MID(FirmaRacun1,10,1)</f>
        <v/>
      </c>
      <c r="K14" s="352" t="str">
        <f>MID(FirmaRacun1,11,1)</f>
        <v/>
      </c>
      <c r="L14" s="352" t="str">
        <f>MID(FirmaRacun1,12,1)</f>
        <v/>
      </c>
      <c r="M14" s="352" t="str">
        <f>MID(FirmaRacun1,13,1)</f>
        <v/>
      </c>
      <c r="N14" s="352" t="str">
        <f>MID(FirmaRacun1,14,1)</f>
        <v/>
      </c>
      <c r="O14" s="352" t="str">
        <f>MID(FirmaRacun1,15,1)</f>
        <v/>
      </c>
      <c r="P14" s="352" t="str">
        <f>MID(FirmaRacun1,16,1)</f>
        <v/>
      </c>
      <c r="S14" s="352" t="str">
        <f>MID(FirmaRacun2,1,1)</f>
        <v/>
      </c>
      <c r="T14" s="352" t="str">
        <f>MID(FirmaRacun2,2,1)</f>
        <v/>
      </c>
      <c r="U14" s="352" t="str">
        <f>MID(FirmaRacun2,3,1)</f>
        <v/>
      </c>
      <c r="V14" s="352" t="str">
        <f>MID(FirmaRacun2,4,1)</f>
        <v/>
      </c>
      <c r="W14" s="352" t="str">
        <f>MID(FirmaRacun2,5,1)</f>
        <v/>
      </c>
      <c r="X14" s="352" t="str">
        <f>MID(FirmaRacun2,6,1)</f>
        <v/>
      </c>
      <c r="Y14" s="352" t="str">
        <f>MID(FirmaRacun2,7,1)</f>
        <v/>
      </c>
      <c r="Z14" s="352" t="str">
        <f>MID(FirmaRacun2,8,1)</f>
        <v/>
      </c>
      <c r="AA14" s="352" t="str">
        <f>MID(FirmaRacun2,9,1)</f>
        <v/>
      </c>
      <c r="AB14" s="352" t="str">
        <f>MID(FirmaRacun2,10,1)</f>
        <v/>
      </c>
      <c r="AC14" s="352" t="str">
        <f>MID(FirmaRacun2,11,1)</f>
        <v/>
      </c>
      <c r="AD14" s="352" t="str">
        <f>MID(FirmaRacun2,12,1)</f>
        <v/>
      </c>
      <c r="AE14" s="352" t="str">
        <f>MID(FirmaRacun2,13,1)</f>
        <v/>
      </c>
      <c r="AF14" s="352" t="str">
        <f>MID(FirmaRacun2,14,1)</f>
        <v/>
      </c>
      <c r="AG14" s="352" t="str">
        <f>MID(FirmaRacun2,15,1)</f>
        <v/>
      </c>
      <c r="AH14" s="352" t="str">
        <f>MID(FirmaRacun2,16,1)</f>
        <v/>
      </c>
      <c r="AI14" s="310"/>
      <c r="AJ14" s="310"/>
      <c r="AK14" s="310"/>
      <c r="AL14" s="310"/>
      <c r="AM14" s="310"/>
      <c r="AN14" s="310"/>
      <c r="AO14" s="310"/>
      <c r="AP14" s="351" t="str">
        <f>MID(FirmaRacun3,1,1)</f>
        <v/>
      </c>
      <c r="AQ14" s="351" t="str">
        <f>MID(FirmaRacun3,2,1)</f>
        <v/>
      </c>
      <c r="AR14" s="352" t="str">
        <f>MID(FirmaRacun3,3,1)</f>
        <v/>
      </c>
      <c r="AS14" s="352" t="str">
        <f>MID(FirmaRacun3,4,1)</f>
        <v/>
      </c>
      <c r="AT14" s="352" t="str">
        <f>MID(FirmaRacun3,5,1)</f>
        <v/>
      </c>
      <c r="AU14" s="352" t="str">
        <f>MID(FirmaRacun3,6,1)</f>
        <v/>
      </c>
      <c r="AV14" s="352" t="str">
        <f>MID(FirmaRacun3,7,1)</f>
        <v/>
      </c>
      <c r="AW14" s="352" t="str">
        <f>MID(FirmaRacun3,8,1)</f>
        <v/>
      </c>
      <c r="AX14" s="352" t="str">
        <f>MID(FirmaRacun3,9,1)</f>
        <v/>
      </c>
      <c r="AY14" s="352" t="str">
        <f>MID(FirmaRacun3,10,1)</f>
        <v/>
      </c>
      <c r="AZ14" s="352" t="str">
        <f>MID(FirmaRacun3,11,1)</f>
        <v/>
      </c>
      <c r="BA14" s="352" t="str">
        <f>MID(FirmaRacun3,12,1)</f>
        <v/>
      </c>
      <c r="BB14" s="352" t="str">
        <f>MID(FirmaRacun3,13,1)</f>
        <v/>
      </c>
      <c r="BC14" s="352" t="str">
        <f>MID(FirmaRacun3,14,1)</f>
        <v/>
      </c>
      <c r="BD14" s="352" t="str">
        <f>MID(FirmaRacun3,15,1)</f>
        <v/>
      </c>
      <c r="BE14" s="352" t="str">
        <f>MID(FirmaRacun3,16,1)</f>
        <v/>
      </c>
    </row>
    <row r="15" spans="1:6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919"/>
      <c r="S15" s="1919"/>
      <c r="T15" s="1919"/>
      <c r="U15" s="7"/>
    </row>
    <row r="16" spans="1:60">
      <c r="A16" s="1919"/>
      <c r="B16" s="1919"/>
      <c r="C16" s="1919"/>
      <c r="D16" s="1919"/>
      <c r="E16" s="1919"/>
      <c r="F16" s="1919"/>
      <c r="G16" s="1919"/>
      <c r="H16" s="1919"/>
      <c r="I16" s="1919"/>
      <c r="J16" s="1919"/>
      <c r="K16" s="1919"/>
      <c r="L16" s="1919"/>
      <c r="M16" s="1919"/>
      <c r="N16" s="1919"/>
      <c r="O16" s="1919"/>
      <c r="P16" s="7"/>
      <c r="Q16" s="7"/>
      <c r="R16" s="1919"/>
      <c r="S16" s="1919"/>
      <c r="T16" s="1919"/>
      <c r="U16" s="7"/>
      <c r="AP16" s="1913" t="s">
        <v>1525</v>
      </c>
      <c r="AQ16" s="1914"/>
      <c r="AR16" s="1914"/>
      <c r="AS16" s="1914"/>
      <c r="AT16" s="1914"/>
      <c r="AU16" s="1914"/>
      <c r="AV16" s="1914"/>
      <c r="AW16" s="1914"/>
      <c r="AX16" s="1914"/>
      <c r="AY16" s="1914"/>
      <c r="AZ16" s="1914"/>
      <c r="BA16" s="1914"/>
      <c r="BB16" s="1914"/>
      <c r="BC16" s="1914"/>
      <c r="BD16" s="1914"/>
      <c r="BE16" s="1914"/>
      <c r="BF16" s="1914"/>
      <c r="BG16" s="1914"/>
      <c r="BH16" s="1915"/>
    </row>
    <row r="17" spans="1:61" ht="25.5" customHeight="1">
      <c r="A17" s="1919"/>
      <c r="B17" s="1919"/>
      <c r="C17" s="1919"/>
      <c r="D17" s="1919"/>
      <c r="E17" s="1919"/>
      <c r="F17" s="1919"/>
      <c r="G17" s="1919"/>
      <c r="H17" s="1919"/>
      <c r="I17" s="1919"/>
      <c r="J17" s="1919"/>
      <c r="K17" s="1919"/>
      <c r="L17" s="1919"/>
      <c r="M17" s="1919"/>
      <c r="N17" s="1919"/>
      <c r="O17" s="1919"/>
      <c r="P17" s="7"/>
      <c r="Q17" s="7"/>
      <c r="R17" s="1919"/>
      <c r="S17" s="1919"/>
      <c r="T17" s="1919"/>
      <c r="U17" s="7"/>
      <c r="AP17" s="1916"/>
      <c r="AQ17" s="1917"/>
      <c r="AR17" s="1917"/>
      <c r="AS17" s="1917"/>
      <c r="AT17" s="1917"/>
      <c r="AU17" s="1917"/>
      <c r="AV17" s="1917"/>
      <c r="AW17" s="1917"/>
      <c r="AX17" s="1917"/>
      <c r="AY17" s="1917"/>
      <c r="AZ17" s="1917"/>
      <c r="BA17" s="1917"/>
      <c r="BB17" s="1917"/>
      <c r="BC17" s="1917"/>
      <c r="BD17" s="1917"/>
      <c r="BE17" s="1917"/>
      <c r="BF17" s="1917"/>
      <c r="BG17" s="1917"/>
      <c r="BH17" s="1918"/>
    </row>
    <row r="18" spans="1:61" ht="18.75" customHeight="1">
      <c r="A18" s="2"/>
      <c r="B18" s="2"/>
      <c r="C18" s="2"/>
      <c r="D18" s="2"/>
      <c r="E18" s="2"/>
      <c r="F18" s="2"/>
    </row>
    <row r="19" spans="1:61" ht="19.5" customHeight="1">
      <c r="A19" s="1909" t="s">
        <v>420</v>
      </c>
      <c r="B19" s="1909"/>
      <c r="C19" s="1909"/>
      <c r="D19" s="1909"/>
      <c r="E19" s="1909"/>
      <c r="F19" s="1909"/>
      <c r="G19" s="1909"/>
      <c r="H19" s="1909"/>
      <c r="I19" s="1909"/>
      <c r="J19" s="1909"/>
      <c r="K19" s="1909"/>
      <c r="L19" s="1909"/>
      <c r="M19" s="1909"/>
      <c r="N19" s="1909"/>
      <c r="O19" s="1909"/>
      <c r="P19" s="1909"/>
      <c r="Q19" s="1909"/>
      <c r="R19" s="1909"/>
      <c r="S19" s="1909"/>
      <c r="T19" s="1909"/>
      <c r="U19" s="1909"/>
      <c r="V19" s="1909"/>
      <c r="W19" s="1909"/>
      <c r="X19" s="1909"/>
      <c r="Y19" s="1909"/>
      <c r="Z19" s="1909"/>
      <c r="AA19" s="1909"/>
      <c r="AB19" s="1909"/>
      <c r="AC19" s="1909"/>
      <c r="AD19" s="1909"/>
      <c r="AE19" s="1909"/>
      <c r="AF19" s="1909"/>
      <c r="AG19" s="1909"/>
      <c r="AH19" s="1909"/>
      <c r="AI19" s="1909"/>
      <c r="AJ19" s="1909"/>
      <c r="AK19" s="1909"/>
      <c r="AL19" s="1909"/>
      <c r="AM19" s="1909"/>
      <c r="AN19" s="1909"/>
      <c r="AO19" s="1909"/>
      <c r="AP19" s="1909"/>
      <c r="AQ19" s="1909"/>
      <c r="AR19" s="1909"/>
      <c r="AS19" s="1909"/>
      <c r="AT19" s="1909"/>
      <c r="AU19" s="1909"/>
      <c r="AV19" s="1909"/>
      <c r="AW19" s="1909"/>
      <c r="AX19" s="1909"/>
      <c r="AY19" s="1909"/>
      <c r="AZ19" s="1909"/>
      <c r="BA19" s="1909"/>
      <c r="BB19" s="1909"/>
      <c r="BC19" s="1909"/>
      <c r="BD19" s="1909"/>
      <c r="BE19" s="1909"/>
      <c r="BF19" s="1909"/>
      <c r="BG19" s="1909"/>
      <c r="BH19" s="1909"/>
    </row>
    <row r="20" spans="1:61" ht="19.5" customHeight="1">
      <c r="A20" s="853"/>
      <c r="B20" s="853"/>
      <c r="C20" s="853"/>
      <c r="D20" s="853"/>
      <c r="E20" s="853"/>
      <c r="F20" s="853"/>
      <c r="G20" s="853"/>
      <c r="H20" s="853"/>
      <c r="I20" s="853"/>
      <c r="J20" s="853"/>
      <c r="K20" s="853"/>
      <c r="L20" s="853"/>
      <c r="M20" s="853"/>
      <c r="N20" s="853"/>
      <c r="O20" s="853"/>
      <c r="P20" s="853"/>
      <c r="Q20" s="853"/>
      <c r="R20" s="853"/>
      <c r="S20" s="853"/>
      <c r="T20" s="853"/>
      <c r="U20" s="853"/>
      <c r="V20" s="853"/>
      <c r="W20" s="853"/>
      <c r="X20" s="853"/>
      <c r="Y20" s="853"/>
      <c r="Z20" s="853"/>
      <c r="AA20" s="853"/>
      <c r="AC20" s="853"/>
      <c r="AD20" s="853" t="s">
        <v>421</v>
      </c>
      <c r="AE20" s="853"/>
      <c r="AF20" s="853"/>
      <c r="AG20" s="853"/>
      <c r="AH20" s="853"/>
      <c r="AI20" s="853"/>
      <c r="AJ20" s="853"/>
      <c r="AK20" s="853"/>
      <c r="AL20" s="853"/>
      <c r="AM20" s="853"/>
      <c r="AN20" s="853"/>
      <c r="AO20" s="853"/>
      <c r="AP20" s="853"/>
      <c r="AQ20" s="853"/>
      <c r="AR20" s="853"/>
      <c r="AS20" s="853"/>
      <c r="AT20" s="853"/>
      <c r="AU20" s="853"/>
      <c r="AV20" s="853"/>
      <c r="AW20" s="853"/>
      <c r="AX20" s="853"/>
      <c r="AY20" s="853"/>
      <c r="AZ20" s="853"/>
      <c r="BA20" s="853"/>
      <c r="BB20" s="853"/>
      <c r="BC20" s="853"/>
      <c r="BD20" s="853"/>
      <c r="BE20" s="853"/>
      <c r="BF20" s="853"/>
      <c r="BG20" s="853"/>
      <c r="BH20" s="853"/>
    </row>
    <row r="21" spans="1:61" ht="18" customHeight="1">
      <c r="A21" s="1910" t="s">
        <v>422</v>
      </c>
      <c r="B21" s="1910"/>
      <c r="C21" s="1910"/>
      <c r="D21" s="1910"/>
      <c r="E21" s="1910"/>
      <c r="F21" s="1910"/>
      <c r="G21" s="1910"/>
      <c r="H21" s="1910"/>
      <c r="I21" s="1910"/>
      <c r="J21" s="1910"/>
      <c r="K21" s="1910"/>
      <c r="L21" s="1910"/>
      <c r="M21" s="1910"/>
      <c r="N21" s="1910"/>
      <c r="O21" s="1910"/>
      <c r="P21" s="1910"/>
      <c r="Q21" s="1910"/>
      <c r="R21" s="1910"/>
      <c r="S21" s="1910"/>
      <c r="T21" s="1910"/>
      <c r="U21" s="1910"/>
      <c r="V21" s="1910"/>
      <c r="W21" s="1910"/>
      <c r="X21" s="1910"/>
      <c r="Y21" s="1910"/>
      <c r="Z21" s="1910"/>
      <c r="AA21" s="1910"/>
      <c r="AB21" s="1910"/>
      <c r="AC21" s="1910"/>
      <c r="AD21" s="1910"/>
      <c r="AE21" s="1910"/>
      <c r="AF21" s="1910"/>
      <c r="AG21" s="1910"/>
      <c r="AH21" s="1910"/>
      <c r="AI21" s="1910"/>
      <c r="AJ21" s="1910"/>
      <c r="AK21" s="1910"/>
      <c r="AL21" s="1910"/>
      <c r="AM21" s="1910"/>
      <c r="AN21" s="1910"/>
      <c r="AO21" s="1910"/>
      <c r="AP21" s="1910"/>
      <c r="AQ21" s="1910"/>
      <c r="AR21" s="1910"/>
      <c r="AS21" s="1910"/>
      <c r="AT21" s="1910"/>
      <c r="AU21" s="1910"/>
      <c r="AV21" s="1910"/>
      <c r="AW21" s="1910"/>
      <c r="AX21" s="1910"/>
      <c r="AY21" s="1910"/>
      <c r="AZ21" s="1910"/>
      <c r="BA21" s="1910"/>
      <c r="BB21" s="1910"/>
      <c r="BC21" s="1910"/>
      <c r="BD21" s="1910"/>
      <c r="BE21" s="1910"/>
      <c r="BF21" s="1910"/>
      <c r="BG21" s="1910"/>
      <c r="BH21" s="1910"/>
    </row>
    <row r="22" spans="1:61">
      <c r="B22" s="2"/>
      <c r="C22" s="2"/>
      <c r="D22" s="2"/>
      <c r="E22" s="2"/>
      <c r="F22" s="2"/>
      <c r="Q22" s="31"/>
      <c r="R22" s="891"/>
      <c r="S22" s="434"/>
      <c r="T22" s="434"/>
      <c r="W22" s="483" t="s">
        <v>545</v>
      </c>
      <c r="X22" s="1902" t="str">
        <f>ObracunOdDatuma</f>
        <v>1.1.</v>
      </c>
      <c r="Y22" s="1902"/>
      <c r="Z22" s="1902"/>
      <c r="AA22" s="1902"/>
      <c r="AB22" s="1902"/>
      <c r="AC22" s="1892" t="s">
        <v>546</v>
      </c>
      <c r="AD22" s="1892"/>
      <c r="AE22" s="1902" t="str">
        <f>ObracunDoDatuma</f>
        <v>31.12.</v>
      </c>
      <c r="AF22" s="1902"/>
      <c r="AG22" s="1902"/>
      <c r="AH22" s="1902"/>
      <c r="AI22" s="1902"/>
      <c r="AJ22" s="1920" t="str">
        <f>ObracunGodina</f>
        <v>2011</v>
      </c>
      <c r="AK22" s="1920"/>
      <c r="AL22" s="1920"/>
      <c r="AM22" s="1920"/>
      <c r="AN22" s="768" t="s">
        <v>1454</v>
      </c>
      <c r="AO22" s="5"/>
      <c r="BE22" s="5" t="s">
        <v>1256</v>
      </c>
    </row>
    <row r="23" spans="1:61">
      <c r="B23" s="2"/>
      <c r="C23" s="2"/>
      <c r="D23" s="2"/>
      <c r="E23" s="2"/>
      <c r="F23" s="2"/>
      <c r="Q23" s="6"/>
      <c r="R23" s="313"/>
      <c r="S23" s="314"/>
      <c r="T23" s="314"/>
      <c r="W23" s="6"/>
      <c r="X23" s="40"/>
      <c r="Y23" s="40"/>
      <c r="Z23" s="40"/>
      <c r="AA23" s="40"/>
      <c r="AB23" s="40"/>
      <c r="AC23" s="7"/>
      <c r="AD23" s="31"/>
      <c r="AE23" s="9"/>
      <c r="AF23" s="9"/>
      <c r="AG23" s="9"/>
      <c r="AH23" s="9"/>
      <c r="AI23" s="9"/>
      <c r="AJ23" s="310"/>
      <c r="AK23" s="310"/>
      <c r="AL23" s="310"/>
      <c r="AM23" s="310"/>
      <c r="AN23" s="310"/>
      <c r="AO23" s="310"/>
      <c r="BE23" s="5"/>
    </row>
    <row r="24" spans="1:61" ht="14.25" customHeight="1">
      <c r="A24" s="1901" t="s">
        <v>1042</v>
      </c>
      <c r="B24" s="1901"/>
      <c r="C24" s="1901"/>
      <c r="D24" s="1901" t="s">
        <v>1037</v>
      </c>
      <c r="E24" s="1901"/>
      <c r="F24" s="1901"/>
      <c r="G24" s="1901"/>
      <c r="H24" s="1901"/>
      <c r="I24" s="1901"/>
      <c r="J24" s="1901"/>
      <c r="K24" s="1901"/>
      <c r="L24" s="1901"/>
      <c r="M24" s="1901"/>
      <c r="N24" s="1901"/>
      <c r="O24" s="1901"/>
      <c r="P24" s="1901"/>
      <c r="Q24" s="1901"/>
      <c r="R24" s="1901"/>
      <c r="S24" s="1901"/>
      <c r="T24" s="1901"/>
      <c r="U24" s="1901"/>
      <c r="V24" s="1901"/>
      <c r="W24" s="1901"/>
      <c r="X24" s="1901"/>
      <c r="Y24" s="1901"/>
      <c r="Z24" s="1901"/>
      <c r="AA24" s="1901"/>
      <c r="AB24" s="1901"/>
      <c r="AC24" s="1901"/>
      <c r="AD24" s="1901"/>
      <c r="AE24" s="1901"/>
      <c r="AF24" s="1901"/>
      <c r="AG24" s="1901"/>
      <c r="AH24" s="1901"/>
      <c r="AI24" s="1903" t="s">
        <v>495</v>
      </c>
      <c r="AJ24" s="1904"/>
      <c r="AK24" s="1905"/>
      <c r="AL24" s="1903" t="s">
        <v>2509</v>
      </c>
      <c r="AM24" s="1904"/>
      <c r="AN24" s="1905"/>
      <c r="AO24" s="1923" t="s">
        <v>2482</v>
      </c>
      <c r="AP24" s="1924"/>
      <c r="AQ24" s="1925"/>
      <c r="AR24" s="1922" t="s">
        <v>1257</v>
      </c>
      <c r="AS24" s="1922"/>
      <c r="AT24" s="1922"/>
      <c r="AU24" s="1922"/>
      <c r="AV24" s="1922"/>
      <c r="AW24" s="1922"/>
      <c r="AX24" s="1922"/>
      <c r="AY24" s="1922"/>
      <c r="AZ24" s="1922"/>
      <c r="BA24" s="1922"/>
      <c r="BB24" s="1922"/>
      <c r="BC24" s="1922"/>
      <c r="BD24" s="1922"/>
      <c r="BE24" s="1922"/>
      <c r="BF24" s="1922"/>
      <c r="BG24" s="1922"/>
      <c r="BH24" s="1922"/>
      <c r="BI24" s="1922"/>
    </row>
    <row r="25" spans="1:61" s="4" customFormat="1" ht="29.25" customHeight="1">
      <c r="A25" s="1901"/>
      <c r="B25" s="1901"/>
      <c r="C25" s="1901"/>
      <c r="D25" s="1901"/>
      <c r="E25" s="1901"/>
      <c r="F25" s="1901"/>
      <c r="G25" s="1901"/>
      <c r="H25" s="1901"/>
      <c r="I25" s="1901"/>
      <c r="J25" s="1901"/>
      <c r="K25" s="1901"/>
      <c r="L25" s="1901"/>
      <c r="M25" s="1901"/>
      <c r="N25" s="1901"/>
      <c r="O25" s="1901"/>
      <c r="P25" s="1901"/>
      <c r="Q25" s="1901"/>
      <c r="R25" s="1901"/>
      <c r="S25" s="1901"/>
      <c r="T25" s="1901"/>
      <c r="U25" s="1901"/>
      <c r="V25" s="1901"/>
      <c r="W25" s="1901"/>
      <c r="X25" s="1901"/>
      <c r="Y25" s="1901"/>
      <c r="Z25" s="1901"/>
      <c r="AA25" s="1901"/>
      <c r="AB25" s="1901"/>
      <c r="AC25" s="1901"/>
      <c r="AD25" s="1901"/>
      <c r="AE25" s="1901"/>
      <c r="AF25" s="1901"/>
      <c r="AG25" s="1901"/>
      <c r="AH25" s="1901"/>
      <c r="AI25" s="1906"/>
      <c r="AJ25" s="1907"/>
      <c r="AK25" s="1908"/>
      <c r="AL25" s="1906"/>
      <c r="AM25" s="1907"/>
      <c r="AN25" s="1908"/>
      <c r="AO25" s="1926"/>
      <c r="AP25" s="1927"/>
      <c r="AQ25" s="1928"/>
      <c r="AR25" s="1921" t="s">
        <v>1040</v>
      </c>
      <c r="AS25" s="1921"/>
      <c r="AT25" s="1921"/>
      <c r="AU25" s="1921"/>
      <c r="AV25" s="1921"/>
      <c r="AW25" s="1921"/>
      <c r="AX25" s="1921"/>
      <c r="AY25" s="1921"/>
      <c r="AZ25" s="1921"/>
      <c r="BA25" s="1921" t="s">
        <v>1039</v>
      </c>
      <c r="BB25" s="1921"/>
      <c r="BC25" s="1921"/>
      <c r="BD25" s="1921"/>
      <c r="BE25" s="1921"/>
      <c r="BF25" s="1921"/>
      <c r="BG25" s="1921"/>
      <c r="BH25" s="1921"/>
      <c r="BI25" s="1921"/>
    </row>
    <row r="26" spans="1:61" s="4" customFormat="1" ht="12" customHeight="1">
      <c r="A26" s="1869" t="s">
        <v>522</v>
      </c>
      <c r="B26" s="1869"/>
      <c r="C26" s="1869"/>
      <c r="D26" s="1869" t="s">
        <v>523</v>
      </c>
      <c r="E26" s="1869"/>
      <c r="F26" s="1869"/>
      <c r="G26" s="1869"/>
      <c r="H26" s="1869"/>
      <c r="I26" s="1869"/>
      <c r="J26" s="1869"/>
      <c r="K26" s="1869"/>
      <c r="L26" s="1869"/>
      <c r="M26" s="1869"/>
      <c r="N26" s="1869"/>
      <c r="O26" s="1869"/>
      <c r="P26" s="1869"/>
      <c r="Q26" s="1869"/>
      <c r="R26" s="1869"/>
      <c r="S26" s="1869"/>
      <c r="T26" s="1869"/>
      <c r="U26" s="1869"/>
      <c r="V26" s="1869"/>
      <c r="W26" s="1869"/>
      <c r="X26" s="1869"/>
      <c r="Y26" s="1869"/>
      <c r="Z26" s="1869"/>
      <c r="AA26" s="1869"/>
      <c r="AB26" s="1869"/>
      <c r="AC26" s="1869"/>
      <c r="AD26" s="1869"/>
      <c r="AE26" s="1869"/>
      <c r="AF26" s="1869"/>
      <c r="AG26" s="1869"/>
      <c r="AH26" s="1869"/>
      <c r="AI26" s="1873" t="s">
        <v>329</v>
      </c>
      <c r="AJ26" s="1874"/>
      <c r="AK26" s="1875"/>
      <c r="AL26" s="1873" t="s">
        <v>330</v>
      </c>
      <c r="AM26" s="1874"/>
      <c r="AN26" s="1875"/>
      <c r="AO26" s="1869" t="s">
        <v>1044</v>
      </c>
      <c r="AP26" s="1869"/>
      <c r="AQ26" s="1869"/>
      <c r="AR26" s="1869" t="s">
        <v>1045</v>
      </c>
      <c r="AS26" s="1869"/>
      <c r="AT26" s="1869"/>
      <c r="AU26" s="1869"/>
      <c r="AV26" s="1869"/>
      <c r="AW26" s="1869"/>
      <c r="AX26" s="1869"/>
      <c r="AY26" s="1869"/>
      <c r="AZ26" s="1869"/>
      <c r="BA26" s="1890">
        <v>7</v>
      </c>
      <c r="BB26" s="1890"/>
      <c r="BC26" s="1890"/>
      <c r="BD26" s="1890"/>
      <c r="BE26" s="1890"/>
      <c r="BF26" s="1890"/>
      <c r="BG26" s="1890"/>
      <c r="BH26" s="1890"/>
      <c r="BI26" s="1890"/>
    </row>
    <row r="27" spans="1:61" s="308" customFormat="1" ht="17.25" customHeight="1">
      <c r="A27" s="1877"/>
      <c r="B27" s="1877"/>
      <c r="C27" s="1877"/>
      <c r="D27" s="1888" t="s">
        <v>1267</v>
      </c>
      <c r="E27" s="1888"/>
      <c r="F27" s="1888"/>
      <c r="G27" s="1888"/>
      <c r="H27" s="1888"/>
      <c r="I27" s="1888"/>
      <c r="J27" s="1888"/>
      <c r="K27" s="1888"/>
      <c r="L27" s="1888"/>
      <c r="M27" s="1888"/>
      <c r="N27" s="1888"/>
      <c r="O27" s="1888"/>
      <c r="P27" s="1888"/>
      <c r="Q27" s="1888"/>
      <c r="R27" s="1888"/>
      <c r="S27" s="1888"/>
      <c r="T27" s="1888"/>
      <c r="U27" s="1888"/>
      <c r="V27" s="1888"/>
      <c r="W27" s="1888"/>
      <c r="X27" s="1888"/>
      <c r="Y27" s="1888"/>
      <c r="Z27" s="1888"/>
      <c r="AA27" s="1888"/>
      <c r="AB27" s="1888"/>
      <c r="AC27" s="1888"/>
      <c r="AD27" s="1888"/>
      <c r="AE27" s="1888"/>
      <c r="AF27" s="1888"/>
      <c r="AG27" s="1888"/>
      <c r="AH27" s="1888"/>
      <c r="AI27" s="1885"/>
      <c r="AJ27" s="1886"/>
      <c r="AK27" s="1887"/>
      <c r="AL27" s="1893"/>
      <c r="AM27" s="1894"/>
      <c r="AN27" s="1895"/>
      <c r="AO27" s="1876"/>
      <c r="AP27" s="1876"/>
      <c r="AQ27" s="1876"/>
      <c r="AR27" s="1891"/>
      <c r="AS27" s="1891"/>
      <c r="AT27" s="1891"/>
      <c r="AU27" s="1891"/>
      <c r="AV27" s="1891"/>
      <c r="AW27" s="1891"/>
      <c r="AX27" s="1891"/>
      <c r="AY27" s="1891"/>
      <c r="AZ27" s="1891"/>
      <c r="BA27" s="1891"/>
      <c r="BB27" s="1891"/>
      <c r="BC27" s="1891"/>
      <c r="BD27" s="1891"/>
      <c r="BE27" s="1891"/>
      <c r="BF27" s="1891"/>
      <c r="BG27" s="1891"/>
      <c r="BH27" s="1891"/>
      <c r="BI27" s="1891"/>
    </row>
    <row r="28" spans="1:61" s="308" customFormat="1" ht="17.25" customHeight="1">
      <c r="A28" s="1877" t="s">
        <v>522</v>
      </c>
      <c r="B28" s="1877"/>
      <c r="C28" s="1877"/>
      <c r="D28" s="1888" t="s">
        <v>1268</v>
      </c>
      <c r="E28" s="1888"/>
      <c r="F28" s="1888"/>
      <c r="G28" s="1888"/>
      <c r="H28" s="1888"/>
      <c r="I28" s="1888"/>
      <c r="J28" s="1888"/>
      <c r="K28" s="1888"/>
      <c r="L28" s="1888"/>
      <c r="M28" s="1888"/>
      <c r="N28" s="1888"/>
      <c r="O28" s="1888"/>
      <c r="P28" s="1888"/>
      <c r="Q28" s="1888"/>
      <c r="R28" s="1888"/>
      <c r="S28" s="1888"/>
      <c r="T28" s="1888"/>
      <c r="U28" s="1888"/>
      <c r="V28" s="1888"/>
      <c r="W28" s="1888"/>
      <c r="X28" s="1888"/>
      <c r="Y28" s="1888"/>
      <c r="Z28" s="1888"/>
      <c r="AA28" s="1888"/>
      <c r="AB28" s="1888"/>
      <c r="AC28" s="1888"/>
      <c r="AD28" s="1888"/>
      <c r="AE28" s="1888"/>
      <c r="AF28" s="1888"/>
      <c r="AG28" s="1888"/>
      <c r="AH28" s="1888"/>
      <c r="AI28" s="1885"/>
      <c r="AJ28" s="1886"/>
      <c r="AK28" s="1887"/>
      <c r="AL28" s="1893"/>
      <c r="AM28" s="1894"/>
      <c r="AN28" s="1895"/>
      <c r="AO28" s="1876">
        <v>401</v>
      </c>
      <c r="AP28" s="1876"/>
      <c r="AQ28" s="1876"/>
      <c r="AR28" s="1891">
        <f>unos!F431</f>
        <v>0</v>
      </c>
      <c r="AS28" s="1891"/>
      <c r="AT28" s="1891"/>
      <c r="AU28" s="1891"/>
      <c r="AV28" s="1891"/>
      <c r="AW28" s="1891"/>
      <c r="AX28" s="1891"/>
      <c r="AY28" s="1891"/>
      <c r="AZ28" s="1891"/>
      <c r="BA28" s="1891">
        <f>unos!D431</f>
        <v>0</v>
      </c>
      <c r="BB28" s="1891"/>
      <c r="BC28" s="1891"/>
      <c r="BD28" s="1891"/>
      <c r="BE28" s="1891"/>
      <c r="BF28" s="1891"/>
      <c r="BG28" s="1891"/>
      <c r="BH28" s="1891"/>
      <c r="BI28" s="1891"/>
    </row>
    <row r="29" spans="1:61" ht="17.25" customHeight="1">
      <c r="A29" s="1869"/>
      <c r="B29" s="1869"/>
      <c r="C29" s="1869"/>
      <c r="D29" s="1900" t="s">
        <v>1043</v>
      </c>
      <c r="E29" s="1900"/>
      <c r="F29" s="1900"/>
      <c r="G29" s="1900"/>
      <c r="H29" s="1900"/>
      <c r="I29" s="1900"/>
      <c r="J29" s="1900"/>
      <c r="K29" s="1900"/>
      <c r="L29" s="1900"/>
      <c r="M29" s="1900"/>
      <c r="N29" s="1900"/>
      <c r="O29" s="1900"/>
      <c r="P29" s="1900"/>
      <c r="Q29" s="1900"/>
      <c r="R29" s="1900"/>
      <c r="S29" s="1900"/>
      <c r="T29" s="1900"/>
      <c r="U29" s="1900"/>
      <c r="V29" s="1900"/>
      <c r="W29" s="1900"/>
      <c r="X29" s="1900"/>
      <c r="Y29" s="1900"/>
      <c r="Z29" s="1900"/>
      <c r="AA29" s="1900"/>
      <c r="AB29" s="1900"/>
      <c r="AC29" s="1900"/>
      <c r="AD29" s="1900"/>
      <c r="AE29" s="1900"/>
      <c r="AF29" s="1900"/>
      <c r="AG29" s="1900"/>
      <c r="AH29" s="1900"/>
      <c r="AI29" s="1885"/>
      <c r="AJ29" s="1886"/>
      <c r="AK29" s="1887"/>
      <c r="AL29" s="1893"/>
      <c r="AM29" s="1894"/>
      <c r="AN29" s="1895"/>
      <c r="AO29" s="1876"/>
      <c r="AP29" s="1876"/>
      <c r="AQ29" s="1876"/>
      <c r="AR29" s="1884"/>
      <c r="AS29" s="1884"/>
      <c r="AT29" s="1884"/>
      <c r="AU29" s="1884"/>
      <c r="AV29" s="1884"/>
      <c r="AW29" s="1884"/>
      <c r="AX29" s="1884"/>
      <c r="AY29" s="1884"/>
      <c r="AZ29" s="1884"/>
      <c r="BA29" s="1884"/>
      <c r="BB29" s="1884"/>
      <c r="BC29" s="1884"/>
      <c r="BD29" s="1884"/>
      <c r="BE29" s="1884"/>
      <c r="BF29" s="1884"/>
      <c r="BG29" s="1884"/>
      <c r="BH29" s="1884"/>
      <c r="BI29" s="1884"/>
    </row>
    <row r="30" spans="1:61" ht="17.25" customHeight="1">
      <c r="A30" s="1869" t="s">
        <v>523</v>
      </c>
      <c r="B30" s="1869"/>
      <c r="C30" s="1869"/>
      <c r="D30" s="1870" t="s">
        <v>1269</v>
      </c>
      <c r="E30" s="1870"/>
      <c r="F30" s="1870"/>
      <c r="G30" s="1870"/>
      <c r="H30" s="1870"/>
      <c r="I30" s="1870"/>
      <c r="J30" s="1870"/>
      <c r="K30" s="1870"/>
      <c r="L30" s="1870"/>
      <c r="M30" s="1870"/>
      <c r="N30" s="1870"/>
      <c r="O30" s="1870"/>
      <c r="P30" s="1870"/>
      <c r="Q30" s="1870"/>
      <c r="R30" s="1870"/>
      <c r="S30" s="1870"/>
      <c r="T30" s="1870"/>
      <c r="U30" s="1870"/>
      <c r="V30" s="1870"/>
      <c r="W30" s="1870"/>
      <c r="X30" s="1870"/>
      <c r="Y30" s="1870"/>
      <c r="Z30" s="1870"/>
      <c r="AA30" s="1870"/>
      <c r="AB30" s="1870"/>
      <c r="AC30" s="1870"/>
      <c r="AD30" s="1870"/>
      <c r="AE30" s="1870"/>
      <c r="AF30" s="1870"/>
      <c r="AG30" s="1870"/>
      <c r="AH30" s="1870"/>
      <c r="AI30" s="1885"/>
      <c r="AJ30" s="1886"/>
      <c r="AK30" s="1887"/>
      <c r="AL30" s="1893" t="s">
        <v>1144</v>
      </c>
      <c r="AM30" s="1894"/>
      <c r="AN30" s="1895"/>
      <c r="AO30" s="1876"/>
      <c r="AP30" s="1876"/>
      <c r="AQ30" s="1876"/>
      <c r="AR30" s="1884">
        <f>unos!F432</f>
        <v>0</v>
      </c>
      <c r="AS30" s="1884"/>
      <c r="AT30" s="1884"/>
      <c r="AU30" s="1884"/>
      <c r="AV30" s="1884"/>
      <c r="AW30" s="1884"/>
      <c r="AX30" s="1884"/>
      <c r="AY30" s="1884"/>
      <c r="AZ30" s="1884"/>
      <c r="BA30" s="1884">
        <f>unos!D432</f>
        <v>0</v>
      </c>
      <c r="BB30" s="1884"/>
      <c r="BC30" s="1884"/>
      <c r="BD30" s="1884"/>
      <c r="BE30" s="1884"/>
      <c r="BF30" s="1884"/>
      <c r="BG30" s="1884"/>
      <c r="BH30" s="1884"/>
      <c r="BI30" s="1884"/>
    </row>
    <row r="31" spans="1:61" ht="17.25" customHeight="1">
      <c r="A31" s="1869" t="s">
        <v>329</v>
      </c>
      <c r="B31" s="1869"/>
      <c r="C31" s="1869"/>
      <c r="D31" s="1870" t="s">
        <v>923</v>
      </c>
      <c r="E31" s="1870"/>
      <c r="F31" s="1870"/>
      <c r="G31" s="1870"/>
      <c r="H31" s="1870"/>
      <c r="I31" s="1870"/>
      <c r="J31" s="1870"/>
      <c r="K31" s="1870"/>
      <c r="L31" s="1870"/>
      <c r="M31" s="1870"/>
      <c r="N31" s="1870"/>
      <c r="O31" s="1870"/>
      <c r="P31" s="1870"/>
      <c r="Q31" s="1870"/>
      <c r="R31" s="1870"/>
      <c r="S31" s="1870"/>
      <c r="T31" s="1870"/>
      <c r="U31" s="1870"/>
      <c r="V31" s="1870"/>
      <c r="W31" s="1870"/>
      <c r="X31" s="1870"/>
      <c r="Y31" s="1870"/>
      <c r="Z31" s="1870"/>
      <c r="AA31" s="1870"/>
      <c r="AB31" s="1870"/>
      <c r="AC31" s="1870"/>
      <c r="AD31" s="1870"/>
      <c r="AE31" s="1870"/>
      <c r="AF31" s="1870"/>
      <c r="AG31" s="1870"/>
      <c r="AH31" s="1870"/>
      <c r="AI31" s="1885"/>
      <c r="AJ31" s="1886"/>
      <c r="AK31" s="1887"/>
      <c r="AL31" s="1893" t="s">
        <v>2510</v>
      </c>
      <c r="AM31" s="1894"/>
      <c r="AN31" s="1895"/>
      <c r="AO31" s="1876"/>
      <c r="AP31" s="1876"/>
      <c r="AQ31" s="1876"/>
      <c r="AR31" s="1884">
        <f>unos!F433</f>
        <v>0</v>
      </c>
      <c r="AS31" s="1884"/>
      <c r="AT31" s="1884"/>
      <c r="AU31" s="1884"/>
      <c r="AV31" s="1884"/>
      <c r="AW31" s="1884"/>
      <c r="AX31" s="1884"/>
      <c r="AY31" s="1884"/>
      <c r="AZ31" s="1884"/>
      <c r="BA31" s="1884">
        <f>unos!D433</f>
        <v>0</v>
      </c>
      <c r="BB31" s="1884"/>
      <c r="BC31" s="1884"/>
      <c r="BD31" s="1884"/>
      <c r="BE31" s="1884"/>
      <c r="BF31" s="1884"/>
      <c r="BG31" s="1884"/>
      <c r="BH31" s="1884"/>
      <c r="BI31" s="1884"/>
    </row>
    <row r="32" spans="1:61" ht="17.25" customHeight="1">
      <c r="A32" s="1869" t="s">
        <v>330</v>
      </c>
      <c r="B32" s="1869"/>
      <c r="C32" s="1869"/>
      <c r="D32" s="1870" t="s">
        <v>1270</v>
      </c>
      <c r="E32" s="1870"/>
      <c r="F32" s="1870"/>
      <c r="G32" s="1870"/>
      <c r="H32" s="1870"/>
      <c r="I32" s="1870"/>
      <c r="J32" s="1870"/>
      <c r="K32" s="1870"/>
      <c r="L32" s="1870"/>
      <c r="M32" s="1870"/>
      <c r="N32" s="1870"/>
      <c r="O32" s="1870"/>
      <c r="P32" s="1870"/>
      <c r="Q32" s="1870"/>
      <c r="R32" s="1870"/>
      <c r="S32" s="1870"/>
      <c r="T32" s="1870"/>
      <c r="U32" s="1870"/>
      <c r="V32" s="1870"/>
      <c r="W32" s="1870"/>
      <c r="X32" s="1870"/>
      <c r="Y32" s="1870"/>
      <c r="Z32" s="1870"/>
      <c r="AA32" s="1870"/>
      <c r="AB32" s="1870"/>
      <c r="AC32" s="1870"/>
      <c r="AD32" s="1870"/>
      <c r="AE32" s="1870"/>
      <c r="AF32" s="1870"/>
      <c r="AG32" s="1870"/>
      <c r="AH32" s="1870"/>
      <c r="AI32" s="1885"/>
      <c r="AJ32" s="1886"/>
      <c r="AK32" s="1887"/>
      <c r="AL32" s="1893" t="s">
        <v>1144</v>
      </c>
      <c r="AM32" s="1894"/>
      <c r="AN32" s="1895"/>
      <c r="AO32" s="1876"/>
      <c r="AP32" s="1876"/>
      <c r="AQ32" s="1876"/>
      <c r="AR32" s="1884">
        <f>unos!F434</f>
        <v>0</v>
      </c>
      <c r="AS32" s="1884"/>
      <c r="AT32" s="1884"/>
      <c r="AU32" s="1884"/>
      <c r="AV32" s="1884"/>
      <c r="AW32" s="1884"/>
      <c r="AX32" s="1884"/>
      <c r="AY32" s="1884"/>
      <c r="AZ32" s="1884"/>
      <c r="BA32" s="1884">
        <f>unos!D434</f>
        <v>0</v>
      </c>
      <c r="BB32" s="1884"/>
      <c r="BC32" s="1884"/>
      <c r="BD32" s="1884"/>
      <c r="BE32" s="1884"/>
      <c r="BF32" s="1884"/>
      <c r="BG32" s="1884"/>
      <c r="BH32" s="1884"/>
      <c r="BI32" s="1884"/>
    </row>
    <row r="33" spans="1:61" ht="17.25" customHeight="1">
      <c r="A33" s="1869" t="s">
        <v>1044</v>
      </c>
      <c r="B33" s="1869"/>
      <c r="C33" s="1869"/>
      <c r="D33" s="1870" t="s">
        <v>1779</v>
      </c>
      <c r="E33" s="1870"/>
      <c r="F33" s="1870"/>
      <c r="G33" s="1870"/>
      <c r="H33" s="1870"/>
      <c r="I33" s="1870"/>
      <c r="J33" s="1870"/>
      <c r="K33" s="1870"/>
      <c r="L33" s="1870"/>
      <c r="M33" s="1870"/>
      <c r="N33" s="1870"/>
      <c r="O33" s="1870"/>
      <c r="P33" s="1870"/>
      <c r="Q33" s="1870"/>
      <c r="R33" s="1870"/>
      <c r="S33" s="1870"/>
      <c r="T33" s="1870"/>
      <c r="U33" s="1870"/>
      <c r="V33" s="1870"/>
      <c r="W33" s="1870"/>
      <c r="X33" s="1870"/>
      <c r="Y33" s="1870"/>
      <c r="Z33" s="1870"/>
      <c r="AA33" s="1870"/>
      <c r="AB33" s="1870"/>
      <c r="AC33" s="1870"/>
      <c r="AD33" s="1870"/>
      <c r="AE33" s="1870"/>
      <c r="AF33" s="1870"/>
      <c r="AG33" s="1870"/>
      <c r="AH33" s="1870"/>
      <c r="AI33" s="1885"/>
      <c r="AJ33" s="1886"/>
      <c r="AK33" s="1887"/>
      <c r="AL33" s="1893" t="s">
        <v>2510</v>
      </c>
      <c r="AM33" s="1894"/>
      <c r="AN33" s="1895"/>
      <c r="AO33" s="1876"/>
      <c r="AP33" s="1876"/>
      <c r="AQ33" s="1876"/>
      <c r="AR33" s="1884">
        <f>unos!F435</f>
        <v>0</v>
      </c>
      <c r="AS33" s="1884"/>
      <c r="AT33" s="1884"/>
      <c r="AU33" s="1884"/>
      <c r="AV33" s="1884"/>
      <c r="AW33" s="1884"/>
      <c r="AX33" s="1884"/>
      <c r="AY33" s="1884"/>
      <c r="AZ33" s="1884"/>
      <c r="BA33" s="1884">
        <f>unos!D435</f>
        <v>0</v>
      </c>
      <c r="BB33" s="1884"/>
      <c r="BC33" s="1884"/>
      <c r="BD33" s="1884"/>
      <c r="BE33" s="1884"/>
      <c r="BF33" s="1884"/>
      <c r="BG33" s="1884"/>
      <c r="BH33" s="1884"/>
      <c r="BI33" s="1884"/>
    </row>
    <row r="34" spans="1:61" ht="17.25" customHeight="1">
      <c r="A34" s="1869" t="s">
        <v>1045</v>
      </c>
      <c r="B34" s="1869"/>
      <c r="C34" s="1869"/>
      <c r="D34" s="1870" t="s">
        <v>1271</v>
      </c>
      <c r="E34" s="1870"/>
      <c r="F34" s="1870"/>
      <c r="G34" s="1870"/>
      <c r="H34" s="1870"/>
      <c r="I34" s="1870"/>
      <c r="J34" s="1870"/>
      <c r="K34" s="1870"/>
      <c r="L34" s="1870"/>
      <c r="M34" s="1870"/>
      <c r="N34" s="1870"/>
      <c r="O34" s="1870"/>
      <c r="P34" s="1870"/>
      <c r="Q34" s="1870"/>
      <c r="R34" s="1870"/>
      <c r="S34" s="1870"/>
      <c r="T34" s="1870"/>
      <c r="U34" s="1870"/>
      <c r="V34" s="1870"/>
      <c r="W34" s="1870"/>
      <c r="X34" s="1870"/>
      <c r="Y34" s="1870"/>
      <c r="Z34" s="1870"/>
      <c r="AA34" s="1870"/>
      <c r="AB34" s="1870"/>
      <c r="AC34" s="1870"/>
      <c r="AD34" s="1870"/>
      <c r="AE34" s="1870"/>
      <c r="AF34" s="1870"/>
      <c r="AG34" s="1870"/>
      <c r="AH34" s="1870"/>
      <c r="AI34" s="1885"/>
      <c r="AJ34" s="1886"/>
      <c r="AK34" s="1887"/>
      <c r="AL34" s="1893" t="s">
        <v>2510</v>
      </c>
      <c r="AM34" s="1894"/>
      <c r="AN34" s="1895"/>
      <c r="AO34" s="1876"/>
      <c r="AP34" s="1876"/>
      <c r="AQ34" s="1876"/>
      <c r="AR34" s="1884">
        <f>unos!F436</f>
        <v>0</v>
      </c>
      <c r="AS34" s="1884"/>
      <c r="AT34" s="1884"/>
      <c r="AU34" s="1884"/>
      <c r="AV34" s="1884"/>
      <c r="AW34" s="1884"/>
      <c r="AX34" s="1884"/>
      <c r="AY34" s="1884"/>
      <c r="AZ34" s="1884"/>
      <c r="BA34" s="1884">
        <f>unos!D436</f>
        <v>0</v>
      </c>
      <c r="BB34" s="1884"/>
      <c r="BC34" s="1884"/>
      <c r="BD34" s="1884"/>
      <c r="BE34" s="1884"/>
      <c r="BF34" s="1884"/>
      <c r="BG34" s="1884"/>
      <c r="BH34" s="1884"/>
      <c r="BI34" s="1884"/>
    </row>
    <row r="35" spans="1:61" ht="30.75" customHeight="1">
      <c r="A35" s="1869" t="s">
        <v>1046</v>
      </c>
      <c r="B35" s="1869"/>
      <c r="C35" s="1869"/>
      <c r="D35" s="1870" t="s">
        <v>1272</v>
      </c>
      <c r="E35" s="1870"/>
      <c r="F35" s="1870"/>
      <c r="G35" s="1870"/>
      <c r="H35" s="1870"/>
      <c r="I35" s="1870"/>
      <c r="J35" s="1870"/>
      <c r="K35" s="1870"/>
      <c r="L35" s="1870"/>
      <c r="M35" s="1870"/>
      <c r="N35" s="1870"/>
      <c r="O35" s="1870"/>
      <c r="P35" s="1870"/>
      <c r="Q35" s="1870"/>
      <c r="R35" s="1870"/>
      <c r="S35" s="1870"/>
      <c r="T35" s="1870"/>
      <c r="U35" s="1870"/>
      <c r="V35" s="1870"/>
      <c r="W35" s="1870"/>
      <c r="X35" s="1870"/>
      <c r="Y35" s="1870"/>
      <c r="Z35" s="1870"/>
      <c r="AA35" s="1870"/>
      <c r="AB35" s="1870"/>
      <c r="AC35" s="1870"/>
      <c r="AD35" s="1870"/>
      <c r="AE35" s="1870"/>
      <c r="AF35" s="1870"/>
      <c r="AG35" s="1870"/>
      <c r="AH35" s="1870"/>
      <c r="AI35" s="1885"/>
      <c r="AJ35" s="1886"/>
      <c r="AK35" s="1887"/>
      <c r="AL35" s="1893" t="s">
        <v>2510</v>
      </c>
      <c r="AM35" s="1894"/>
      <c r="AN35" s="1895"/>
      <c r="AO35" s="1876"/>
      <c r="AP35" s="1876"/>
      <c r="AQ35" s="1876"/>
      <c r="AR35" s="1884">
        <f>unos!F437</f>
        <v>0</v>
      </c>
      <c r="AS35" s="1884"/>
      <c r="AT35" s="1884"/>
      <c r="AU35" s="1884"/>
      <c r="AV35" s="1884"/>
      <c r="AW35" s="1884"/>
      <c r="AX35" s="1884"/>
      <c r="AY35" s="1884"/>
      <c r="AZ35" s="1884"/>
      <c r="BA35" s="1884">
        <f>unos!D437</f>
        <v>0</v>
      </c>
      <c r="BB35" s="1884"/>
      <c r="BC35" s="1884"/>
      <c r="BD35" s="1884"/>
      <c r="BE35" s="1884"/>
      <c r="BF35" s="1884"/>
      <c r="BG35" s="1884"/>
      <c r="BH35" s="1884"/>
      <c r="BI35" s="1884"/>
    </row>
    <row r="36" spans="1:61" ht="28.5" customHeight="1">
      <c r="A36" s="1869" t="s">
        <v>2728</v>
      </c>
      <c r="B36" s="1869"/>
      <c r="C36" s="1869"/>
      <c r="D36" s="1870" t="s">
        <v>1273</v>
      </c>
      <c r="E36" s="1870"/>
      <c r="F36" s="1870"/>
      <c r="G36" s="1870"/>
      <c r="H36" s="1870"/>
      <c r="I36" s="1870"/>
      <c r="J36" s="1870"/>
      <c r="K36" s="1870"/>
      <c r="L36" s="1870"/>
      <c r="M36" s="1870"/>
      <c r="N36" s="1870"/>
      <c r="O36" s="1870"/>
      <c r="P36" s="1870"/>
      <c r="Q36" s="1870"/>
      <c r="R36" s="1870"/>
      <c r="S36" s="1870"/>
      <c r="T36" s="1870"/>
      <c r="U36" s="1870"/>
      <c r="V36" s="1870"/>
      <c r="W36" s="1870"/>
      <c r="X36" s="1870"/>
      <c r="Y36" s="1870"/>
      <c r="Z36" s="1870"/>
      <c r="AA36" s="1870"/>
      <c r="AB36" s="1870"/>
      <c r="AC36" s="1870"/>
      <c r="AD36" s="1870"/>
      <c r="AE36" s="1870"/>
      <c r="AF36" s="1870"/>
      <c r="AG36" s="1870"/>
      <c r="AH36" s="1870"/>
      <c r="AI36" s="1885"/>
      <c r="AJ36" s="1886"/>
      <c r="AK36" s="1887"/>
      <c r="AL36" s="1893" t="s">
        <v>2510</v>
      </c>
      <c r="AM36" s="1894"/>
      <c r="AN36" s="1895"/>
      <c r="AO36" s="1876"/>
      <c r="AP36" s="1876"/>
      <c r="AQ36" s="1876"/>
      <c r="AR36" s="1884">
        <f>unos!F438</f>
        <v>0</v>
      </c>
      <c r="AS36" s="1884"/>
      <c r="AT36" s="1884"/>
      <c r="AU36" s="1884"/>
      <c r="AV36" s="1884"/>
      <c r="AW36" s="1884"/>
      <c r="AX36" s="1884"/>
      <c r="AY36" s="1884"/>
      <c r="AZ36" s="1884"/>
      <c r="BA36" s="1884">
        <f>unos!D438</f>
        <v>0</v>
      </c>
      <c r="BB36" s="1884"/>
      <c r="BC36" s="1884"/>
      <c r="BD36" s="1884"/>
      <c r="BE36" s="1884"/>
      <c r="BF36" s="1884"/>
      <c r="BG36" s="1884"/>
      <c r="BH36" s="1884"/>
      <c r="BI36" s="1884"/>
    </row>
    <row r="37" spans="1:61" s="308" customFormat="1" ht="18" customHeight="1">
      <c r="A37" s="1877" t="s">
        <v>1171</v>
      </c>
      <c r="B37" s="1877"/>
      <c r="C37" s="1877"/>
      <c r="D37" s="1888" t="s">
        <v>1274</v>
      </c>
      <c r="E37" s="1888"/>
      <c r="F37" s="1888"/>
      <c r="G37" s="1888"/>
      <c r="H37" s="1888"/>
      <c r="I37" s="1888"/>
      <c r="J37" s="1888"/>
      <c r="K37" s="1888"/>
      <c r="L37" s="1888"/>
      <c r="M37" s="1888"/>
      <c r="N37" s="1888"/>
      <c r="O37" s="1888"/>
      <c r="P37" s="1888"/>
      <c r="Q37" s="1888"/>
      <c r="R37" s="1888"/>
      <c r="S37" s="1888"/>
      <c r="T37" s="1888"/>
      <c r="U37" s="1888"/>
      <c r="V37" s="1888"/>
      <c r="W37" s="1888"/>
      <c r="X37" s="1888"/>
      <c r="Y37" s="1888"/>
      <c r="Z37" s="1888"/>
      <c r="AA37" s="1888"/>
      <c r="AB37" s="1888"/>
      <c r="AC37" s="1888"/>
      <c r="AD37" s="1888"/>
      <c r="AE37" s="1888"/>
      <c r="AF37" s="1888"/>
      <c r="AG37" s="1888"/>
      <c r="AH37" s="1888"/>
      <c r="AI37" s="1885"/>
      <c r="AJ37" s="1886"/>
      <c r="AK37" s="1887"/>
      <c r="AL37" s="1893"/>
      <c r="AM37" s="1894"/>
      <c r="AN37" s="1895"/>
      <c r="AO37" s="1876">
        <v>402</v>
      </c>
      <c r="AP37" s="1876"/>
      <c r="AQ37" s="1876"/>
      <c r="AR37" s="1891">
        <f>SUM(AR30:AZ36)</f>
        <v>0</v>
      </c>
      <c r="AS37" s="1891"/>
      <c r="AT37" s="1891"/>
      <c r="AU37" s="1891"/>
      <c r="AV37" s="1891"/>
      <c r="AW37" s="1891"/>
      <c r="AX37" s="1891"/>
      <c r="AY37" s="1891"/>
      <c r="AZ37" s="1891"/>
      <c r="BA37" s="1891">
        <f>SUM(BA30:BI36)</f>
        <v>0</v>
      </c>
      <c r="BB37" s="1891"/>
      <c r="BC37" s="1891"/>
      <c r="BD37" s="1891"/>
      <c r="BE37" s="1891"/>
      <c r="BF37" s="1891"/>
      <c r="BG37" s="1891"/>
      <c r="BH37" s="1891"/>
      <c r="BI37" s="1891"/>
    </row>
    <row r="38" spans="1:61" ht="18" customHeight="1">
      <c r="A38" s="1869" t="s">
        <v>1095</v>
      </c>
      <c r="B38" s="1869"/>
      <c r="C38" s="1869"/>
      <c r="D38" s="1899" t="s">
        <v>2285</v>
      </c>
      <c r="E38" s="1899"/>
      <c r="F38" s="1899"/>
      <c r="G38" s="1899"/>
      <c r="H38" s="1899"/>
      <c r="I38" s="1899"/>
      <c r="J38" s="1899"/>
      <c r="K38" s="1899"/>
      <c r="L38" s="1899"/>
      <c r="M38" s="1899"/>
      <c r="N38" s="1899"/>
      <c r="O38" s="1899"/>
      <c r="P38" s="1899"/>
      <c r="Q38" s="1899"/>
      <c r="R38" s="1899"/>
      <c r="S38" s="1899"/>
      <c r="T38" s="1899"/>
      <c r="U38" s="1899"/>
      <c r="V38" s="1899"/>
      <c r="W38" s="1899"/>
      <c r="X38" s="1899"/>
      <c r="Y38" s="1899"/>
      <c r="Z38" s="1899"/>
      <c r="AA38" s="1899"/>
      <c r="AB38" s="1899"/>
      <c r="AC38" s="1899"/>
      <c r="AD38" s="1899"/>
      <c r="AE38" s="1899"/>
      <c r="AF38" s="1899"/>
      <c r="AG38" s="1899"/>
      <c r="AH38" s="1899"/>
      <c r="AI38" s="1885"/>
      <c r="AJ38" s="1886"/>
      <c r="AK38" s="1887"/>
      <c r="AL38" s="1893" t="s">
        <v>2510</v>
      </c>
      <c r="AM38" s="1894"/>
      <c r="AN38" s="1895"/>
      <c r="AO38" s="1876"/>
      <c r="AP38" s="1876"/>
      <c r="AQ38" s="1876"/>
      <c r="AR38" s="1884">
        <f>unos!F439</f>
        <v>0</v>
      </c>
      <c r="AS38" s="1884"/>
      <c r="AT38" s="1884"/>
      <c r="AU38" s="1884"/>
      <c r="AV38" s="1884"/>
      <c r="AW38" s="1884"/>
      <c r="AX38" s="1884"/>
      <c r="AY38" s="1884"/>
      <c r="AZ38" s="1884"/>
      <c r="BA38" s="1884">
        <f>unos!D439</f>
        <v>0</v>
      </c>
      <c r="BB38" s="1884"/>
      <c r="BC38" s="1884"/>
      <c r="BD38" s="1884"/>
      <c r="BE38" s="1884"/>
      <c r="BF38" s="1884"/>
      <c r="BG38" s="1884"/>
      <c r="BH38" s="1884"/>
      <c r="BI38" s="1884"/>
    </row>
    <row r="39" spans="1:61" ht="18" customHeight="1">
      <c r="A39" s="1869" t="s">
        <v>439</v>
      </c>
      <c r="B39" s="1869"/>
      <c r="C39" s="1869"/>
      <c r="D39" s="1870" t="s">
        <v>2286</v>
      </c>
      <c r="E39" s="1870"/>
      <c r="F39" s="1870"/>
      <c r="G39" s="1870"/>
      <c r="H39" s="1870"/>
      <c r="I39" s="1870"/>
      <c r="J39" s="1870"/>
      <c r="K39" s="1870"/>
      <c r="L39" s="1870"/>
      <c r="M39" s="1870"/>
      <c r="N39" s="1870"/>
      <c r="O39" s="1870"/>
      <c r="P39" s="1870"/>
      <c r="Q39" s="1870"/>
      <c r="R39" s="1870"/>
      <c r="S39" s="1870"/>
      <c r="T39" s="1870"/>
      <c r="U39" s="1870"/>
      <c r="V39" s="1870"/>
      <c r="W39" s="1870"/>
      <c r="X39" s="1870"/>
      <c r="Y39" s="1870"/>
      <c r="Z39" s="1870"/>
      <c r="AA39" s="1870"/>
      <c r="AB39" s="1870"/>
      <c r="AC39" s="1870"/>
      <c r="AD39" s="1870"/>
      <c r="AE39" s="1870"/>
      <c r="AF39" s="1870"/>
      <c r="AG39" s="1870"/>
      <c r="AH39" s="1870"/>
      <c r="AI39" s="1885"/>
      <c r="AJ39" s="1886"/>
      <c r="AK39" s="1887"/>
      <c r="AL39" s="1893" t="s">
        <v>2510</v>
      </c>
      <c r="AM39" s="1894"/>
      <c r="AN39" s="1895"/>
      <c r="AO39" s="1876"/>
      <c r="AP39" s="1876"/>
      <c r="AQ39" s="1876"/>
      <c r="AR39" s="1884">
        <f>unos!F440</f>
        <v>0</v>
      </c>
      <c r="AS39" s="1884"/>
      <c r="AT39" s="1884"/>
      <c r="AU39" s="1884"/>
      <c r="AV39" s="1884"/>
      <c r="AW39" s="1884"/>
      <c r="AX39" s="1884"/>
      <c r="AY39" s="1884"/>
      <c r="AZ39" s="1884"/>
      <c r="BA39" s="1884">
        <f>unos!D440</f>
        <v>0</v>
      </c>
      <c r="BB39" s="1884"/>
      <c r="BC39" s="1884"/>
      <c r="BD39" s="1884"/>
      <c r="BE39" s="1884"/>
      <c r="BF39" s="1884"/>
      <c r="BG39" s="1884"/>
      <c r="BH39" s="1884"/>
      <c r="BI39" s="1884"/>
    </row>
    <row r="40" spans="1:61" ht="18" customHeight="1">
      <c r="A40" s="1869" t="s">
        <v>440</v>
      </c>
      <c r="B40" s="1869"/>
      <c r="C40" s="1869"/>
      <c r="D40" s="1870" t="s">
        <v>2287</v>
      </c>
      <c r="E40" s="1870"/>
      <c r="F40" s="1870"/>
      <c r="G40" s="1870"/>
      <c r="H40" s="1870"/>
      <c r="I40" s="1870"/>
      <c r="J40" s="1870"/>
      <c r="K40" s="1870"/>
      <c r="L40" s="1870"/>
      <c r="M40" s="1870"/>
      <c r="N40" s="1870"/>
      <c r="O40" s="1870"/>
      <c r="P40" s="1870"/>
      <c r="Q40" s="1870"/>
      <c r="R40" s="1870"/>
      <c r="S40" s="1870"/>
      <c r="T40" s="1870"/>
      <c r="U40" s="1870"/>
      <c r="V40" s="1870"/>
      <c r="W40" s="1870"/>
      <c r="X40" s="1870"/>
      <c r="Y40" s="1870"/>
      <c r="Z40" s="1870"/>
      <c r="AA40" s="1870"/>
      <c r="AB40" s="1870"/>
      <c r="AC40" s="1870"/>
      <c r="AD40" s="1870"/>
      <c r="AE40" s="1870"/>
      <c r="AF40" s="1870"/>
      <c r="AG40" s="1870"/>
      <c r="AH40" s="1870"/>
      <c r="AI40" s="1885"/>
      <c r="AJ40" s="1886"/>
      <c r="AK40" s="1887"/>
      <c r="AL40" s="1893" t="s">
        <v>2510</v>
      </c>
      <c r="AM40" s="1894"/>
      <c r="AN40" s="1895"/>
      <c r="AO40" s="1876"/>
      <c r="AP40" s="1876"/>
      <c r="AQ40" s="1876"/>
      <c r="AR40" s="1884">
        <f>unos!F441</f>
        <v>0</v>
      </c>
      <c r="AS40" s="1884"/>
      <c r="AT40" s="1884"/>
      <c r="AU40" s="1884"/>
      <c r="AV40" s="1884"/>
      <c r="AW40" s="1884"/>
      <c r="AX40" s="1884"/>
      <c r="AY40" s="1884"/>
      <c r="AZ40" s="1884"/>
      <c r="BA40" s="1884">
        <f>unos!D441</f>
        <v>0</v>
      </c>
      <c r="BB40" s="1884"/>
      <c r="BC40" s="1884"/>
      <c r="BD40" s="1884"/>
      <c r="BE40" s="1884"/>
      <c r="BF40" s="1884"/>
      <c r="BG40" s="1884"/>
      <c r="BH40" s="1884"/>
      <c r="BI40" s="1884"/>
    </row>
    <row r="41" spans="1:61" ht="18" customHeight="1">
      <c r="A41" s="1869" t="s">
        <v>1096</v>
      </c>
      <c r="B41" s="1869"/>
      <c r="C41" s="1869"/>
      <c r="D41" s="1870" t="s">
        <v>939</v>
      </c>
      <c r="E41" s="1870"/>
      <c r="F41" s="1870"/>
      <c r="G41" s="1870"/>
      <c r="H41" s="1870"/>
      <c r="I41" s="1870"/>
      <c r="J41" s="1870"/>
      <c r="K41" s="1870"/>
      <c r="L41" s="1870"/>
      <c r="M41" s="1870"/>
      <c r="N41" s="1870"/>
      <c r="O41" s="1870"/>
      <c r="P41" s="1870"/>
      <c r="Q41" s="1870"/>
      <c r="R41" s="1870"/>
      <c r="S41" s="1870"/>
      <c r="T41" s="1870"/>
      <c r="U41" s="1870"/>
      <c r="V41" s="1870"/>
      <c r="W41" s="1870"/>
      <c r="X41" s="1870"/>
      <c r="Y41" s="1870"/>
      <c r="Z41" s="1870"/>
      <c r="AA41" s="1870"/>
      <c r="AB41" s="1870"/>
      <c r="AC41" s="1870"/>
      <c r="AD41" s="1870"/>
      <c r="AE41" s="1870"/>
      <c r="AF41" s="1870"/>
      <c r="AG41" s="1870"/>
      <c r="AH41" s="1870"/>
      <c r="AI41" s="1885"/>
      <c r="AJ41" s="1886"/>
      <c r="AK41" s="1887"/>
      <c r="AL41" s="1893" t="s">
        <v>2510</v>
      </c>
      <c r="AM41" s="1894"/>
      <c r="AN41" s="1895"/>
      <c r="AO41" s="1876"/>
      <c r="AP41" s="1876"/>
      <c r="AQ41" s="1876"/>
      <c r="AR41" s="1884">
        <f>unos!F442</f>
        <v>0</v>
      </c>
      <c r="AS41" s="1884"/>
      <c r="AT41" s="1884"/>
      <c r="AU41" s="1884"/>
      <c r="AV41" s="1884"/>
      <c r="AW41" s="1884"/>
      <c r="AX41" s="1884"/>
      <c r="AY41" s="1884"/>
      <c r="AZ41" s="1884"/>
      <c r="BA41" s="1884">
        <f>unos!D442</f>
        <v>0</v>
      </c>
      <c r="BB41" s="1884"/>
      <c r="BC41" s="1884"/>
      <c r="BD41" s="1884"/>
      <c r="BE41" s="1884"/>
      <c r="BF41" s="1884"/>
      <c r="BG41" s="1884"/>
      <c r="BH41" s="1884"/>
      <c r="BI41" s="1884"/>
    </row>
    <row r="42" spans="1:61" ht="18" customHeight="1">
      <c r="A42" s="1869" t="s">
        <v>1097</v>
      </c>
      <c r="B42" s="1869"/>
      <c r="C42" s="1869"/>
      <c r="D42" s="1870" t="s">
        <v>940</v>
      </c>
      <c r="E42" s="1870"/>
      <c r="F42" s="1870"/>
      <c r="G42" s="1870"/>
      <c r="H42" s="1870"/>
      <c r="I42" s="1870"/>
      <c r="J42" s="1870"/>
      <c r="K42" s="1870"/>
      <c r="L42" s="1870"/>
      <c r="M42" s="1870"/>
      <c r="N42" s="1870"/>
      <c r="O42" s="1870"/>
      <c r="P42" s="1870"/>
      <c r="Q42" s="1870"/>
      <c r="R42" s="1870"/>
      <c r="S42" s="1870"/>
      <c r="T42" s="1870"/>
      <c r="U42" s="1870"/>
      <c r="V42" s="1870"/>
      <c r="W42" s="1870"/>
      <c r="X42" s="1870"/>
      <c r="Y42" s="1870"/>
      <c r="Z42" s="1870"/>
      <c r="AA42" s="1870"/>
      <c r="AB42" s="1870"/>
      <c r="AC42" s="1870"/>
      <c r="AD42" s="1870"/>
      <c r="AE42" s="1870"/>
      <c r="AF42" s="1870"/>
      <c r="AG42" s="1870"/>
      <c r="AH42" s="1870"/>
      <c r="AI42" s="1885"/>
      <c r="AJ42" s="1886"/>
      <c r="AK42" s="1887"/>
      <c r="AL42" s="1893" t="s">
        <v>2510</v>
      </c>
      <c r="AM42" s="1894"/>
      <c r="AN42" s="1895"/>
      <c r="AO42" s="1876"/>
      <c r="AP42" s="1876"/>
      <c r="AQ42" s="1876"/>
      <c r="AR42" s="1884">
        <f>unos!F443</f>
        <v>0</v>
      </c>
      <c r="AS42" s="1884"/>
      <c r="AT42" s="1884"/>
      <c r="AU42" s="1884"/>
      <c r="AV42" s="1884"/>
      <c r="AW42" s="1884"/>
      <c r="AX42" s="1884"/>
      <c r="AY42" s="1884"/>
      <c r="AZ42" s="1884"/>
      <c r="BA42" s="1884">
        <f>unos!D443</f>
        <v>0</v>
      </c>
      <c r="BB42" s="1884"/>
      <c r="BC42" s="1884"/>
      <c r="BD42" s="1884"/>
      <c r="BE42" s="1884"/>
      <c r="BF42" s="1884"/>
      <c r="BG42" s="1884"/>
      <c r="BH42" s="1884"/>
      <c r="BI42" s="1884"/>
    </row>
    <row r="43" spans="1:61" ht="18" customHeight="1">
      <c r="A43" s="1869" t="s">
        <v>1098</v>
      </c>
      <c r="B43" s="1869"/>
      <c r="C43" s="1869"/>
      <c r="D43" s="1870" t="s">
        <v>941</v>
      </c>
      <c r="E43" s="1870"/>
      <c r="F43" s="1870"/>
      <c r="G43" s="1870"/>
      <c r="H43" s="1870"/>
      <c r="I43" s="1870"/>
      <c r="J43" s="1870"/>
      <c r="K43" s="1870"/>
      <c r="L43" s="1870"/>
      <c r="M43" s="1870"/>
      <c r="N43" s="1870"/>
      <c r="O43" s="1870"/>
      <c r="P43" s="1870"/>
      <c r="Q43" s="1870"/>
      <c r="R43" s="1870"/>
      <c r="S43" s="1870"/>
      <c r="T43" s="1870"/>
      <c r="U43" s="1870"/>
      <c r="V43" s="1870"/>
      <c r="W43" s="1870"/>
      <c r="X43" s="1870"/>
      <c r="Y43" s="1870"/>
      <c r="Z43" s="1870"/>
      <c r="AA43" s="1870"/>
      <c r="AB43" s="1870"/>
      <c r="AC43" s="1870"/>
      <c r="AD43" s="1870"/>
      <c r="AE43" s="1870"/>
      <c r="AF43" s="1870"/>
      <c r="AG43" s="1870"/>
      <c r="AH43" s="1870"/>
      <c r="AI43" s="1885"/>
      <c r="AJ43" s="1886"/>
      <c r="AK43" s="1887"/>
      <c r="AL43" s="1893" t="s">
        <v>2510</v>
      </c>
      <c r="AM43" s="1894"/>
      <c r="AN43" s="1895"/>
      <c r="AO43" s="1876"/>
      <c r="AP43" s="1876"/>
      <c r="AQ43" s="1876"/>
      <c r="AR43" s="1884">
        <f>unos!F444</f>
        <v>0</v>
      </c>
      <c r="AS43" s="1884"/>
      <c r="AT43" s="1884"/>
      <c r="AU43" s="1884"/>
      <c r="AV43" s="1884"/>
      <c r="AW43" s="1884"/>
      <c r="AX43" s="1884"/>
      <c r="AY43" s="1884"/>
      <c r="AZ43" s="1884"/>
      <c r="BA43" s="1884">
        <f>unos!D444</f>
        <v>0</v>
      </c>
      <c r="BB43" s="1884"/>
      <c r="BC43" s="1884"/>
      <c r="BD43" s="1884"/>
      <c r="BE43" s="1884"/>
      <c r="BF43" s="1884"/>
      <c r="BG43" s="1884"/>
      <c r="BH43" s="1884"/>
      <c r="BI43" s="1884"/>
    </row>
    <row r="44" spans="1:61" ht="18" customHeight="1">
      <c r="A44" s="1869" t="s">
        <v>1099</v>
      </c>
      <c r="B44" s="1869"/>
      <c r="C44" s="1869"/>
      <c r="D44" s="1870" t="s">
        <v>942</v>
      </c>
      <c r="E44" s="1870"/>
      <c r="F44" s="1870"/>
      <c r="G44" s="1870"/>
      <c r="H44" s="1870"/>
      <c r="I44" s="1870"/>
      <c r="J44" s="1870"/>
      <c r="K44" s="1870"/>
      <c r="L44" s="1870"/>
      <c r="M44" s="1870"/>
      <c r="N44" s="1870"/>
      <c r="O44" s="1870"/>
      <c r="P44" s="1870"/>
      <c r="Q44" s="1870"/>
      <c r="R44" s="1870"/>
      <c r="S44" s="1870"/>
      <c r="T44" s="1870"/>
      <c r="U44" s="1870"/>
      <c r="V44" s="1870"/>
      <c r="W44" s="1870"/>
      <c r="X44" s="1870"/>
      <c r="Y44" s="1870"/>
      <c r="Z44" s="1870"/>
      <c r="AA44" s="1870"/>
      <c r="AB44" s="1870"/>
      <c r="AC44" s="1870"/>
      <c r="AD44" s="1870"/>
      <c r="AE44" s="1870"/>
      <c r="AF44" s="1870"/>
      <c r="AG44" s="1870"/>
      <c r="AH44" s="1870"/>
      <c r="AI44" s="1885"/>
      <c r="AJ44" s="1886"/>
      <c r="AK44" s="1887"/>
      <c r="AL44" s="1893" t="s">
        <v>2510</v>
      </c>
      <c r="AM44" s="1894"/>
      <c r="AN44" s="1895"/>
      <c r="AO44" s="1876"/>
      <c r="AP44" s="1876"/>
      <c r="AQ44" s="1876"/>
      <c r="AR44" s="1884">
        <f>unos!F445</f>
        <v>0</v>
      </c>
      <c r="AS44" s="1884"/>
      <c r="AT44" s="1884"/>
      <c r="AU44" s="1884"/>
      <c r="AV44" s="1884"/>
      <c r="AW44" s="1884"/>
      <c r="AX44" s="1884"/>
      <c r="AY44" s="1884"/>
      <c r="AZ44" s="1884"/>
      <c r="BA44" s="1884">
        <f>unos!D445</f>
        <v>0</v>
      </c>
      <c r="BB44" s="1884"/>
      <c r="BC44" s="1884"/>
      <c r="BD44" s="1884"/>
      <c r="BE44" s="1884"/>
      <c r="BF44" s="1884"/>
      <c r="BG44" s="1884"/>
      <c r="BH44" s="1884"/>
      <c r="BI44" s="1884"/>
    </row>
    <row r="45" spans="1:61" s="308" customFormat="1" ht="18" customHeight="1">
      <c r="A45" s="1877" t="s">
        <v>1100</v>
      </c>
      <c r="B45" s="1877"/>
      <c r="C45" s="1877"/>
      <c r="D45" s="1888" t="s">
        <v>1671</v>
      </c>
      <c r="E45" s="1888"/>
      <c r="F45" s="1888"/>
      <c r="G45" s="1888"/>
      <c r="H45" s="1888"/>
      <c r="I45" s="1888"/>
      <c r="J45" s="1888"/>
      <c r="K45" s="1888"/>
      <c r="L45" s="1888"/>
      <c r="M45" s="1888"/>
      <c r="N45" s="1888"/>
      <c r="O45" s="1888"/>
      <c r="P45" s="1888"/>
      <c r="Q45" s="1888"/>
      <c r="R45" s="1888"/>
      <c r="S45" s="1888"/>
      <c r="T45" s="1888"/>
      <c r="U45" s="1888"/>
      <c r="V45" s="1888"/>
      <c r="W45" s="1888"/>
      <c r="X45" s="1888"/>
      <c r="Y45" s="1888"/>
      <c r="Z45" s="1888"/>
      <c r="AA45" s="1888"/>
      <c r="AB45" s="1888"/>
      <c r="AC45" s="1888"/>
      <c r="AD45" s="1888"/>
      <c r="AE45" s="1888"/>
      <c r="AF45" s="1888"/>
      <c r="AG45" s="1888"/>
      <c r="AH45" s="1888"/>
      <c r="AI45" s="1885"/>
      <c r="AJ45" s="1886"/>
      <c r="AK45" s="1887"/>
      <c r="AL45" s="1893"/>
      <c r="AM45" s="1894"/>
      <c r="AN45" s="1895"/>
      <c r="AO45" s="1876">
        <v>403</v>
      </c>
      <c r="AP45" s="1876"/>
      <c r="AQ45" s="1876"/>
      <c r="AR45" s="1891">
        <f>SUM(AR38:AZ44)</f>
        <v>0</v>
      </c>
      <c r="AS45" s="1891"/>
      <c r="AT45" s="1891"/>
      <c r="AU45" s="1891"/>
      <c r="AV45" s="1891"/>
      <c r="AW45" s="1891"/>
      <c r="AX45" s="1891"/>
      <c r="AY45" s="1891"/>
      <c r="AZ45" s="1891"/>
      <c r="BA45" s="1891">
        <f>SUM(BA38:BI44)</f>
        <v>0</v>
      </c>
      <c r="BB45" s="1891"/>
      <c r="BC45" s="1891"/>
      <c r="BD45" s="1891"/>
      <c r="BE45" s="1891"/>
      <c r="BF45" s="1891"/>
      <c r="BG45" s="1891"/>
      <c r="BH45" s="1891"/>
      <c r="BI45" s="1891"/>
    </row>
    <row r="46" spans="1:61" s="308" customFormat="1" ht="18" customHeight="1">
      <c r="A46" s="1877" t="s">
        <v>1101</v>
      </c>
      <c r="B46" s="1877"/>
      <c r="C46" s="1877"/>
      <c r="D46" s="1888" t="s">
        <v>1672</v>
      </c>
      <c r="E46" s="1888"/>
      <c r="F46" s="1888"/>
      <c r="G46" s="1888"/>
      <c r="H46" s="1888"/>
      <c r="I46" s="1888"/>
      <c r="J46" s="1888"/>
      <c r="K46" s="1888"/>
      <c r="L46" s="1888"/>
      <c r="M46" s="1888"/>
      <c r="N46" s="1888"/>
      <c r="O46" s="1888"/>
      <c r="P46" s="1888"/>
      <c r="Q46" s="1888"/>
      <c r="R46" s="1888"/>
      <c r="S46" s="1888"/>
      <c r="T46" s="1888"/>
      <c r="U46" s="1888"/>
      <c r="V46" s="1888"/>
      <c r="W46" s="1888"/>
      <c r="X46" s="1888"/>
      <c r="Y46" s="1888"/>
      <c r="Z46" s="1888"/>
      <c r="AA46" s="1888"/>
      <c r="AB46" s="1888"/>
      <c r="AC46" s="1888"/>
      <c r="AD46" s="1888"/>
      <c r="AE46" s="1888"/>
      <c r="AF46" s="1888"/>
      <c r="AG46" s="1888"/>
      <c r="AH46" s="1888"/>
      <c r="AI46" s="1885"/>
      <c r="AJ46" s="1886"/>
      <c r="AK46" s="1887"/>
      <c r="AL46" s="1893"/>
      <c r="AM46" s="1894"/>
      <c r="AN46" s="1895"/>
      <c r="AO46" s="1876">
        <v>404</v>
      </c>
      <c r="AP46" s="1876"/>
      <c r="AQ46" s="1876"/>
      <c r="AR46" s="1891">
        <f>AR28+AR37+AR45</f>
        <v>0</v>
      </c>
      <c r="AS46" s="1891"/>
      <c r="AT46" s="1891"/>
      <c r="AU46" s="1891"/>
      <c r="AV46" s="1891"/>
      <c r="AW46" s="1891"/>
      <c r="AX46" s="1891"/>
      <c r="AY46" s="1891"/>
      <c r="AZ46" s="1891"/>
      <c r="BA46" s="1891">
        <f>BA28+BA37+BA45</f>
        <v>0</v>
      </c>
      <c r="BB46" s="1891"/>
      <c r="BC46" s="1891"/>
      <c r="BD46" s="1891"/>
      <c r="BE46" s="1891"/>
      <c r="BF46" s="1891"/>
      <c r="BG46" s="1891"/>
      <c r="BH46" s="1891"/>
      <c r="BI46" s="1891"/>
    </row>
    <row r="47" spans="1:61" s="434" customFormat="1" ht="18" customHeight="1">
      <c r="A47" s="313"/>
      <c r="B47" s="313"/>
      <c r="C47" s="313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  <c r="Z47" s="378"/>
      <c r="AA47" s="378"/>
      <c r="AB47" s="378"/>
      <c r="AC47" s="378"/>
      <c r="AD47" s="378"/>
      <c r="AE47" s="378"/>
      <c r="AF47" s="378"/>
      <c r="AG47" s="378"/>
      <c r="AH47" s="378"/>
      <c r="AI47" s="313"/>
      <c r="AJ47" s="313"/>
      <c r="AK47" s="313"/>
      <c r="AL47" s="313"/>
      <c r="AM47" s="313"/>
      <c r="AN47" s="313"/>
      <c r="AO47" s="428"/>
      <c r="AP47" s="428"/>
      <c r="AQ47" s="428"/>
      <c r="AR47" s="772"/>
      <c r="AS47" s="772"/>
      <c r="AT47" s="772"/>
      <c r="AU47" s="772"/>
      <c r="AV47" s="772"/>
      <c r="AW47" s="772"/>
      <c r="AX47" s="772"/>
      <c r="AY47" s="772"/>
      <c r="AZ47" s="772"/>
      <c r="BA47" s="772"/>
      <c r="BB47" s="772"/>
      <c r="BC47" s="772"/>
      <c r="BD47" s="772"/>
      <c r="BE47" s="772"/>
      <c r="BF47" s="772"/>
      <c r="BG47" s="772"/>
      <c r="BH47" s="772"/>
      <c r="BI47" s="772"/>
    </row>
    <row r="48" spans="1:61" s="434" customFormat="1" ht="18" customHeight="1">
      <c r="BE48" s="1892" t="s">
        <v>847</v>
      </c>
      <c r="BF48" s="1892"/>
      <c r="BG48" s="1892"/>
      <c r="BH48" s="1892"/>
      <c r="BI48" s="1892"/>
    </row>
    <row r="49" spans="1:61" s="434" customFormat="1" ht="18" customHeight="1">
      <c r="A49" s="427"/>
      <c r="B49" s="427"/>
      <c r="C49" s="427"/>
      <c r="D49" s="771"/>
      <c r="E49" s="771"/>
      <c r="F49" s="771"/>
      <c r="G49" s="771"/>
      <c r="H49" s="771"/>
      <c r="I49" s="771"/>
      <c r="J49" s="771"/>
      <c r="K49" s="771"/>
      <c r="L49" s="771"/>
      <c r="M49" s="771"/>
      <c r="N49" s="771"/>
      <c r="O49" s="771"/>
      <c r="P49" s="771"/>
      <c r="Q49" s="771"/>
      <c r="R49" s="771"/>
      <c r="S49" s="771"/>
      <c r="T49" s="771"/>
      <c r="U49" s="771"/>
      <c r="V49" s="771"/>
      <c r="W49" s="771"/>
      <c r="X49" s="771"/>
      <c r="Y49" s="771"/>
      <c r="Z49" s="771"/>
      <c r="AA49" s="771"/>
      <c r="AB49" s="771"/>
      <c r="AC49" s="771"/>
      <c r="AD49" s="771"/>
      <c r="AE49" s="771"/>
      <c r="AF49" s="771"/>
      <c r="AG49" s="771"/>
      <c r="AH49" s="771"/>
      <c r="AI49" s="427"/>
      <c r="AJ49" s="427"/>
      <c r="AK49" s="427"/>
      <c r="AL49" s="427"/>
      <c r="AM49" s="427"/>
      <c r="AN49" s="427"/>
      <c r="AO49" s="428"/>
      <c r="AP49" s="428"/>
      <c r="AQ49" s="428"/>
      <c r="AR49" s="772"/>
      <c r="AS49" s="772"/>
      <c r="AT49" s="772"/>
      <c r="AU49" s="772"/>
      <c r="AV49" s="772"/>
      <c r="AW49" s="772"/>
      <c r="AX49" s="772"/>
      <c r="AY49" s="772"/>
      <c r="AZ49" s="772"/>
      <c r="BA49" s="772"/>
      <c r="BB49" s="772"/>
      <c r="BC49" s="772"/>
      <c r="BD49" s="772"/>
      <c r="BE49" s="772"/>
      <c r="BF49" s="772"/>
      <c r="BG49" s="772"/>
      <c r="BH49" s="772"/>
      <c r="BI49" s="772"/>
    </row>
    <row r="50" spans="1:61" s="4" customFormat="1" ht="12.75" customHeight="1">
      <c r="A50" s="1869" t="s">
        <v>522</v>
      </c>
      <c r="B50" s="1869"/>
      <c r="C50" s="1869"/>
      <c r="D50" s="1869" t="s">
        <v>523</v>
      </c>
      <c r="E50" s="1869"/>
      <c r="F50" s="1869"/>
      <c r="G50" s="1869"/>
      <c r="H50" s="1869"/>
      <c r="I50" s="1869"/>
      <c r="J50" s="1869"/>
      <c r="K50" s="1869"/>
      <c r="L50" s="1869"/>
      <c r="M50" s="1869"/>
      <c r="N50" s="1869"/>
      <c r="O50" s="1869"/>
      <c r="P50" s="1869"/>
      <c r="Q50" s="1869"/>
      <c r="R50" s="1869"/>
      <c r="S50" s="1869"/>
      <c r="T50" s="1869"/>
      <c r="U50" s="1869"/>
      <c r="V50" s="1869"/>
      <c r="W50" s="1869"/>
      <c r="X50" s="1869"/>
      <c r="Y50" s="1869"/>
      <c r="Z50" s="1869"/>
      <c r="AA50" s="1869"/>
      <c r="AB50" s="1869"/>
      <c r="AC50" s="1869"/>
      <c r="AD50" s="1869"/>
      <c r="AE50" s="1869"/>
      <c r="AF50" s="1869"/>
      <c r="AG50" s="1869"/>
      <c r="AH50" s="1869"/>
      <c r="AI50" s="1873" t="s">
        <v>329</v>
      </c>
      <c r="AJ50" s="1874"/>
      <c r="AK50" s="1875"/>
      <c r="AL50" s="1873" t="s">
        <v>330</v>
      </c>
      <c r="AM50" s="1874"/>
      <c r="AN50" s="1875"/>
      <c r="AO50" s="1872" t="s">
        <v>330</v>
      </c>
      <c r="AP50" s="1872"/>
      <c r="AQ50" s="1872"/>
      <c r="AR50" s="1869" t="s">
        <v>1044</v>
      </c>
      <c r="AS50" s="1869"/>
      <c r="AT50" s="1869"/>
      <c r="AU50" s="1869"/>
      <c r="AV50" s="1869"/>
      <c r="AW50" s="1869"/>
      <c r="AX50" s="1869"/>
      <c r="AY50" s="1869"/>
      <c r="AZ50" s="1869"/>
      <c r="BA50" s="1890">
        <v>6</v>
      </c>
      <c r="BB50" s="1890"/>
      <c r="BC50" s="1890"/>
      <c r="BD50" s="1890"/>
      <c r="BE50" s="1890"/>
      <c r="BF50" s="1890"/>
      <c r="BG50" s="1890"/>
      <c r="BH50" s="1890"/>
      <c r="BI50" s="1890"/>
    </row>
    <row r="51" spans="1:61" s="308" customFormat="1" ht="16.5" customHeight="1">
      <c r="A51" s="1877"/>
      <c r="B51" s="1877"/>
      <c r="C51" s="1877"/>
      <c r="D51" s="1888" t="s">
        <v>1673</v>
      </c>
      <c r="E51" s="1888"/>
      <c r="F51" s="1888"/>
      <c r="G51" s="1888"/>
      <c r="H51" s="1888"/>
      <c r="I51" s="1888"/>
      <c r="J51" s="1888"/>
      <c r="K51" s="1888"/>
      <c r="L51" s="1888"/>
      <c r="M51" s="1888"/>
      <c r="N51" s="1888"/>
      <c r="O51" s="1888"/>
      <c r="P51" s="1888"/>
      <c r="Q51" s="1888"/>
      <c r="R51" s="1888"/>
      <c r="S51" s="1888"/>
      <c r="T51" s="1888"/>
      <c r="U51" s="1888"/>
      <c r="V51" s="1888"/>
      <c r="W51" s="1888"/>
      <c r="X51" s="1888"/>
      <c r="Y51" s="1888"/>
      <c r="Z51" s="1888"/>
      <c r="AA51" s="1888"/>
      <c r="AB51" s="1888"/>
      <c r="AC51" s="1888"/>
      <c r="AD51" s="1888"/>
      <c r="AE51" s="1888"/>
      <c r="AF51" s="1888"/>
      <c r="AG51" s="1888"/>
      <c r="AH51" s="1888"/>
      <c r="AI51" s="1885"/>
      <c r="AJ51" s="1886"/>
      <c r="AK51" s="1887"/>
      <c r="AL51" s="1878"/>
      <c r="AM51" s="1879"/>
      <c r="AN51" s="1880"/>
      <c r="AO51" s="1876"/>
      <c r="AP51" s="1876"/>
      <c r="AQ51" s="1876"/>
      <c r="AR51" s="1891"/>
      <c r="AS51" s="1891"/>
      <c r="AT51" s="1891"/>
      <c r="AU51" s="1891"/>
      <c r="AV51" s="1891"/>
      <c r="AW51" s="1891"/>
      <c r="AX51" s="1891"/>
      <c r="AY51" s="1891"/>
      <c r="AZ51" s="1891"/>
      <c r="BA51" s="1891"/>
      <c r="BB51" s="1891"/>
      <c r="BC51" s="1891"/>
      <c r="BD51" s="1891"/>
      <c r="BE51" s="1891"/>
      <c r="BF51" s="1891"/>
      <c r="BG51" s="1891"/>
      <c r="BH51" s="1891"/>
      <c r="BI51" s="1891"/>
    </row>
    <row r="52" spans="1:61" s="308" customFormat="1" ht="16.5" customHeight="1">
      <c r="A52" s="1878" t="s">
        <v>1102</v>
      </c>
      <c r="B52" s="1879"/>
      <c r="C52" s="1880"/>
      <c r="D52" s="1896" t="s">
        <v>2511</v>
      </c>
      <c r="E52" s="1897"/>
      <c r="F52" s="1897"/>
      <c r="G52" s="1897"/>
      <c r="H52" s="1897"/>
      <c r="I52" s="1897"/>
      <c r="J52" s="1897"/>
      <c r="K52" s="1897"/>
      <c r="L52" s="1897"/>
      <c r="M52" s="1897"/>
      <c r="N52" s="1897"/>
      <c r="O52" s="1897"/>
      <c r="P52" s="1897"/>
      <c r="Q52" s="1897"/>
      <c r="R52" s="1897"/>
      <c r="S52" s="1897"/>
      <c r="T52" s="1897"/>
      <c r="U52" s="1897"/>
      <c r="V52" s="1897"/>
      <c r="W52" s="1897"/>
      <c r="X52" s="1897"/>
      <c r="Y52" s="1897"/>
      <c r="Z52" s="1897"/>
      <c r="AA52" s="1897"/>
      <c r="AB52" s="1897"/>
      <c r="AC52" s="1897"/>
      <c r="AD52" s="1897"/>
      <c r="AE52" s="1897"/>
      <c r="AF52" s="1897"/>
      <c r="AG52" s="1897"/>
      <c r="AH52" s="1898"/>
      <c r="AI52" s="1885"/>
      <c r="AJ52" s="1886"/>
      <c r="AK52" s="1887"/>
      <c r="AL52" s="1878"/>
      <c r="AM52" s="1879"/>
      <c r="AN52" s="1880"/>
      <c r="AO52" s="1876">
        <v>405</v>
      </c>
      <c r="AP52" s="1876"/>
      <c r="AQ52" s="1876"/>
      <c r="AR52" s="1891">
        <f>SUM(AR53:AZ58)</f>
        <v>0</v>
      </c>
      <c r="AS52" s="1891"/>
      <c r="AT52" s="1891"/>
      <c r="AU52" s="1891"/>
      <c r="AV52" s="1891"/>
      <c r="AW52" s="1891"/>
      <c r="AX52" s="1891"/>
      <c r="AY52" s="1891"/>
      <c r="AZ52" s="1891"/>
      <c r="BA52" s="1891">
        <f>SUM(BA53:BI58)</f>
        <v>0</v>
      </c>
      <c r="BB52" s="1891"/>
      <c r="BC52" s="1891"/>
      <c r="BD52" s="1891"/>
      <c r="BE52" s="1891"/>
      <c r="BF52" s="1891"/>
      <c r="BG52" s="1891"/>
      <c r="BH52" s="1891"/>
      <c r="BI52" s="1891"/>
    </row>
    <row r="53" spans="1:61" ht="16.5" customHeight="1">
      <c r="A53" s="1869" t="s">
        <v>145</v>
      </c>
      <c r="B53" s="1869"/>
      <c r="C53" s="1869"/>
      <c r="D53" s="1870" t="s">
        <v>1674</v>
      </c>
      <c r="E53" s="1870"/>
      <c r="F53" s="1870"/>
      <c r="G53" s="1870"/>
      <c r="H53" s="1870"/>
      <c r="I53" s="1870"/>
      <c r="J53" s="1870"/>
      <c r="K53" s="1870"/>
      <c r="L53" s="1870"/>
      <c r="M53" s="1870"/>
      <c r="N53" s="1870"/>
      <c r="O53" s="1870"/>
      <c r="P53" s="1870"/>
      <c r="Q53" s="1870"/>
      <c r="R53" s="1870"/>
      <c r="S53" s="1870"/>
      <c r="T53" s="1870"/>
      <c r="U53" s="1870"/>
      <c r="V53" s="1870"/>
      <c r="W53" s="1870"/>
      <c r="X53" s="1870"/>
      <c r="Y53" s="1870"/>
      <c r="Z53" s="1870"/>
      <c r="AA53" s="1870"/>
      <c r="AB53" s="1870"/>
      <c r="AC53" s="1870"/>
      <c r="AD53" s="1870"/>
      <c r="AE53" s="1870"/>
      <c r="AF53" s="1870"/>
      <c r="AG53" s="1870"/>
      <c r="AH53" s="1870"/>
      <c r="AI53" s="1885"/>
      <c r="AJ53" s="1886"/>
      <c r="AK53" s="1887"/>
      <c r="AL53" s="1878" t="s">
        <v>1144</v>
      </c>
      <c r="AM53" s="1879"/>
      <c r="AN53" s="1880"/>
      <c r="AO53" s="1876">
        <v>406</v>
      </c>
      <c r="AP53" s="1876"/>
      <c r="AQ53" s="1876"/>
      <c r="AR53" s="1884">
        <f>unos!F446</f>
        <v>0</v>
      </c>
      <c r="AS53" s="1884"/>
      <c r="AT53" s="1884"/>
      <c r="AU53" s="1884"/>
      <c r="AV53" s="1884"/>
      <c r="AW53" s="1884"/>
      <c r="AX53" s="1884"/>
      <c r="AY53" s="1884"/>
      <c r="AZ53" s="1884"/>
      <c r="BA53" s="1884">
        <f>unos!D446</f>
        <v>0</v>
      </c>
      <c r="BB53" s="1884"/>
      <c r="BC53" s="1884"/>
      <c r="BD53" s="1884"/>
      <c r="BE53" s="1884"/>
      <c r="BF53" s="1884"/>
      <c r="BG53" s="1884"/>
      <c r="BH53" s="1884"/>
      <c r="BI53" s="1884"/>
    </row>
    <row r="54" spans="1:61" ht="16.5" customHeight="1">
      <c r="A54" s="1869" t="s">
        <v>1103</v>
      </c>
      <c r="B54" s="1869"/>
      <c r="C54" s="1869"/>
      <c r="D54" s="1870" t="s">
        <v>1675</v>
      </c>
      <c r="E54" s="1870"/>
      <c r="F54" s="1870"/>
      <c r="G54" s="1870"/>
      <c r="H54" s="1870"/>
      <c r="I54" s="1870"/>
      <c r="J54" s="1870"/>
      <c r="K54" s="1870"/>
      <c r="L54" s="1870"/>
      <c r="M54" s="1870"/>
      <c r="N54" s="1870"/>
      <c r="O54" s="1870"/>
      <c r="P54" s="1870"/>
      <c r="Q54" s="1870"/>
      <c r="R54" s="1870"/>
      <c r="S54" s="1870"/>
      <c r="T54" s="1870"/>
      <c r="U54" s="1870"/>
      <c r="V54" s="1870"/>
      <c r="W54" s="1870"/>
      <c r="X54" s="1870"/>
      <c r="Y54" s="1870"/>
      <c r="Z54" s="1870"/>
      <c r="AA54" s="1870"/>
      <c r="AB54" s="1870"/>
      <c r="AC54" s="1870"/>
      <c r="AD54" s="1870"/>
      <c r="AE54" s="1870"/>
      <c r="AF54" s="1870"/>
      <c r="AG54" s="1870"/>
      <c r="AH54" s="1870"/>
      <c r="AI54" s="1885"/>
      <c r="AJ54" s="1886"/>
      <c r="AK54" s="1887"/>
      <c r="AL54" s="1878" t="s">
        <v>1144</v>
      </c>
      <c r="AM54" s="1879"/>
      <c r="AN54" s="1880"/>
      <c r="AO54" s="1876">
        <v>407</v>
      </c>
      <c r="AP54" s="1876"/>
      <c r="AQ54" s="1876"/>
      <c r="AR54" s="1884">
        <f>unos!F447</f>
        <v>0</v>
      </c>
      <c r="AS54" s="1884"/>
      <c r="AT54" s="1884"/>
      <c r="AU54" s="1884"/>
      <c r="AV54" s="1884"/>
      <c r="AW54" s="1884"/>
      <c r="AX54" s="1884"/>
      <c r="AY54" s="1884"/>
      <c r="AZ54" s="1884"/>
      <c r="BA54" s="1884">
        <f>unos!D447</f>
        <v>0</v>
      </c>
      <c r="BB54" s="1884"/>
      <c r="BC54" s="1884"/>
      <c r="BD54" s="1884"/>
      <c r="BE54" s="1884"/>
      <c r="BF54" s="1884"/>
      <c r="BG54" s="1884"/>
      <c r="BH54" s="1884"/>
      <c r="BI54" s="1884"/>
    </row>
    <row r="55" spans="1:61" ht="16.5" customHeight="1">
      <c r="A55" s="1869" t="s">
        <v>1104</v>
      </c>
      <c r="B55" s="1869"/>
      <c r="C55" s="1869"/>
      <c r="D55" s="1870" t="s">
        <v>1676</v>
      </c>
      <c r="E55" s="1870"/>
      <c r="F55" s="1870"/>
      <c r="G55" s="1870"/>
      <c r="H55" s="1870"/>
      <c r="I55" s="1870"/>
      <c r="J55" s="1870"/>
      <c r="K55" s="1870"/>
      <c r="L55" s="1870"/>
      <c r="M55" s="1870"/>
      <c r="N55" s="1870"/>
      <c r="O55" s="1870"/>
      <c r="P55" s="1870"/>
      <c r="Q55" s="1870"/>
      <c r="R55" s="1870"/>
      <c r="S55" s="1870"/>
      <c r="T55" s="1870"/>
      <c r="U55" s="1870"/>
      <c r="V55" s="1870"/>
      <c r="W55" s="1870"/>
      <c r="X55" s="1870"/>
      <c r="Y55" s="1870"/>
      <c r="Z55" s="1870"/>
      <c r="AA55" s="1870"/>
      <c r="AB55" s="1870"/>
      <c r="AC55" s="1870"/>
      <c r="AD55" s="1870"/>
      <c r="AE55" s="1870"/>
      <c r="AF55" s="1870"/>
      <c r="AG55" s="1870"/>
      <c r="AH55" s="1870"/>
      <c r="AI55" s="1885"/>
      <c r="AJ55" s="1886"/>
      <c r="AK55" s="1887"/>
      <c r="AL55" s="1878" t="s">
        <v>1144</v>
      </c>
      <c r="AM55" s="1879"/>
      <c r="AN55" s="1880"/>
      <c r="AO55" s="1876">
        <v>408</v>
      </c>
      <c r="AP55" s="1876"/>
      <c r="AQ55" s="1876"/>
      <c r="AR55" s="1884">
        <f>unos!F448</f>
        <v>0</v>
      </c>
      <c r="AS55" s="1884"/>
      <c r="AT55" s="1884"/>
      <c r="AU55" s="1884"/>
      <c r="AV55" s="1884"/>
      <c r="AW55" s="1884"/>
      <c r="AX55" s="1884"/>
      <c r="AY55" s="1884"/>
      <c r="AZ55" s="1884"/>
      <c r="BA55" s="1884">
        <f>unos!D448</f>
        <v>0</v>
      </c>
      <c r="BB55" s="1884"/>
      <c r="BC55" s="1884"/>
      <c r="BD55" s="1884"/>
      <c r="BE55" s="1884"/>
      <c r="BF55" s="1884"/>
      <c r="BG55" s="1884"/>
      <c r="BH55" s="1884"/>
      <c r="BI55" s="1884"/>
    </row>
    <row r="56" spans="1:61" ht="16.5" customHeight="1">
      <c r="A56" s="1869" t="s">
        <v>1105</v>
      </c>
      <c r="B56" s="1869"/>
      <c r="C56" s="1869"/>
      <c r="D56" s="1870" t="s">
        <v>1677</v>
      </c>
      <c r="E56" s="1870"/>
      <c r="F56" s="1870"/>
      <c r="G56" s="1870"/>
      <c r="H56" s="1870"/>
      <c r="I56" s="1870"/>
      <c r="J56" s="1870"/>
      <c r="K56" s="1870"/>
      <c r="L56" s="1870"/>
      <c r="M56" s="1870"/>
      <c r="N56" s="1870"/>
      <c r="O56" s="1870"/>
      <c r="P56" s="1870"/>
      <c r="Q56" s="1870"/>
      <c r="R56" s="1870"/>
      <c r="S56" s="1870"/>
      <c r="T56" s="1870"/>
      <c r="U56" s="1870"/>
      <c r="V56" s="1870"/>
      <c r="W56" s="1870"/>
      <c r="X56" s="1870"/>
      <c r="Y56" s="1870"/>
      <c r="Z56" s="1870"/>
      <c r="AA56" s="1870"/>
      <c r="AB56" s="1870"/>
      <c r="AC56" s="1870"/>
      <c r="AD56" s="1870"/>
      <c r="AE56" s="1870"/>
      <c r="AF56" s="1870"/>
      <c r="AG56" s="1870"/>
      <c r="AH56" s="1870"/>
      <c r="AI56" s="1885"/>
      <c r="AJ56" s="1886"/>
      <c r="AK56" s="1887"/>
      <c r="AL56" s="1878" t="s">
        <v>1144</v>
      </c>
      <c r="AM56" s="1879"/>
      <c r="AN56" s="1880"/>
      <c r="AO56" s="1876">
        <v>409</v>
      </c>
      <c r="AP56" s="1876"/>
      <c r="AQ56" s="1876"/>
      <c r="AR56" s="1884">
        <f>unos!F449</f>
        <v>0</v>
      </c>
      <c r="AS56" s="1884"/>
      <c r="AT56" s="1884"/>
      <c r="AU56" s="1884"/>
      <c r="AV56" s="1884"/>
      <c r="AW56" s="1884"/>
      <c r="AX56" s="1884"/>
      <c r="AY56" s="1884"/>
      <c r="AZ56" s="1884"/>
      <c r="BA56" s="1884">
        <f>unos!D449</f>
        <v>0</v>
      </c>
      <c r="BB56" s="1884"/>
      <c r="BC56" s="1884"/>
      <c r="BD56" s="1884"/>
      <c r="BE56" s="1884"/>
      <c r="BF56" s="1884"/>
      <c r="BG56" s="1884"/>
      <c r="BH56" s="1884"/>
      <c r="BI56" s="1884"/>
    </row>
    <row r="57" spans="1:61" ht="16.5" customHeight="1">
      <c r="A57" s="1869" t="s">
        <v>817</v>
      </c>
      <c r="B57" s="1869"/>
      <c r="C57" s="1869"/>
      <c r="D57" s="1870" t="s">
        <v>1678</v>
      </c>
      <c r="E57" s="1870"/>
      <c r="F57" s="1870"/>
      <c r="G57" s="1870"/>
      <c r="H57" s="1870"/>
      <c r="I57" s="1870"/>
      <c r="J57" s="1870"/>
      <c r="K57" s="1870"/>
      <c r="L57" s="1870"/>
      <c r="M57" s="1870"/>
      <c r="N57" s="1870"/>
      <c r="O57" s="1870"/>
      <c r="P57" s="1870"/>
      <c r="Q57" s="1870"/>
      <c r="R57" s="1870"/>
      <c r="S57" s="1870"/>
      <c r="T57" s="1870"/>
      <c r="U57" s="1870"/>
      <c r="V57" s="1870"/>
      <c r="W57" s="1870"/>
      <c r="X57" s="1870"/>
      <c r="Y57" s="1870"/>
      <c r="Z57" s="1870"/>
      <c r="AA57" s="1870"/>
      <c r="AB57" s="1870"/>
      <c r="AC57" s="1870"/>
      <c r="AD57" s="1870"/>
      <c r="AE57" s="1870"/>
      <c r="AF57" s="1870"/>
      <c r="AG57" s="1870"/>
      <c r="AH57" s="1870"/>
      <c r="AI57" s="1885"/>
      <c r="AJ57" s="1886"/>
      <c r="AK57" s="1887"/>
      <c r="AL57" s="1878" t="s">
        <v>1144</v>
      </c>
      <c r="AM57" s="1879"/>
      <c r="AN57" s="1880"/>
      <c r="AO57" s="1876">
        <v>410</v>
      </c>
      <c r="AP57" s="1876"/>
      <c r="AQ57" s="1876"/>
      <c r="AR57" s="1884">
        <f>unos!F450</f>
        <v>0</v>
      </c>
      <c r="AS57" s="1884"/>
      <c r="AT57" s="1884"/>
      <c r="AU57" s="1884"/>
      <c r="AV57" s="1884"/>
      <c r="AW57" s="1884"/>
      <c r="AX57" s="1884"/>
      <c r="AY57" s="1884"/>
      <c r="AZ57" s="1884"/>
      <c r="BA57" s="1884">
        <f>unos!D450</f>
        <v>0</v>
      </c>
      <c r="BB57" s="1884"/>
      <c r="BC57" s="1884"/>
      <c r="BD57" s="1884"/>
      <c r="BE57" s="1884"/>
      <c r="BF57" s="1884"/>
      <c r="BG57" s="1884"/>
      <c r="BH57" s="1884"/>
      <c r="BI57" s="1884"/>
    </row>
    <row r="58" spans="1:61" ht="16.5" customHeight="1">
      <c r="A58" s="1869" t="s">
        <v>1106</v>
      </c>
      <c r="B58" s="1869"/>
      <c r="C58" s="1869"/>
      <c r="D58" s="1870" t="s">
        <v>1679</v>
      </c>
      <c r="E58" s="1870"/>
      <c r="F58" s="1870"/>
      <c r="G58" s="1870"/>
      <c r="H58" s="1870"/>
      <c r="I58" s="1870"/>
      <c r="J58" s="1870"/>
      <c r="K58" s="1870"/>
      <c r="L58" s="1870"/>
      <c r="M58" s="1870"/>
      <c r="N58" s="1870"/>
      <c r="O58" s="1870"/>
      <c r="P58" s="1870"/>
      <c r="Q58" s="1870"/>
      <c r="R58" s="1870"/>
      <c r="S58" s="1870"/>
      <c r="T58" s="1870"/>
      <c r="U58" s="1870"/>
      <c r="V58" s="1870"/>
      <c r="W58" s="1870"/>
      <c r="X58" s="1870"/>
      <c r="Y58" s="1870"/>
      <c r="Z58" s="1870"/>
      <c r="AA58" s="1870"/>
      <c r="AB58" s="1870"/>
      <c r="AC58" s="1870"/>
      <c r="AD58" s="1870"/>
      <c r="AE58" s="1870"/>
      <c r="AF58" s="1870"/>
      <c r="AG58" s="1870"/>
      <c r="AH58" s="1870"/>
      <c r="AI58" s="1885"/>
      <c r="AJ58" s="1886"/>
      <c r="AK58" s="1887"/>
      <c r="AL58" s="1878" t="s">
        <v>1144</v>
      </c>
      <c r="AM58" s="1879"/>
      <c r="AN58" s="1880"/>
      <c r="AO58" s="1876">
        <v>411</v>
      </c>
      <c r="AP58" s="1876"/>
      <c r="AQ58" s="1876"/>
      <c r="AR58" s="1884">
        <f>unos!F451</f>
        <v>0</v>
      </c>
      <c r="AS58" s="1884"/>
      <c r="AT58" s="1884"/>
      <c r="AU58" s="1884"/>
      <c r="AV58" s="1884"/>
      <c r="AW58" s="1884"/>
      <c r="AX58" s="1884"/>
      <c r="AY58" s="1884"/>
      <c r="AZ58" s="1884"/>
      <c r="BA58" s="1884">
        <f>unos!D451</f>
        <v>0</v>
      </c>
      <c r="BB58" s="1884"/>
      <c r="BC58" s="1884"/>
      <c r="BD58" s="1884"/>
      <c r="BE58" s="1884"/>
      <c r="BF58" s="1884"/>
      <c r="BG58" s="1884"/>
      <c r="BH58" s="1884"/>
      <c r="BI58" s="1884"/>
    </row>
    <row r="59" spans="1:61" ht="16.5" customHeight="1">
      <c r="A59" s="1877" t="s">
        <v>1107</v>
      </c>
      <c r="B59" s="1877"/>
      <c r="C59" s="1877"/>
      <c r="D59" s="1888" t="s">
        <v>2512</v>
      </c>
      <c r="E59" s="1888"/>
      <c r="F59" s="1888"/>
      <c r="G59" s="1888"/>
      <c r="H59" s="1888"/>
      <c r="I59" s="1888"/>
      <c r="J59" s="1888"/>
      <c r="K59" s="1888"/>
      <c r="L59" s="1888"/>
      <c r="M59" s="1888"/>
      <c r="N59" s="1888"/>
      <c r="O59" s="1888"/>
      <c r="P59" s="1888"/>
      <c r="Q59" s="1888"/>
      <c r="R59" s="1888"/>
      <c r="S59" s="1888"/>
      <c r="T59" s="1888"/>
      <c r="U59" s="1888"/>
      <c r="V59" s="1888"/>
      <c r="W59" s="1888"/>
      <c r="X59" s="1888"/>
      <c r="Y59" s="1888"/>
      <c r="Z59" s="1888"/>
      <c r="AA59" s="1888"/>
      <c r="AB59" s="1888"/>
      <c r="AC59" s="1888"/>
      <c r="AD59" s="1888"/>
      <c r="AE59" s="1888"/>
      <c r="AF59" s="1888"/>
      <c r="AG59" s="1888"/>
      <c r="AH59" s="1888"/>
      <c r="AI59" s="1885"/>
      <c r="AJ59" s="1886"/>
      <c r="AK59" s="1887"/>
      <c r="AL59" s="1878"/>
      <c r="AM59" s="1879"/>
      <c r="AN59" s="1880"/>
      <c r="AO59" s="1876">
        <v>412</v>
      </c>
      <c r="AP59" s="1876"/>
      <c r="AQ59" s="1876"/>
      <c r="AR59" s="1891">
        <f>AR60+AR61+AR62+AR63</f>
        <v>0</v>
      </c>
      <c r="AS59" s="1891"/>
      <c r="AT59" s="1891"/>
      <c r="AU59" s="1891"/>
      <c r="AV59" s="1891"/>
      <c r="AW59" s="1891"/>
      <c r="AX59" s="1891"/>
      <c r="AY59" s="1891"/>
      <c r="AZ59" s="1891"/>
      <c r="BA59" s="1891">
        <f>BA60+BA61+BA62+BA63</f>
        <v>0</v>
      </c>
      <c r="BB59" s="1891"/>
      <c r="BC59" s="1891"/>
      <c r="BD59" s="1891"/>
      <c r="BE59" s="1891"/>
      <c r="BF59" s="1891"/>
      <c r="BG59" s="1891"/>
      <c r="BH59" s="1891"/>
      <c r="BI59" s="1891"/>
    </row>
    <row r="60" spans="1:61" ht="16.5" customHeight="1">
      <c r="A60" s="1869" t="s">
        <v>1108</v>
      </c>
      <c r="B60" s="1869"/>
      <c r="C60" s="1869"/>
      <c r="D60" s="1870" t="s">
        <v>1680</v>
      </c>
      <c r="E60" s="1870"/>
      <c r="F60" s="1870"/>
      <c r="G60" s="1870"/>
      <c r="H60" s="1870"/>
      <c r="I60" s="1870"/>
      <c r="J60" s="1870"/>
      <c r="K60" s="1870"/>
      <c r="L60" s="1870"/>
      <c r="M60" s="1870"/>
      <c r="N60" s="1870"/>
      <c r="O60" s="1870"/>
      <c r="P60" s="1870"/>
      <c r="Q60" s="1870"/>
      <c r="R60" s="1870"/>
      <c r="S60" s="1870"/>
      <c r="T60" s="1870"/>
      <c r="U60" s="1870"/>
      <c r="V60" s="1870"/>
      <c r="W60" s="1870"/>
      <c r="X60" s="1870"/>
      <c r="Y60" s="1870"/>
      <c r="Z60" s="1870"/>
      <c r="AA60" s="1870"/>
      <c r="AB60" s="1870"/>
      <c r="AC60" s="1870"/>
      <c r="AD60" s="1870"/>
      <c r="AE60" s="1870"/>
      <c r="AF60" s="1870"/>
      <c r="AG60" s="1870"/>
      <c r="AH60" s="1870"/>
      <c r="AI60" s="1885"/>
      <c r="AJ60" s="1886"/>
      <c r="AK60" s="1887"/>
      <c r="AL60" s="1878" t="s">
        <v>1145</v>
      </c>
      <c r="AM60" s="1879"/>
      <c r="AN60" s="1880"/>
      <c r="AO60" s="1876">
        <v>413</v>
      </c>
      <c r="AP60" s="1876"/>
      <c r="AQ60" s="1876"/>
      <c r="AR60" s="1884">
        <f>unos!F452</f>
        <v>0</v>
      </c>
      <c r="AS60" s="1884"/>
      <c r="AT60" s="1884"/>
      <c r="AU60" s="1884"/>
      <c r="AV60" s="1884"/>
      <c r="AW60" s="1884"/>
      <c r="AX60" s="1884"/>
      <c r="AY60" s="1884"/>
      <c r="AZ60" s="1884"/>
      <c r="BA60" s="1884">
        <f>unos!D452</f>
        <v>0</v>
      </c>
      <c r="BB60" s="1884"/>
      <c r="BC60" s="1884"/>
      <c r="BD60" s="1884"/>
      <c r="BE60" s="1884"/>
      <c r="BF60" s="1884"/>
      <c r="BG60" s="1884"/>
      <c r="BH60" s="1884"/>
      <c r="BI60" s="1884"/>
    </row>
    <row r="61" spans="1:61" ht="16.5" customHeight="1">
      <c r="A61" s="1869" t="s">
        <v>1109</v>
      </c>
      <c r="B61" s="1869"/>
      <c r="C61" s="1869"/>
      <c r="D61" s="1870" t="s">
        <v>2484</v>
      </c>
      <c r="E61" s="1870"/>
      <c r="F61" s="1870"/>
      <c r="G61" s="1870"/>
      <c r="H61" s="1870"/>
      <c r="I61" s="1870"/>
      <c r="J61" s="1870"/>
      <c r="K61" s="1870"/>
      <c r="L61" s="1870"/>
      <c r="M61" s="1870"/>
      <c r="N61" s="1870"/>
      <c r="O61" s="1870"/>
      <c r="P61" s="1870"/>
      <c r="Q61" s="1870"/>
      <c r="R61" s="1870"/>
      <c r="S61" s="1870"/>
      <c r="T61" s="1870"/>
      <c r="U61" s="1870"/>
      <c r="V61" s="1870"/>
      <c r="W61" s="1870"/>
      <c r="X61" s="1870"/>
      <c r="Y61" s="1870"/>
      <c r="Z61" s="1870"/>
      <c r="AA61" s="1870"/>
      <c r="AB61" s="1870"/>
      <c r="AC61" s="1870"/>
      <c r="AD61" s="1870"/>
      <c r="AE61" s="1870"/>
      <c r="AF61" s="1870"/>
      <c r="AG61" s="1870"/>
      <c r="AH61" s="1870"/>
      <c r="AI61" s="1885"/>
      <c r="AJ61" s="1886"/>
      <c r="AK61" s="1887"/>
      <c r="AL61" s="1878" t="s">
        <v>1145</v>
      </c>
      <c r="AM61" s="1879"/>
      <c r="AN61" s="1880"/>
      <c r="AO61" s="1876">
        <v>414</v>
      </c>
      <c r="AP61" s="1876"/>
      <c r="AQ61" s="1876"/>
      <c r="AR61" s="1884">
        <f>unos!F453</f>
        <v>0</v>
      </c>
      <c r="AS61" s="1884"/>
      <c r="AT61" s="1884"/>
      <c r="AU61" s="1884"/>
      <c r="AV61" s="1884"/>
      <c r="AW61" s="1884"/>
      <c r="AX61" s="1884"/>
      <c r="AY61" s="1884"/>
      <c r="AZ61" s="1884"/>
      <c r="BA61" s="1884">
        <f>unos!D453</f>
        <v>0</v>
      </c>
      <c r="BB61" s="1884"/>
      <c r="BC61" s="1884"/>
      <c r="BD61" s="1884"/>
      <c r="BE61" s="1884"/>
      <c r="BF61" s="1884"/>
      <c r="BG61" s="1884"/>
      <c r="BH61" s="1884"/>
      <c r="BI61" s="1884"/>
    </row>
    <row r="62" spans="1:61" s="308" customFormat="1" ht="16.5" customHeight="1">
      <c r="A62" s="1872" t="s">
        <v>1110</v>
      </c>
      <c r="B62" s="1872"/>
      <c r="C62" s="1872"/>
      <c r="D62" s="1881" t="s">
        <v>2485</v>
      </c>
      <c r="E62" s="1881"/>
      <c r="F62" s="1881"/>
      <c r="G62" s="1881"/>
      <c r="H62" s="1881"/>
      <c r="I62" s="1881"/>
      <c r="J62" s="1881"/>
      <c r="K62" s="1881"/>
      <c r="L62" s="1881"/>
      <c r="M62" s="1881"/>
      <c r="N62" s="1881"/>
      <c r="O62" s="1881"/>
      <c r="P62" s="1881"/>
      <c r="Q62" s="1881"/>
      <c r="R62" s="1881"/>
      <c r="S62" s="1881"/>
      <c r="T62" s="1881"/>
      <c r="U62" s="1881"/>
      <c r="V62" s="1881"/>
      <c r="W62" s="1881"/>
      <c r="X62" s="1881"/>
      <c r="Y62" s="1881"/>
      <c r="Z62" s="1881"/>
      <c r="AA62" s="1881"/>
      <c r="AB62" s="1881"/>
      <c r="AC62" s="1881"/>
      <c r="AD62" s="1881"/>
      <c r="AE62" s="1881"/>
      <c r="AF62" s="1881"/>
      <c r="AG62" s="1881"/>
      <c r="AH62" s="1881"/>
      <c r="AI62" s="1885"/>
      <c r="AJ62" s="1886"/>
      <c r="AK62" s="1887"/>
      <c r="AL62" s="1878" t="s">
        <v>1145</v>
      </c>
      <c r="AM62" s="1879"/>
      <c r="AN62" s="1880"/>
      <c r="AO62" s="1876">
        <v>415</v>
      </c>
      <c r="AP62" s="1876"/>
      <c r="AQ62" s="1876"/>
      <c r="AR62" s="1884">
        <f>unos!F454</f>
        <v>0</v>
      </c>
      <c r="AS62" s="1884"/>
      <c r="AT62" s="1884"/>
      <c r="AU62" s="1884"/>
      <c r="AV62" s="1884"/>
      <c r="AW62" s="1884"/>
      <c r="AX62" s="1884"/>
      <c r="AY62" s="1884"/>
      <c r="AZ62" s="1884"/>
      <c r="BA62" s="1884">
        <f>unos!D454</f>
        <v>0</v>
      </c>
      <c r="BB62" s="1884"/>
      <c r="BC62" s="1884"/>
      <c r="BD62" s="1884"/>
      <c r="BE62" s="1884"/>
      <c r="BF62" s="1884"/>
      <c r="BG62" s="1884"/>
      <c r="BH62" s="1884"/>
      <c r="BI62" s="1884"/>
    </row>
    <row r="63" spans="1:61" s="308" customFormat="1" ht="16.5" customHeight="1">
      <c r="A63" s="1872" t="s">
        <v>1111</v>
      </c>
      <c r="B63" s="1872"/>
      <c r="C63" s="1872"/>
      <c r="D63" s="1881" t="s">
        <v>2486</v>
      </c>
      <c r="E63" s="1881"/>
      <c r="F63" s="1881"/>
      <c r="G63" s="1881"/>
      <c r="H63" s="1881"/>
      <c r="I63" s="1881"/>
      <c r="J63" s="1881"/>
      <c r="K63" s="1881"/>
      <c r="L63" s="1881"/>
      <c r="M63" s="1881"/>
      <c r="N63" s="1881"/>
      <c r="O63" s="1881"/>
      <c r="P63" s="1881"/>
      <c r="Q63" s="1881"/>
      <c r="R63" s="1881"/>
      <c r="S63" s="1881"/>
      <c r="T63" s="1881"/>
      <c r="U63" s="1881"/>
      <c r="V63" s="1881"/>
      <c r="W63" s="1881"/>
      <c r="X63" s="1881"/>
      <c r="Y63" s="1881"/>
      <c r="Z63" s="1881"/>
      <c r="AA63" s="1881"/>
      <c r="AB63" s="1881"/>
      <c r="AC63" s="1881"/>
      <c r="AD63" s="1881"/>
      <c r="AE63" s="1881"/>
      <c r="AF63" s="1881"/>
      <c r="AG63" s="1881"/>
      <c r="AH63" s="1881"/>
      <c r="AI63" s="1885"/>
      <c r="AJ63" s="1886"/>
      <c r="AK63" s="1887"/>
      <c r="AL63" s="1878" t="s">
        <v>1145</v>
      </c>
      <c r="AM63" s="1879"/>
      <c r="AN63" s="1880"/>
      <c r="AO63" s="1876">
        <v>416</v>
      </c>
      <c r="AP63" s="1876"/>
      <c r="AQ63" s="1876"/>
      <c r="AR63" s="1884">
        <f>unos!F455</f>
        <v>0</v>
      </c>
      <c r="AS63" s="1884"/>
      <c r="AT63" s="1884"/>
      <c r="AU63" s="1884"/>
      <c r="AV63" s="1884"/>
      <c r="AW63" s="1884"/>
      <c r="AX63" s="1884"/>
      <c r="AY63" s="1884"/>
      <c r="AZ63" s="1884"/>
      <c r="BA63" s="1884">
        <f>unos!D455</f>
        <v>0</v>
      </c>
      <c r="BB63" s="1884"/>
      <c r="BC63" s="1884"/>
      <c r="BD63" s="1884"/>
      <c r="BE63" s="1884"/>
      <c r="BF63" s="1884"/>
      <c r="BG63" s="1884"/>
      <c r="BH63" s="1884"/>
      <c r="BI63" s="1884"/>
    </row>
    <row r="64" spans="1:61" ht="16.5" customHeight="1">
      <c r="A64" s="1877" t="s">
        <v>1112</v>
      </c>
      <c r="B64" s="1877"/>
      <c r="C64" s="1877"/>
      <c r="D64" s="1888" t="s">
        <v>2513</v>
      </c>
      <c r="E64" s="1888"/>
      <c r="F64" s="1888"/>
      <c r="G64" s="1888"/>
      <c r="H64" s="1888"/>
      <c r="I64" s="1888"/>
      <c r="J64" s="1888"/>
      <c r="K64" s="1888"/>
      <c r="L64" s="1888"/>
      <c r="M64" s="1888"/>
      <c r="N64" s="1888"/>
      <c r="O64" s="1888"/>
      <c r="P64" s="1888"/>
      <c r="Q64" s="1888"/>
      <c r="R64" s="1888"/>
      <c r="S64" s="1888"/>
      <c r="T64" s="1888"/>
      <c r="U64" s="1888"/>
      <c r="V64" s="1888"/>
      <c r="W64" s="1888"/>
      <c r="X64" s="1888"/>
      <c r="Y64" s="1888"/>
      <c r="Z64" s="1888"/>
      <c r="AA64" s="1888"/>
      <c r="AB64" s="1888"/>
      <c r="AC64" s="1888"/>
      <c r="AD64" s="1888"/>
      <c r="AE64" s="1888"/>
      <c r="AF64" s="1888"/>
      <c r="AG64" s="1888"/>
      <c r="AH64" s="1888"/>
      <c r="AI64" s="1885"/>
      <c r="AJ64" s="1886"/>
      <c r="AK64" s="1887"/>
      <c r="AL64" s="1878"/>
      <c r="AM64" s="1879"/>
      <c r="AN64" s="1880"/>
      <c r="AO64" s="1876">
        <v>417</v>
      </c>
      <c r="AP64" s="1876"/>
      <c r="AQ64" s="1876"/>
      <c r="AR64" s="1891">
        <f>IF(AR52-AR59&lt;=0,0,AR52-AR59)</f>
        <v>0</v>
      </c>
      <c r="AS64" s="1891"/>
      <c r="AT64" s="1891"/>
      <c r="AU64" s="1891"/>
      <c r="AV64" s="1891"/>
      <c r="AW64" s="1891"/>
      <c r="AX64" s="1891"/>
      <c r="AY64" s="1891"/>
      <c r="AZ64" s="1891"/>
      <c r="BA64" s="1891">
        <f>IF(BA52-BA59&lt;=0,0,BA52-BA59)</f>
        <v>0</v>
      </c>
      <c r="BB64" s="1891"/>
      <c r="BC64" s="1891"/>
      <c r="BD64" s="1891"/>
      <c r="BE64" s="1891"/>
      <c r="BF64" s="1891"/>
      <c r="BG64" s="1891"/>
      <c r="BH64" s="1891"/>
      <c r="BI64" s="1891"/>
    </row>
    <row r="65" spans="1:61" ht="16.5" customHeight="1">
      <c r="A65" s="1877" t="s">
        <v>1113</v>
      </c>
      <c r="B65" s="1877"/>
      <c r="C65" s="1877"/>
      <c r="D65" s="1888" t="s">
        <v>2514</v>
      </c>
      <c r="E65" s="1888"/>
      <c r="F65" s="1888"/>
      <c r="G65" s="1888"/>
      <c r="H65" s="1888"/>
      <c r="I65" s="1888"/>
      <c r="J65" s="1888"/>
      <c r="K65" s="1888"/>
      <c r="L65" s="1888"/>
      <c r="M65" s="1888"/>
      <c r="N65" s="1888"/>
      <c r="O65" s="1888"/>
      <c r="P65" s="1888"/>
      <c r="Q65" s="1888"/>
      <c r="R65" s="1888"/>
      <c r="S65" s="1888"/>
      <c r="T65" s="1888"/>
      <c r="U65" s="1888"/>
      <c r="V65" s="1888"/>
      <c r="W65" s="1888"/>
      <c r="X65" s="1888"/>
      <c r="Y65" s="1888"/>
      <c r="Z65" s="1888"/>
      <c r="AA65" s="1888"/>
      <c r="AB65" s="1888"/>
      <c r="AC65" s="1888"/>
      <c r="AD65" s="1888"/>
      <c r="AE65" s="1888"/>
      <c r="AF65" s="1888"/>
      <c r="AG65" s="1888"/>
      <c r="AH65" s="1888"/>
      <c r="AI65" s="1885"/>
      <c r="AJ65" s="1886"/>
      <c r="AK65" s="1887"/>
      <c r="AL65" s="1878"/>
      <c r="AM65" s="1879"/>
      <c r="AN65" s="1880"/>
      <c r="AO65" s="1876">
        <v>418</v>
      </c>
      <c r="AP65" s="1876"/>
      <c r="AQ65" s="1876"/>
      <c r="AR65" s="1891">
        <f>IF(AR59-AR52&lt;=0,0,AR59-AR52)</f>
        <v>0</v>
      </c>
      <c r="AS65" s="1891"/>
      <c r="AT65" s="1891"/>
      <c r="AU65" s="1891"/>
      <c r="AV65" s="1891"/>
      <c r="AW65" s="1891"/>
      <c r="AX65" s="1891"/>
      <c r="AY65" s="1891"/>
      <c r="AZ65" s="1891"/>
      <c r="BA65" s="1891">
        <f>IF(BA59-BA52&lt;=0,0,BA59-BA52)</f>
        <v>0</v>
      </c>
      <c r="BB65" s="1891"/>
      <c r="BC65" s="1891"/>
      <c r="BD65" s="1891"/>
      <c r="BE65" s="1891"/>
      <c r="BF65" s="1891"/>
      <c r="BG65" s="1891"/>
      <c r="BH65" s="1891"/>
      <c r="BI65" s="1891"/>
    </row>
    <row r="66" spans="1:61" ht="16.5" customHeight="1">
      <c r="A66" s="1869"/>
      <c r="B66" s="1869"/>
      <c r="C66" s="1869"/>
      <c r="D66" s="1870" t="s">
        <v>2487</v>
      </c>
      <c r="E66" s="1870"/>
      <c r="F66" s="1870"/>
      <c r="G66" s="1870"/>
      <c r="H66" s="1870"/>
      <c r="I66" s="1870"/>
      <c r="J66" s="1870"/>
      <c r="K66" s="1870"/>
      <c r="L66" s="1870"/>
      <c r="M66" s="1870"/>
      <c r="N66" s="1870"/>
      <c r="O66" s="1870"/>
      <c r="P66" s="1870"/>
      <c r="Q66" s="1870"/>
      <c r="R66" s="1870"/>
      <c r="S66" s="1870"/>
      <c r="T66" s="1870"/>
      <c r="U66" s="1870"/>
      <c r="V66" s="1870"/>
      <c r="W66" s="1870"/>
      <c r="X66" s="1870"/>
      <c r="Y66" s="1870"/>
      <c r="Z66" s="1870"/>
      <c r="AA66" s="1870"/>
      <c r="AB66" s="1870"/>
      <c r="AC66" s="1870"/>
      <c r="AD66" s="1870"/>
      <c r="AE66" s="1870"/>
      <c r="AF66" s="1870"/>
      <c r="AG66" s="1870"/>
      <c r="AH66" s="1870"/>
      <c r="AI66" s="1885"/>
      <c r="AJ66" s="1886"/>
      <c r="AK66" s="1887"/>
      <c r="AL66" s="1878"/>
      <c r="AM66" s="1879"/>
      <c r="AN66" s="1880"/>
      <c r="AO66" s="1876"/>
      <c r="AP66" s="1876"/>
      <c r="AQ66" s="1876"/>
      <c r="AR66" s="1884"/>
      <c r="AS66" s="1884"/>
      <c r="AT66" s="1884"/>
      <c r="AU66" s="1884"/>
      <c r="AV66" s="1884"/>
      <c r="AW66" s="1884"/>
      <c r="AX66" s="1884"/>
      <c r="AY66" s="1884"/>
      <c r="AZ66" s="1884"/>
      <c r="BA66" s="1884"/>
      <c r="BB66" s="1884"/>
      <c r="BC66" s="1884"/>
      <c r="BD66" s="1884"/>
      <c r="BE66" s="1884"/>
      <c r="BF66" s="1884"/>
      <c r="BG66" s="1884"/>
      <c r="BH66" s="1884"/>
      <c r="BI66" s="1884"/>
    </row>
    <row r="67" spans="1:61" ht="16.5" customHeight="1">
      <c r="A67" s="1877" t="s">
        <v>1114</v>
      </c>
      <c r="B67" s="1877"/>
      <c r="C67" s="1877"/>
      <c r="D67" s="1888" t="s">
        <v>2515</v>
      </c>
      <c r="E67" s="1888"/>
      <c r="F67" s="1888"/>
      <c r="G67" s="1888"/>
      <c r="H67" s="1888"/>
      <c r="I67" s="1888"/>
      <c r="J67" s="1888"/>
      <c r="K67" s="1888"/>
      <c r="L67" s="1888"/>
      <c r="M67" s="1888"/>
      <c r="N67" s="1888"/>
      <c r="O67" s="1888"/>
      <c r="P67" s="1888"/>
      <c r="Q67" s="1888"/>
      <c r="R67" s="1888"/>
      <c r="S67" s="1888"/>
      <c r="T67" s="1888"/>
      <c r="U67" s="1888"/>
      <c r="V67" s="1888"/>
      <c r="W67" s="1888"/>
      <c r="X67" s="1888"/>
      <c r="Y67" s="1888"/>
      <c r="Z67" s="1888"/>
      <c r="AA67" s="1888"/>
      <c r="AB67" s="1888"/>
      <c r="AC67" s="1888"/>
      <c r="AD67" s="1888"/>
      <c r="AE67" s="1888"/>
      <c r="AF67" s="1888"/>
      <c r="AG67" s="1888"/>
      <c r="AH67" s="1888"/>
      <c r="AI67" s="1885"/>
      <c r="AJ67" s="1886"/>
      <c r="AK67" s="1887"/>
      <c r="AL67" s="1878"/>
      <c r="AM67" s="1879"/>
      <c r="AN67" s="1880"/>
      <c r="AO67" s="1876">
        <v>419</v>
      </c>
      <c r="AP67" s="1876"/>
      <c r="AQ67" s="1876"/>
      <c r="AR67" s="1891">
        <f>AR68+AR69+AR70+AR71</f>
        <v>0</v>
      </c>
      <c r="AS67" s="1891"/>
      <c r="AT67" s="1891"/>
      <c r="AU67" s="1891"/>
      <c r="AV67" s="1891"/>
      <c r="AW67" s="1891"/>
      <c r="AX67" s="1891"/>
      <c r="AY67" s="1891"/>
      <c r="AZ67" s="1891"/>
      <c r="BA67" s="1891">
        <f>BA68+BA69+BA70+BA71</f>
        <v>0</v>
      </c>
      <c r="BB67" s="1891"/>
      <c r="BC67" s="1891"/>
      <c r="BD67" s="1891"/>
      <c r="BE67" s="1891"/>
      <c r="BF67" s="1891"/>
      <c r="BG67" s="1891"/>
      <c r="BH67" s="1891"/>
      <c r="BI67" s="1891"/>
    </row>
    <row r="68" spans="1:61" ht="16.5" customHeight="1">
      <c r="A68" s="1869" t="s">
        <v>1115</v>
      </c>
      <c r="B68" s="1869"/>
      <c r="C68" s="1869"/>
      <c r="D68" s="1870" t="s">
        <v>2488</v>
      </c>
      <c r="E68" s="1870"/>
      <c r="F68" s="1870"/>
      <c r="G68" s="1870"/>
      <c r="H68" s="1870"/>
      <c r="I68" s="1870"/>
      <c r="J68" s="1870"/>
      <c r="K68" s="1870"/>
      <c r="L68" s="1870"/>
      <c r="M68" s="1870"/>
      <c r="N68" s="1870"/>
      <c r="O68" s="1870"/>
      <c r="P68" s="1870"/>
      <c r="Q68" s="1870"/>
      <c r="R68" s="1870"/>
      <c r="S68" s="1870"/>
      <c r="T68" s="1870"/>
      <c r="U68" s="1870"/>
      <c r="V68" s="1870"/>
      <c r="W68" s="1870"/>
      <c r="X68" s="1870"/>
      <c r="Y68" s="1870"/>
      <c r="Z68" s="1870"/>
      <c r="AA68" s="1870"/>
      <c r="AB68" s="1870"/>
      <c r="AC68" s="1870"/>
      <c r="AD68" s="1870"/>
      <c r="AE68" s="1870"/>
      <c r="AF68" s="1870"/>
      <c r="AG68" s="1870"/>
      <c r="AH68" s="1870"/>
      <c r="AI68" s="1885"/>
      <c r="AJ68" s="1886"/>
      <c r="AK68" s="1887"/>
      <c r="AL68" s="1878" t="s">
        <v>1144</v>
      </c>
      <c r="AM68" s="1879"/>
      <c r="AN68" s="1880"/>
      <c r="AO68" s="1876">
        <v>420</v>
      </c>
      <c r="AP68" s="1876"/>
      <c r="AQ68" s="1876"/>
      <c r="AR68" s="1884">
        <f>unos!F456</f>
        <v>0</v>
      </c>
      <c r="AS68" s="1884"/>
      <c r="AT68" s="1884"/>
      <c r="AU68" s="1884"/>
      <c r="AV68" s="1884"/>
      <c r="AW68" s="1884"/>
      <c r="AX68" s="1884"/>
      <c r="AY68" s="1884"/>
      <c r="AZ68" s="1884"/>
      <c r="BA68" s="1884">
        <f>unos!D456</f>
        <v>0</v>
      </c>
      <c r="BB68" s="1884"/>
      <c r="BC68" s="1884"/>
      <c r="BD68" s="1884"/>
      <c r="BE68" s="1884"/>
      <c r="BF68" s="1884"/>
      <c r="BG68" s="1884"/>
      <c r="BH68" s="1884"/>
      <c r="BI68" s="1884"/>
    </row>
    <row r="69" spans="1:61" ht="16.5" customHeight="1">
      <c r="A69" s="1869" t="s">
        <v>1116</v>
      </c>
      <c r="B69" s="1869"/>
      <c r="C69" s="1869"/>
      <c r="D69" s="1870" t="s">
        <v>2489</v>
      </c>
      <c r="E69" s="1870"/>
      <c r="F69" s="1870"/>
      <c r="G69" s="1870"/>
      <c r="H69" s="1870"/>
      <c r="I69" s="1870"/>
      <c r="J69" s="1870"/>
      <c r="K69" s="1870"/>
      <c r="L69" s="1870"/>
      <c r="M69" s="1870"/>
      <c r="N69" s="1870"/>
      <c r="O69" s="1870"/>
      <c r="P69" s="1870"/>
      <c r="Q69" s="1870"/>
      <c r="R69" s="1870"/>
      <c r="S69" s="1870"/>
      <c r="T69" s="1870"/>
      <c r="U69" s="1870"/>
      <c r="V69" s="1870"/>
      <c r="W69" s="1870"/>
      <c r="X69" s="1870"/>
      <c r="Y69" s="1870"/>
      <c r="Z69" s="1870"/>
      <c r="AA69" s="1870"/>
      <c r="AB69" s="1870"/>
      <c r="AC69" s="1870"/>
      <c r="AD69" s="1870"/>
      <c r="AE69" s="1870"/>
      <c r="AF69" s="1870"/>
      <c r="AG69" s="1870"/>
      <c r="AH69" s="1870"/>
      <c r="AI69" s="1885"/>
      <c r="AJ69" s="1886"/>
      <c r="AK69" s="1887"/>
      <c r="AL69" s="1878" t="s">
        <v>1144</v>
      </c>
      <c r="AM69" s="1879"/>
      <c r="AN69" s="1880"/>
      <c r="AO69" s="1876">
        <v>421</v>
      </c>
      <c r="AP69" s="1876"/>
      <c r="AQ69" s="1876"/>
      <c r="AR69" s="1884">
        <f>unos!F457</f>
        <v>0</v>
      </c>
      <c r="AS69" s="1884"/>
      <c r="AT69" s="1884"/>
      <c r="AU69" s="1884"/>
      <c r="AV69" s="1884"/>
      <c r="AW69" s="1884"/>
      <c r="AX69" s="1884"/>
      <c r="AY69" s="1884"/>
      <c r="AZ69" s="1884"/>
      <c r="BA69" s="1884">
        <f>unos!D457</f>
        <v>0</v>
      </c>
      <c r="BB69" s="1884"/>
      <c r="BC69" s="1884"/>
      <c r="BD69" s="1884"/>
      <c r="BE69" s="1884"/>
      <c r="BF69" s="1884"/>
      <c r="BG69" s="1884"/>
      <c r="BH69" s="1884"/>
      <c r="BI69" s="1884"/>
    </row>
    <row r="70" spans="1:61" ht="16.5" customHeight="1">
      <c r="A70" s="1869" t="s">
        <v>1117</v>
      </c>
      <c r="B70" s="1869"/>
      <c r="C70" s="1869"/>
      <c r="D70" s="1870" t="s">
        <v>2490</v>
      </c>
      <c r="E70" s="1870"/>
      <c r="F70" s="1870"/>
      <c r="G70" s="1870"/>
      <c r="H70" s="1870"/>
      <c r="I70" s="1870"/>
      <c r="J70" s="1870"/>
      <c r="K70" s="1870"/>
      <c r="L70" s="1870"/>
      <c r="M70" s="1870"/>
      <c r="N70" s="1870"/>
      <c r="O70" s="1870"/>
      <c r="P70" s="1870"/>
      <c r="Q70" s="1870"/>
      <c r="R70" s="1870"/>
      <c r="S70" s="1870"/>
      <c r="T70" s="1870"/>
      <c r="U70" s="1870"/>
      <c r="V70" s="1870"/>
      <c r="W70" s="1870"/>
      <c r="X70" s="1870"/>
      <c r="Y70" s="1870"/>
      <c r="Z70" s="1870"/>
      <c r="AA70" s="1870"/>
      <c r="AB70" s="1870"/>
      <c r="AC70" s="1870"/>
      <c r="AD70" s="1870"/>
      <c r="AE70" s="1870"/>
      <c r="AF70" s="1870"/>
      <c r="AG70" s="1870"/>
      <c r="AH70" s="1870"/>
      <c r="AI70" s="1885"/>
      <c r="AJ70" s="1886"/>
      <c r="AK70" s="1887"/>
      <c r="AL70" s="1878" t="s">
        <v>1144</v>
      </c>
      <c r="AM70" s="1879"/>
      <c r="AN70" s="1880"/>
      <c r="AO70" s="1876">
        <v>422</v>
      </c>
      <c r="AP70" s="1876"/>
      <c r="AQ70" s="1876"/>
      <c r="AR70" s="1884">
        <f>unos!F458</f>
        <v>0</v>
      </c>
      <c r="AS70" s="1884"/>
      <c r="AT70" s="1884"/>
      <c r="AU70" s="1884"/>
      <c r="AV70" s="1884"/>
      <c r="AW70" s="1884"/>
      <c r="AX70" s="1884"/>
      <c r="AY70" s="1884"/>
      <c r="AZ70" s="1884"/>
      <c r="BA70" s="1884">
        <f>unos!D458</f>
        <v>0</v>
      </c>
      <c r="BB70" s="1884"/>
      <c r="BC70" s="1884"/>
      <c r="BD70" s="1884"/>
      <c r="BE70" s="1884"/>
      <c r="BF70" s="1884"/>
      <c r="BG70" s="1884"/>
      <c r="BH70" s="1884"/>
      <c r="BI70" s="1884"/>
    </row>
    <row r="71" spans="1:61" s="308" customFormat="1" ht="16.5" customHeight="1">
      <c r="A71" s="1872" t="s">
        <v>1118</v>
      </c>
      <c r="B71" s="1872"/>
      <c r="C71" s="1872"/>
      <c r="D71" s="1881" t="s">
        <v>2491</v>
      </c>
      <c r="E71" s="1881"/>
      <c r="F71" s="1881"/>
      <c r="G71" s="1881"/>
      <c r="H71" s="1881"/>
      <c r="I71" s="1881"/>
      <c r="J71" s="1881"/>
      <c r="K71" s="1881"/>
      <c r="L71" s="1881"/>
      <c r="M71" s="1881"/>
      <c r="N71" s="1881"/>
      <c r="O71" s="1881"/>
      <c r="P71" s="1881"/>
      <c r="Q71" s="1881"/>
      <c r="R71" s="1881"/>
      <c r="S71" s="1881"/>
      <c r="T71" s="1881"/>
      <c r="U71" s="1881"/>
      <c r="V71" s="1881"/>
      <c r="W71" s="1881"/>
      <c r="X71" s="1881"/>
      <c r="Y71" s="1881"/>
      <c r="Z71" s="1881"/>
      <c r="AA71" s="1881"/>
      <c r="AB71" s="1881"/>
      <c r="AC71" s="1881"/>
      <c r="AD71" s="1881"/>
      <c r="AE71" s="1881"/>
      <c r="AF71" s="1881"/>
      <c r="AG71" s="1881"/>
      <c r="AH71" s="1881"/>
      <c r="AI71" s="1885"/>
      <c r="AJ71" s="1886"/>
      <c r="AK71" s="1887"/>
      <c r="AL71" s="1878" t="s">
        <v>1144</v>
      </c>
      <c r="AM71" s="1879"/>
      <c r="AN71" s="1880"/>
      <c r="AO71" s="1876">
        <v>423</v>
      </c>
      <c r="AP71" s="1876"/>
      <c r="AQ71" s="1876"/>
      <c r="AR71" s="1884">
        <f>unos!F459</f>
        <v>0</v>
      </c>
      <c r="AS71" s="1884"/>
      <c r="AT71" s="1884"/>
      <c r="AU71" s="1884"/>
      <c r="AV71" s="1884"/>
      <c r="AW71" s="1884"/>
      <c r="AX71" s="1884"/>
      <c r="AY71" s="1884"/>
      <c r="AZ71" s="1884"/>
      <c r="BA71" s="1884">
        <f>unos!D459</f>
        <v>0</v>
      </c>
      <c r="BB71" s="1884"/>
      <c r="BC71" s="1884"/>
      <c r="BD71" s="1884"/>
      <c r="BE71" s="1884"/>
      <c r="BF71" s="1884"/>
      <c r="BG71" s="1884"/>
      <c r="BH71" s="1884"/>
      <c r="BI71" s="1884"/>
    </row>
    <row r="72" spans="1:61" s="308" customFormat="1" ht="16.5" customHeight="1">
      <c r="A72" s="1877" t="s">
        <v>1119</v>
      </c>
      <c r="B72" s="1877"/>
      <c r="C72" s="1877"/>
      <c r="D72" s="1888" t="s">
        <v>2492</v>
      </c>
      <c r="E72" s="1888"/>
      <c r="F72" s="1888"/>
      <c r="G72" s="1888"/>
      <c r="H72" s="1888"/>
      <c r="I72" s="1888"/>
      <c r="J72" s="1888"/>
      <c r="K72" s="1888"/>
      <c r="L72" s="1888"/>
      <c r="M72" s="1888"/>
      <c r="N72" s="1888"/>
      <c r="O72" s="1888"/>
      <c r="P72" s="1888"/>
      <c r="Q72" s="1888"/>
      <c r="R72" s="1888"/>
      <c r="S72" s="1888"/>
      <c r="T72" s="1888"/>
      <c r="U72" s="1888"/>
      <c r="V72" s="1888"/>
      <c r="W72" s="1888"/>
      <c r="X72" s="1888"/>
      <c r="Y72" s="1888"/>
      <c r="Z72" s="1888"/>
      <c r="AA72" s="1888"/>
      <c r="AB72" s="1888"/>
      <c r="AC72" s="1888"/>
      <c r="AD72" s="1888"/>
      <c r="AE72" s="1888"/>
      <c r="AF72" s="1888"/>
      <c r="AG72" s="1888"/>
      <c r="AH72" s="1888"/>
      <c r="AI72" s="1885"/>
      <c r="AJ72" s="1886"/>
      <c r="AK72" s="1887"/>
      <c r="AL72" s="1878"/>
      <c r="AM72" s="1879"/>
      <c r="AN72" s="1880"/>
      <c r="AO72" s="1876">
        <v>424</v>
      </c>
      <c r="AP72" s="1876"/>
      <c r="AQ72" s="1876"/>
      <c r="AR72" s="1891">
        <f>AR73+AR74+AR75+AR76+AR77+AR78</f>
        <v>0</v>
      </c>
      <c r="AS72" s="1891"/>
      <c r="AT72" s="1891"/>
      <c r="AU72" s="1891"/>
      <c r="AV72" s="1891"/>
      <c r="AW72" s="1891"/>
      <c r="AX72" s="1891"/>
      <c r="AY72" s="1891"/>
      <c r="AZ72" s="1891"/>
      <c r="BA72" s="1891">
        <f>BA73+BA74+BA75+BA76+BA77+BA78</f>
        <v>0</v>
      </c>
      <c r="BB72" s="1891"/>
      <c r="BC72" s="1891"/>
      <c r="BD72" s="1891"/>
      <c r="BE72" s="1891"/>
      <c r="BF72" s="1891"/>
      <c r="BG72" s="1891"/>
      <c r="BH72" s="1891"/>
      <c r="BI72" s="1891"/>
    </row>
    <row r="73" spans="1:61" s="308" customFormat="1" ht="16.5" customHeight="1">
      <c r="A73" s="1869" t="s">
        <v>1143</v>
      </c>
      <c r="B73" s="1869"/>
      <c r="C73" s="1869"/>
      <c r="D73" s="1870" t="s">
        <v>2493</v>
      </c>
      <c r="E73" s="1870"/>
      <c r="F73" s="1870"/>
      <c r="G73" s="1870"/>
      <c r="H73" s="1870"/>
      <c r="I73" s="1870"/>
      <c r="J73" s="1870"/>
      <c r="K73" s="1870"/>
      <c r="L73" s="1870"/>
      <c r="M73" s="1870"/>
      <c r="N73" s="1870"/>
      <c r="O73" s="1870"/>
      <c r="P73" s="1870"/>
      <c r="Q73" s="1870"/>
      <c r="R73" s="1870"/>
      <c r="S73" s="1870"/>
      <c r="T73" s="1870"/>
      <c r="U73" s="1870"/>
      <c r="V73" s="1870"/>
      <c r="W73" s="1870"/>
      <c r="X73" s="1870"/>
      <c r="Y73" s="1870"/>
      <c r="Z73" s="1870"/>
      <c r="AA73" s="1870"/>
      <c r="AB73" s="1870"/>
      <c r="AC73" s="1870"/>
      <c r="AD73" s="1870"/>
      <c r="AE73" s="1870"/>
      <c r="AF73" s="1870"/>
      <c r="AG73" s="1870"/>
      <c r="AH73" s="1870"/>
      <c r="AI73" s="1885"/>
      <c r="AJ73" s="1886"/>
      <c r="AK73" s="1887"/>
      <c r="AL73" s="1878" t="s">
        <v>1145</v>
      </c>
      <c r="AM73" s="1879"/>
      <c r="AN73" s="1880"/>
      <c r="AO73" s="1876">
        <v>425</v>
      </c>
      <c r="AP73" s="1876"/>
      <c r="AQ73" s="1876"/>
      <c r="AR73" s="1884">
        <f>unos!F460</f>
        <v>0</v>
      </c>
      <c r="AS73" s="1884"/>
      <c r="AT73" s="1884"/>
      <c r="AU73" s="1884"/>
      <c r="AV73" s="1884"/>
      <c r="AW73" s="1884"/>
      <c r="AX73" s="1884"/>
      <c r="AY73" s="1884"/>
      <c r="AZ73" s="1884"/>
      <c r="BA73" s="1884">
        <f>unos!D460</f>
        <v>0</v>
      </c>
      <c r="BB73" s="1884"/>
      <c r="BC73" s="1884"/>
      <c r="BD73" s="1884"/>
      <c r="BE73" s="1884"/>
      <c r="BF73" s="1884"/>
      <c r="BG73" s="1884"/>
      <c r="BH73" s="1884"/>
      <c r="BI73" s="1884"/>
    </row>
    <row r="74" spans="1:61" s="308" customFormat="1" ht="16.5" customHeight="1">
      <c r="A74" s="1869" t="s">
        <v>146</v>
      </c>
      <c r="B74" s="1869"/>
      <c r="C74" s="1869"/>
      <c r="D74" s="1870" t="s">
        <v>2494</v>
      </c>
      <c r="E74" s="1870"/>
      <c r="F74" s="1870"/>
      <c r="G74" s="1870"/>
      <c r="H74" s="1870"/>
      <c r="I74" s="1870"/>
      <c r="J74" s="1870"/>
      <c r="K74" s="1870"/>
      <c r="L74" s="1870"/>
      <c r="M74" s="1870"/>
      <c r="N74" s="1870"/>
      <c r="O74" s="1870"/>
      <c r="P74" s="1870"/>
      <c r="Q74" s="1870"/>
      <c r="R74" s="1870"/>
      <c r="S74" s="1870"/>
      <c r="T74" s="1870"/>
      <c r="U74" s="1870"/>
      <c r="V74" s="1870"/>
      <c r="W74" s="1870"/>
      <c r="X74" s="1870"/>
      <c r="Y74" s="1870"/>
      <c r="Z74" s="1870"/>
      <c r="AA74" s="1870"/>
      <c r="AB74" s="1870"/>
      <c r="AC74" s="1870"/>
      <c r="AD74" s="1870"/>
      <c r="AE74" s="1870"/>
      <c r="AF74" s="1870"/>
      <c r="AG74" s="1870"/>
      <c r="AH74" s="1870"/>
      <c r="AI74" s="1885"/>
      <c r="AJ74" s="1886"/>
      <c r="AK74" s="1887"/>
      <c r="AL74" s="1878" t="s">
        <v>1145</v>
      </c>
      <c r="AM74" s="1879"/>
      <c r="AN74" s="1880"/>
      <c r="AO74" s="1876">
        <v>426</v>
      </c>
      <c r="AP74" s="1876"/>
      <c r="AQ74" s="1876"/>
      <c r="AR74" s="1884">
        <f>unos!F461</f>
        <v>0</v>
      </c>
      <c r="AS74" s="1884"/>
      <c r="AT74" s="1884"/>
      <c r="AU74" s="1884"/>
      <c r="AV74" s="1884"/>
      <c r="AW74" s="1884"/>
      <c r="AX74" s="1884"/>
      <c r="AY74" s="1884"/>
      <c r="AZ74" s="1884"/>
      <c r="BA74" s="1884">
        <f>unos!D461</f>
        <v>0</v>
      </c>
      <c r="BB74" s="1884"/>
      <c r="BC74" s="1884"/>
      <c r="BD74" s="1884"/>
      <c r="BE74" s="1884"/>
      <c r="BF74" s="1884"/>
      <c r="BG74" s="1884"/>
      <c r="BH74" s="1884"/>
      <c r="BI74" s="1884"/>
    </row>
    <row r="75" spans="1:61" s="308" customFormat="1" ht="16.5" customHeight="1">
      <c r="A75" s="1869" t="s">
        <v>147</v>
      </c>
      <c r="B75" s="1869"/>
      <c r="C75" s="1869"/>
      <c r="D75" s="1870" t="s">
        <v>2495</v>
      </c>
      <c r="E75" s="1870"/>
      <c r="F75" s="1870"/>
      <c r="G75" s="1870"/>
      <c r="H75" s="1870"/>
      <c r="I75" s="1870"/>
      <c r="J75" s="1870"/>
      <c r="K75" s="1870"/>
      <c r="L75" s="1870"/>
      <c r="M75" s="1870"/>
      <c r="N75" s="1870"/>
      <c r="O75" s="1870"/>
      <c r="P75" s="1870"/>
      <c r="Q75" s="1870"/>
      <c r="R75" s="1870"/>
      <c r="S75" s="1870"/>
      <c r="T75" s="1870"/>
      <c r="U75" s="1870"/>
      <c r="V75" s="1870"/>
      <c r="W75" s="1870"/>
      <c r="X75" s="1870"/>
      <c r="Y75" s="1870"/>
      <c r="Z75" s="1870"/>
      <c r="AA75" s="1870"/>
      <c r="AB75" s="1870"/>
      <c r="AC75" s="1870"/>
      <c r="AD75" s="1870"/>
      <c r="AE75" s="1870"/>
      <c r="AF75" s="1870"/>
      <c r="AG75" s="1870"/>
      <c r="AH75" s="1870"/>
      <c r="AI75" s="1885"/>
      <c r="AJ75" s="1886"/>
      <c r="AK75" s="1887"/>
      <c r="AL75" s="1878" t="s">
        <v>1145</v>
      </c>
      <c r="AM75" s="1879"/>
      <c r="AN75" s="1880"/>
      <c r="AO75" s="1876">
        <v>427</v>
      </c>
      <c r="AP75" s="1876"/>
      <c r="AQ75" s="1876"/>
      <c r="AR75" s="1884">
        <f>unos!F462</f>
        <v>0</v>
      </c>
      <c r="AS75" s="1884"/>
      <c r="AT75" s="1884"/>
      <c r="AU75" s="1884"/>
      <c r="AV75" s="1884"/>
      <c r="AW75" s="1884"/>
      <c r="AX75" s="1884"/>
      <c r="AY75" s="1884"/>
      <c r="AZ75" s="1884"/>
      <c r="BA75" s="1884">
        <f>unos!D462</f>
        <v>0</v>
      </c>
      <c r="BB75" s="1884"/>
      <c r="BC75" s="1884"/>
      <c r="BD75" s="1884"/>
      <c r="BE75" s="1884"/>
      <c r="BF75" s="1884"/>
      <c r="BG75" s="1884"/>
      <c r="BH75" s="1884"/>
      <c r="BI75" s="1884"/>
    </row>
    <row r="76" spans="1:61" s="308" customFormat="1" ht="16.5" customHeight="1">
      <c r="A76" s="1869" t="s">
        <v>452</v>
      </c>
      <c r="B76" s="1869"/>
      <c r="C76" s="1869"/>
      <c r="D76" s="1870" t="s">
        <v>2496</v>
      </c>
      <c r="E76" s="1870"/>
      <c r="F76" s="1870"/>
      <c r="G76" s="1870"/>
      <c r="H76" s="1870"/>
      <c r="I76" s="1870"/>
      <c r="J76" s="1870"/>
      <c r="K76" s="1870"/>
      <c r="L76" s="1870"/>
      <c r="M76" s="1870"/>
      <c r="N76" s="1870"/>
      <c r="O76" s="1870"/>
      <c r="P76" s="1870"/>
      <c r="Q76" s="1870"/>
      <c r="R76" s="1870"/>
      <c r="S76" s="1870"/>
      <c r="T76" s="1870"/>
      <c r="U76" s="1870"/>
      <c r="V76" s="1870"/>
      <c r="W76" s="1870"/>
      <c r="X76" s="1870"/>
      <c r="Y76" s="1870"/>
      <c r="Z76" s="1870"/>
      <c r="AA76" s="1870"/>
      <c r="AB76" s="1870"/>
      <c r="AC76" s="1870"/>
      <c r="AD76" s="1870"/>
      <c r="AE76" s="1870"/>
      <c r="AF76" s="1870"/>
      <c r="AG76" s="1870"/>
      <c r="AH76" s="1870"/>
      <c r="AI76" s="1885"/>
      <c r="AJ76" s="1886"/>
      <c r="AK76" s="1887"/>
      <c r="AL76" s="1878" t="s">
        <v>1145</v>
      </c>
      <c r="AM76" s="1879"/>
      <c r="AN76" s="1880"/>
      <c r="AO76" s="1876">
        <v>428</v>
      </c>
      <c r="AP76" s="1876"/>
      <c r="AQ76" s="1876"/>
      <c r="AR76" s="1884">
        <f>unos!F463</f>
        <v>0</v>
      </c>
      <c r="AS76" s="1884"/>
      <c r="AT76" s="1884"/>
      <c r="AU76" s="1884"/>
      <c r="AV76" s="1884"/>
      <c r="AW76" s="1884"/>
      <c r="AX76" s="1884"/>
      <c r="AY76" s="1884"/>
      <c r="AZ76" s="1884"/>
      <c r="BA76" s="1884">
        <f>unos!D463</f>
        <v>0</v>
      </c>
      <c r="BB76" s="1884"/>
      <c r="BC76" s="1884"/>
      <c r="BD76" s="1884"/>
      <c r="BE76" s="1884"/>
      <c r="BF76" s="1884"/>
      <c r="BG76" s="1884"/>
      <c r="BH76" s="1884"/>
      <c r="BI76" s="1884"/>
    </row>
    <row r="77" spans="1:61" s="308" customFormat="1" ht="16.5" customHeight="1">
      <c r="A77" s="1869" t="s">
        <v>453</v>
      </c>
      <c r="B77" s="1869"/>
      <c r="C77" s="1869"/>
      <c r="D77" s="1870" t="s">
        <v>2497</v>
      </c>
      <c r="E77" s="1870"/>
      <c r="F77" s="1870"/>
      <c r="G77" s="1870"/>
      <c r="H77" s="1870"/>
      <c r="I77" s="1870"/>
      <c r="J77" s="1870"/>
      <c r="K77" s="1870"/>
      <c r="L77" s="1870"/>
      <c r="M77" s="1870"/>
      <c r="N77" s="1870"/>
      <c r="O77" s="1870"/>
      <c r="P77" s="1870"/>
      <c r="Q77" s="1870"/>
      <c r="R77" s="1870"/>
      <c r="S77" s="1870"/>
      <c r="T77" s="1870"/>
      <c r="U77" s="1870"/>
      <c r="V77" s="1870"/>
      <c r="W77" s="1870"/>
      <c r="X77" s="1870"/>
      <c r="Y77" s="1870"/>
      <c r="Z77" s="1870"/>
      <c r="AA77" s="1870"/>
      <c r="AB77" s="1870"/>
      <c r="AC77" s="1870"/>
      <c r="AD77" s="1870"/>
      <c r="AE77" s="1870"/>
      <c r="AF77" s="1870"/>
      <c r="AG77" s="1870"/>
      <c r="AH77" s="1870"/>
      <c r="AI77" s="1885"/>
      <c r="AJ77" s="1886"/>
      <c r="AK77" s="1887"/>
      <c r="AL77" s="1878" t="s">
        <v>1145</v>
      </c>
      <c r="AM77" s="1879"/>
      <c r="AN77" s="1880"/>
      <c r="AO77" s="1876">
        <v>429</v>
      </c>
      <c r="AP77" s="1876"/>
      <c r="AQ77" s="1876"/>
      <c r="AR77" s="1884">
        <f>unos!F464</f>
        <v>0</v>
      </c>
      <c r="AS77" s="1884"/>
      <c r="AT77" s="1884"/>
      <c r="AU77" s="1884"/>
      <c r="AV77" s="1884"/>
      <c r="AW77" s="1884"/>
      <c r="AX77" s="1884"/>
      <c r="AY77" s="1884"/>
      <c r="AZ77" s="1884"/>
      <c r="BA77" s="1884">
        <f>unos!D464</f>
        <v>0</v>
      </c>
      <c r="BB77" s="1884"/>
      <c r="BC77" s="1884"/>
      <c r="BD77" s="1884"/>
      <c r="BE77" s="1884"/>
      <c r="BF77" s="1884"/>
      <c r="BG77" s="1884"/>
      <c r="BH77" s="1884"/>
      <c r="BI77" s="1884"/>
    </row>
    <row r="78" spans="1:61" s="308" customFormat="1" ht="16.5" customHeight="1">
      <c r="A78" s="1869" t="s">
        <v>1665</v>
      </c>
      <c r="B78" s="1869"/>
      <c r="C78" s="1869"/>
      <c r="D78" s="1870" t="s">
        <v>2498</v>
      </c>
      <c r="E78" s="1870"/>
      <c r="F78" s="1870"/>
      <c r="G78" s="1870"/>
      <c r="H78" s="1870"/>
      <c r="I78" s="1870"/>
      <c r="J78" s="1870"/>
      <c r="K78" s="1870"/>
      <c r="L78" s="1870"/>
      <c r="M78" s="1870"/>
      <c r="N78" s="1870"/>
      <c r="O78" s="1870"/>
      <c r="P78" s="1870"/>
      <c r="Q78" s="1870"/>
      <c r="R78" s="1870"/>
      <c r="S78" s="1870"/>
      <c r="T78" s="1870"/>
      <c r="U78" s="1870"/>
      <c r="V78" s="1870"/>
      <c r="W78" s="1870"/>
      <c r="X78" s="1870"/>
      <c r="Y78" s="1870"/>
      <c r="Z78" s="1870"/>
      <c r="AA78" s="1870"/>
      <c r="AB78" s="1870"/>
      <c r="AC78" s="1870"/>
      <c r="AD78" s="1870"/>
      <c r="AE78" s="1870"/>
      <c r="AF78" s="1870"/>
      <c r="AG78" s="1870"/>
      <c r="AH78" s="1870"/>
      <c r="AI78" s="1885"/>
      <c r="AJ78" s="1886"/>
      <c r="AK78" s="1887"/>
      <c r="AL78" s="1878" t="s">
        <v>1145</v>
      </c>
      <c r="AM78" s="1879"/>
      <c r="AN78" s="1880"/>
      <c r="AO78" s="1876">
        <v>430</v>
      </c>
      <c r="AP78" s="1876"/>
      <c r="AQ78" s="1876"/>
      <c r="AR78" s="1884">
        <f>unos!F465</f>
        <v>0</v>
      </c>
      <c r="AS78" s="1884"/>
      <c r="AT78" s="1884"/>
      <c r="AU78" s="1884"/>
      <c r="AV78" s="1884"/>
      <c r="AW78" s="1884"/>
      <c r="AX78" s="1884"/>
      <c r="AY78" s="1884"/>
      <c r="AZ78" s="1884"/>
      <c r="BA78" s="1884">
        <f>unos!D465</f>
        <v>0</v>
      </c>
      <c r="BB78" s="1884"/>
      <c r="BC78" s="1884"/>
      <c r="BD78" s="1884"/>
      <c r="BE78" s="1884"/>
      <c r="BF78" s="1884"/>
      <c r="BG78" s="1884"/>
      <c r="BH78" s="1884"/>
      <c r="BI78" s="1884"/>
    </row>
    <row r="79" spans="1:61" s="308" customFormat="1" ht="16.5" customHeight="1">
      <c r="A79" s="1877" t="s">
        <v>1667</v>
      </c>
      <c r="B79" s="1877"/>
      <c r="C79" s="1877"/>
      <c r="D79" s="1888" t="s">
        <v>2516</v>
      </c>
      <c r="E79" s="1888"/>
      <c r="F79" s="1888"/>
      <c r="G79" s="1888"/>
      <c r="H79" s="1888"/>
      <c r="I79" s="1888"/>
      <c r="J79" s="1888"/>
      <c r="K79" s="1888"/>
      <c r="L79" s="1888"/>
      <c r="M79" s="1888"/>
      <c r="N79" s="1888"/>
      <c r="O79" s="1888"/>
      <c r="P79" s="1888"/>
      <c r="Q79" s="1888"/>
      <c r="R79" s="1888"/>
      <c r="S79" s="1888"/>
      <c r="T79" s="1888"/>
      <c r="U79" s="1888"/>
      <c r="V79" s="1888"/>
      <c r="W79" s="1888"/>
      <c r="X79" s="1888"/>
      <c r="Y79" s="1888"/>
      <c r="Z79" s="1888"/>
      <c r="AA79" s="1888"/>
      <c r="AB79" s="1888"/>
      <c r="AC79" s="1888"/>
      <c r="AD79" s="1888"/>
      <c r="AE79" s="1888"/>
      <c r="AF79" s="1888"/>
      <c r="AG79" s="1888"/>
      <c r="AH79" s="1888"/>
      <c r="AI79" s="1885"/>
      <c r="AJ79" s="1886"/>
      <c r="AK79" s="1887"/>
      <c r="AL79" s="1878"/>
      <c r="AM79" s="1879"/>
      <c r="AN79" s="1880"/>
      <c r="AO79" s="1876">
        <v>431</v>
      </c>
      <c r="AP79" s="1876"/>
      <c r="AQ79" s="1876"/>
      <c r="AR79" s="1891">
        <f>IF(AR67-AR72&lt;=0,0,AR67-AR72)</f>
        <v>0</v>
      </c>
      <c r="AS79" s="1891"/>
      <c r="AT79" s="1891"/>
      <c r="AU79" s="1891"/>
      <c r="AV79" s="1891"/>
      <c r="AW79" s="1891"/>
      <c r="AX79" s="1891"/>
      <c r="AY79" s="1891"/>
      <c r="AZ79" s="1891"/>
      <c r="BA79" s="1891">
        <f>IF(BA67-BA72&lt;=0,0,BA67-BA72)</f>
        <v>0</v>
      </c>
      <c r="BB79" s="1891"/>
      <c r="BC79" s="1891"/>
      <c r="BD79" s="1891"/>
      <c r="BE79" s="1891"/>
      <c r="BF79" s="1891"/>
      <c r="BG79" s="1891"/>
      <c r="BH79" s="1891"/>
      <c r="BI79" s="1891"/>
    </row>
    <row r="80" spans="1:61" s="308" customFormat="1" ht="16.5" customHeight="1">
      <c r="A80" s="1877" t="s">
        <v>2306</v>
      </c>
      <c r="B80" s="1877"/>
      <c r="C80" s="1877"/>
      <c r="D80" s="1888" t="s">
        <v>2517</v>
      </c>
      <c r="E80" s="1888"/>
      <c r="F80" s="1888"/>
      <c r="G80" s="1888"/>
      <c r="H80" s="1888"/>
      <c r="I80" s="1888"/>
      <c r="J80" s="1888"/>
      <c r="K80" s="1888"/>
      <c r="L80" s="1888"/>
      <c r="M80" s="1888"/>
      <c r="N80" s="1888"/>
      <c r="O80" s="1888"/>
      <c r="P80" s="1888"/>
      <c r="Q80" s="1888"/>
      <c r="R80" s="1888"/>
      <c r="S80" s="1888"/>
      <c r="T80" s="1888"/>
      <c r="U80" s="1888"/>
      <c r="V80" s="1888"/>
      <c r="W80" s="1888"/>
      <c r="X80" s="1888"/>
      <c r="Y80" s="1888"/>
      <c r="Z80" s="1888"/>
      <c r="AA80" s="1888"/>
      <c r="AB80" s="1888"/>
      <c r="AC80" s="1888"/>
      <c r="AD80" s="1888"/>
      <c r="AE80" s="1888"/>
      <c r="AF80" s="1888"/>
      <c r="AG80" s="1888"/>
      <c r="AH80" s="1888"/>
      <c r="AI80" s="1885"/>
      <c r="AJ80" s="1886"/>
      <c r="AK80" s="1887"/>
      <c r="AL80" s="1878"/>
      <c r="AM80" s="1879"/>
      <c r="AN80" s="1880"/>
      <c r="AO80" s="1876">
        <v>432</v>
      </c>
      <c r="AP80" s="1876"/>
      <c r="AQ80" s="1876"/>
      <c r="AR80" s="1891">
        <f>IF(AR72-AR67&lt;=0,0,AR72-AR67)</f>
        <v>0</v>
      </c>
      <c r="AS80" s="1891"/>
      <c r="AT80" s="1891"/>
      <c r="AU80" s="1891"/>
      <c r="AV80" s="1891"/>
      <c r="AW80" s="1891"/>
      <c r="AX80" s="1891"/>
      <c r="AY80" s="1891"/>
      <c r="AZ80" s="1891"/>
      <c r="BA80" s="1891">
        <f>IF(BA72-BA67&lt;=0,0,BA72-BA67)</f>
        <v>0</v>
      </c>
      <c r="BB80" s="1891"/>
      <c r="BC80" s="1891"/>
      <c r="BD80" s="1891"/>
      <c r="BE80" s="1891"/>
      <c r="BF80" s="1891"/>
      <c r="BG80" s="1891"/>
      <c r="BH80" s="1891"/>
      <c r="BI80" s="1891"/>
    </row>
    <row r="81" spans="1:61" s="308" customFormat="1" ht="16.5" customHeight="1">
      <c r="A81" s="1877" t="s">
        <v>454</v>
      </c>
      <c r="B81" s="1877"/>
      <c r="C81" s="1877"/>
      <c r="D81" s="1888" t="s">
        <v>2499</v>
      </c>
      <c r="E81" s="1888"/>
      <c r="F81" s="1888"/>
      <c r="G81" s="1888"/>
      <c r="H81" s="1888"/>
      <c r="I81" s="1888"/>
      <c r="J81" s="1888"/>
      <c r="K81" s="1888"/>
      <c r="L81" s="1888"/>
      <c r="M81" s="1888"/>
      <c r="N81" s="1888"/>
      <c r="O81" s="1888"/>
      <c r="P81" s="1888"/>
      <c r="Q81" s="1888"/>
      <c r="R81" s="1888"/>
      <c r="S81" s="1888"/>
      <c r="T81" s="1888"/>
      <c r="U81" s="1888"/>
      <c r="V81" s="1888"/>
      <c r="W81" s="1888"/>
      <c r="X81" s="1888"/>
      <c r="Y81" s="1888"/>
      <c r="Z81" s="1888"/>
      <c r="AA81" s="1888"/>
      <c r="AB81" s="1888"/>
      <c r="AC81" s="1888"/>
      <c r="AD81" s="1888"/>
      <c r="AE81" s="1888"/>
      <c r="AF81" s="1888"/>
      <c r="AG81" s="1888"/>
      <c r="AH81" s="1888"/>
      <c r="AI81" s="1885"/>
      <c r="AJ81" s="1886"/>
      <c r="AK81" s="1887"/>
      <c r="AL81" s="1878"/>
      <c r="AM81" s="1879"/>
      <c r="AN81" s="1880"/>
      <c r="AO81" s="1876">
        <v>433</v>
      </c>
      <c r="AP81" s="1876"/>
      <c r="AQ81" s="1876"/>
      <c r="AR81" s="1891">
        <f>IF(AR46&lt;=0,SUM(AR64+AR79),SUM(AR46+AR64+AR79))</f>
        <v>0</v>
      </c>
      <c r="AS81" s="1891"/>
      <c r="AT81" s="1891"/>
      <c r="AU81" s="1891"/>
      <c r="AV81" s="1891"/>
      <c r="AW81" s="1891"/>
      <c r="AX81" s="1891"/>
      <c r="AY81" s="1891"/>
      <c r="AZ81" s="1891"/>
      <c r="BA81" s="1891">
        <f>IF(BA46&lt;=0,SUM(BA64+BA79),SUM(BA46+BA64+BA79))</f>
        <v>0</v>
      </c>
      <c r="BB81" s="1891"/>
      <c r="BC81" s="1891"/>
      <c r="BD81" s="1891"/>
      <c r="BE81" s="1891"/>
      <c r="BF81" s="1891"/>
      <c r="BG81" s="1891"/>
      <c r="BH81" s="1891"/>
      <c r="BI81" s="1891"/>
    </row>
    <row r="82" spans="1:61" s="308" customFormat="1" ht="16.5" customHeight="1">
      <c r="A82" s="1877" t="s">
        <v>2500</v>
      </c>
      <c r="B82" s="1877"/>
      <c r="C82" s="1877"/>
      <c r="D82" s="1888" t="s">
        <v>2501</v>
      </c>
      <c r="E82" s="1888"/>
      <c r="F82" s="1888"/>
      <c r="G82" s="1888"/>
      <c r="H82" s="1888"/>
      <c r="I82" s="1888"/>
      <c r="J82" s="1888"/>
      <c r="K82" s="1888"/>
      <c r="L82" s="1888"/>
      <c r="M82" s="1888"/>
      <c r="N82" s="1888"/>
      <c r="O82" s="1888"/>
      <c r="P82" s="1888"/>
      <c r="Q82" s="1888"/>
      <c r="R82" s="1888"/>
      <c r="S82" s="1888"/>
      <c r="T82" s="1888"/>
      <c r="U82" s="1888"/>
      <c r="V82" s="1888"/>
      <c r="W82" s="1888"/>
      <c r="X82" s="1888"/>
      <c r="Y82" s="1888"/>
      <c r="Z82" s="1888"/>
      <c r="AA82" s="1888"/>
      <c r="AB82" s="1888"/>
      <c r="AC82" s="1888"/>
      <c r="AD82" s="1888"/>
      <c r="AE82" s="1888"/>
      <c r="AF82" s="1888"/>
      <c r="AG82" s="1888"/>
      <c r="AH82" s="1888"/>
      <c r="AI82" s="1885"/>
      <c r="AJ82" s="1886"/>
      <c r="AK82" s="1887"/>
      <c r="AL82" s="1878"/>
      <c r="AM82" s="1879"/>
      <c r="AN82" s="1880"/>
      <c r="AO82" s="1876">
        <v>434</v>
      </c>
      <c r="AP82" s="1876"/>
      <c r="AQ82" s="1876"/>
      <c r="AR82" s="1891">
        <f>IF(AR46&gt;=0,SUM(AR65+AR80),SUM(AR65+AR80-AR46))</f>
        <v>0</v>
      </c>
      <c r="AS82" s="1891"/>
      <c r="AT82" s="1891"/>
      <c r="AU82" s="1891"/>
      <c r="AV82" s="1891"/>
      <c r="AW82" s="1891"/>
      <c r="AX82" s="1891"/>
      <c r="AY82" s="1891"/>
      <c r="AZ82" s="1891"/>
      <c r="BA82" s="1891">
        <f>IF(BA46&gt;=0,SUM(BA65+BA80),SUM(BA65+BA80-BA46))</f>
        <v>0</v>
      </c>
      <c r="BB82" s="1891"/>
      <c r="BC82" s="1891"/>
      <c r="BD82" s="1891"/>
      <c r="BE82" s="1891"/>
      <c r="BF82" s="1891"/>
      <c r="BG82" s="1891"/>
      <c r="BH82" s="1891"/>
      <c r="BI82" s="1891"/>
    </row>
    <row r="83" spans="1:61" s="308" customFormat="1" ht="16.5" customHeight="1">
      <c r="A83" s="1877" t="s">
        <v>2502</v>
      </c>
      <c r="B83" s="1877"/>
      <c r="C83" s="1877"/>
      <c r="D83" s="1888" t="s">
        <v>2503</v>
      </c>
      <c r="E83" s="1888"/>
      <c r="F83" s="1888"/>
      <c r="G83" s="1888"/>
      <c r="H83" s="1888"/>
      <c r="I83" s="1888"/>
      <c r="J83" s="1888"/>
      <c r="K83" s="1888"/>
      <c r="L83" s="1888"/>
      <c r="M83" s="1888"/>
      <c r="N83" s="1888"/>
      <c r="O83" s="1888"/>
      <c r="P83" s="1888"/>
      <c r="Q83" s="1888"/>
      <c r="R83" s="1888"/>
      <c r="S83" s="1888"/>
      <c r="T83" s="1888"/>
      <c r="U83" s="1888"/>
      <c r="V83" s="1888"/>
      <c r="W83" s="1888"/>
      <c r="X83" s="1888"/>
      <c r="Y83" s="1888"/>
      <c r="Z83" s="1888"/>
      <c r="AA83" s="1888"/>
      <c r="AB83" s="1888"/>
      <c r="AC83" s="1888"/>
      <c r="AD83" s="1888"/>
      <c r="AE83" s="1888"/>
      <c r="AF83" s="1888"/>
      <c r="AG83" s="1888"/>
      <c r="AH83" s="1888"/>
      <c r="AI83" s="1885"/>
      <c r="AJ83" s="1886"/>
      <c r="AK83" s="1887"/>
      <c r="AL83" s="1878"/>
      <c r="AM83" s="1879"/>
      <c r="AN83" s="1880"/>
      <c r="AO83" s="1876">
        <v>435</v>
      </c>
      <c r="AP83" s="1876"/>
      <c r="AQ83" s="1876"/>
      <c r="AR83" s="1891">
        <f>IF(AR81-AR82&lt;=0,0,AR81-AR82)</f>
        <v>0</v>
      </c>
      <c r="AS83" s="1891"/>
      <c r="AT83" s="1891"/>
      <c r="AU83" s="1891"/>
      <c r="AV83" s="1891"/>
      <c r="AW83" s="1891"/>
      <c r="AX83" s="1891"/>
      <c r="AY83" s="1891"/>
      <c r="AZ83" s="1891"/>
      <c r="BA83" s="1891">
        <f>IF(BA81-BA82&lt;=0,0,BA81-BA82)</f>
        <v>0</v>
      </c>
      <c r="BB83" s="1891"/>
      <c r="BC83" s="1891"/>
      <c r="BD83" s="1891"/>
      <c r="BE83" s="1891"/>
      <c r="BF83" s="1891"/>
      <c r="BG83" s="1891"/>
      <c r="BH83" s="1891"/>
      <c r="BI83" s="1891"/>
    </row>
    <row r="84" spans="1:61" s="308" customFormat="1" ht="16.5" customHeight="1">
      <c r="A84" s="1877" t="s">
        <v>1023</v>
      </c>
      <c r="B84" s="1877"/>
      <c r="C84" s="1877"/>
      <c r="D84" s="1888" t="s">
        <v>2504</v>
      </c>
      <c r="E84" s="1888"/>
      <c r="F84" s="1888"/>
      <c r="G84" s="1888"/>
      <c r="H84" s="1888"/>
      <c r="I84" s="1888"/>
      <c r="J84" s="1888"/>
      <c r="K84" s="1888"/>
      <c r="L84" s="1888"/>
      <c r="M84" s="1888"/>
      <c r="N84" s="1888"/>
      <c r="O84" s="1888"/>
      <c r="P84" s="1888"/>
      <c r="Q84" s="1888"/>
      <c r="R84" s="1888"/>
      <c r="S84" s="1888"/>
      <c r="T84" s="1888"/>
      <c r="U84" s="1888"/>
      <c r="V84" s="1888"/>
      <c r="W84" s="1888"/>
      <c r="X84" s="1888"/>
      <c r="Y84" s="1888"/>
      <c r="Z84" s="1888"/>
      <c r="AA84" s="1888"/>
      <c r="AB84" s="1888"/>
      <c r="AC84" s="1888"/>
      <c r="AD84" s="1888"/>
      <c r="AE84" s="1888"/>
      <c r="AF84" s="1888"/>
      <c r="AG84" s="1888"/>
      <c r="AH84" s="1888"/>
      <c r="AI84" s="1885"/>
      <c r="AJ84" s="1886"/>
      <c r="AK84" s="1887"/>
      <c r="AL84" s="1878"/>
      <c r="AM84" s="1879"/>
      <c r="AN84" s="1880"/>
      <c r="AO84" s="1876">
        <v>436</v>
      </c>
      <c r="AP84" s="1876"/>
      <c r="AQ84" s="1876"/>
      <c r="AR84" s="1891">
        <f>IF(AR82-AR81&lt;=0,0,AR82-AR81)</f>
        <v>0</v>
      </c>
      <c r="AS84" s="1891"/>
      <c r="AT84" s="1891"/>
      <c r="AU84" s="1891"/>
      <c r="AV84" s="1891"/>
      <c r="AW84" s="1891"/>
      <c r="AX84" s="1891"/>
      <c r="AY84" s="1891"/>
      <c r="AZ84" s="1891"/>
      <c r="BA84" s="1891">
        <f>IF(BA82-BA81&lt;=0,0,BA82-BA81)</f>
        <v>0</v>
      </c>
      <c r="BB84" s="1891"/>
      <c r="BC84" s="1891"/>
      <c r="BD84" s="1891"/>
      <c r="BE84" s="1891"/>
      <c r="BF84" s="1891"/>
      <c r="BG84" s="1891"/>
      <c r="BH84" s="1891"/>
      <c r="BI84" s="1891"/>
    </row>
    <row r="85" spans="1:61" s="308" customFormat="1" ht="16.5" customHeight="1">
      <c r="A85" s="1869" t="s">
        <v>2624</v>
      </c>
      <c r="B85" s="1869"/>
      <c r="C85" s="1869"/>
      <c r="D85" s="1870" t="s">
        <v>2505</v>
      </c>
      <c r="E85" s="1870"/>
      <c r="F85" s="1870"/>
      <c r="G85" s="1870"/>
      <c r="H85" s="1870"/>
      <c r="I85" s="1870"/>
      <c r="J85" s="1870"/>
      <c r="K85" s="1870"/>
      <c r="L85" s="1870"/>
      <c r="M85" s="1870"/>
      <c r="N85" s="1870"/>
      <c r="O85" s="1870"/>
      <c r="P85" s="1870"/>
      <c r="Q85" s="1870"/>
      <c r="R85" s="1870"/>
      <c r="S85" s="1870"/>
      <c r="T85" s="1870"/>
      <c r="U85" s="1870"/>
      <c r="V85" s="1870"/>
      <c r="W85" s="1870"/>
      <c r="X85" s="1870"/>
      <c r="Y85" s="1870"/>
      <c r="Z85" s="1870"/>
      <c r="AA85" s="1870"/>
      <c r="AB85" s="1870"/>
      <c r="AC85" s="1870"/>
      <c r="AD85" s="1870"/>
      <c r="AE85" s="1870"/>
      <c r="AF85" s="1870"/>
      <c r="AG85" s="1870"/>
      <c r="AH85" s="1870"/>
      <c r="AI85" s="1885"/>
      <c r="AJ85" s="1886"/>
      <c r="AK85" s="1887"/>
      <c r="AL85" s="1878"/>
      <c r="AM85" s="1879"/>
      <c r="AN85" s="1880"/>
      <c r="AO85" s="1876">
        <v>437</v>
      </c>
      <c r="AP85" s="1876"/>
      <c r="AQ85" s="1876"/>
      <c r="AR85" s="1884">
        <f>unos!F466</f>
        <v>0</v>
      </c>
      <c r="AS85" s="1884"/>
      <c r="AT85" s="1884"/>
      <c r="AU85" s="1884"/>
      <c r="AV85" s="1884"/>
      <c r="AW85" s="1884"/>
      <c r="AX85" s="1884"/>
      <c r="AY85" s="1884"/>
      <c r="AZ85" s="1884"/>
      <c r="BA85" s="1884">
        <f>unos!D466</f>
        <v>0</v>
      </c>
      <c r="BB85" s="1884"/>
      <c r="BC85" s="1884"/>
      <c r="BD85" s="1884"/>
      <c r="BE85" s="1884"/>
      <c r="BF85" s="1884"/>
      <c r="BG85" s="1884"/>
      <c r="BH85" s="1884"/>
      <c r="BI85" s="1884"/>
    </row>
    <row r="86" spans="1:61" s="308" customFormat="1" ht="16.5" customHeight="1">
      <c r="A86" s="1869" t="s">
        <v>333</v>
      </c>
      <c r="B86" s="1869"/>
      <c r="C86" s="1869"/>
      <c r="D86" s="1870" t="s">
        <v>2506</v>
      </c>
      <c r="E86" s="1870"/>
      <c r="F86" s="1870"/>
      <c r="G86" s="1870"/>
      <c r="H86" s="1870"/>
      <c r="I86" s="1870"/>
      <c r="J86" s="1870"/>
      <c r="K86" s="1870"/>
      <c r="L86" s="1870"/>
      <c r="M86" s="1870"/>
      <c r="N86" s="1870"/>
      <c r="O86" s="1870"/>
      <c r="P86" s="1870"/>
      <c r="Q86" s="1870"/>
      <c r="R86" s="1870"/>
      <c r="S86" s="1870"/>
      <c r="T86" s="1870"/>
      <c r="U86" s="1870"/>
      <c r="V86" s="1870"/>
      <c r="W86" s="1870"/>
      <c r="X86" s="1870"/>
      <c r="Y86" s="1870"/>
      <c r="Z86" s="1870"/>
      <c r="AA86" s="1870"/>
      <c r="AB86" s="1870"/>
      <c r="AC86" s="1870"/>
      <c r="AD86" s="1870"/>
      <c r="AE86" s="1870"/>
      <c r="AF86" s="1870"/>
      <c r="AG86" s="1870"/>
      <c r="AH86" s="1870"/>
      <c r="AI86" s="1885"/>
      <c r="AJ86" s="1886"/>
      <c r="AK86" s="1887"/>
      <c r="AL86" s="1878" t="s">
        <v>1144</v>
      </c>
      <c r="AM86" s="1879"/>
      <c r="AN86" s="1880"/>
      <c r="AO86" s="1876">
        <v>438</v>
      </c>
      <c r="AP86" s="1876"/>
      <c r="AQ86" s="1876"/>
      <c r="AR86" s="1884">
        <f>unos!F467</f>
        <v>0</v>
      </c>
      <c r="AS86" s="1884"/>
      <c r="AT86" s="1884"/>
      <c r="AU86" s="1884"/>
      <c r="AV86" s="1884"/>
      <c r="AW86" s="1884"/>
      <c r="AX86" s="1884"/>
      <c r="AY86" s="1884"/>
      <c r="AZ86" s="1884"/>
      <c r="BA86" s="1884">
        <f>unos!D467</f>
        <v>0</v>
      </c>
      <c r="BB86" s="1884"/>
      <c r="BC86" s="1884"/>
      <c r="BD86" s="1884"/>
      <c r="BE86" s="1884"/>
      <c r="BF86" s="1884"/>
      <c r="BG86" s="1884"/>
      <c r="BH86" s="1884"/>
      <c r="BI86" s="1884"/>
    </row>
    <row r="87" spans="1:61" s="308" customFormat="1" ht="16.5" customHeight="1">
      <c r="A87" s="1869" t="s">
        <v>878</v>
      </c>
      <c r="B87" s="1869"/>
      <c r="C87" s="1869"/>
      <c r="D87" s="1870" t="s">
        <v>2507</v>
      </c>
      <c r="E87" s="1870"/>
      <c r="F87" s="1870"/>
      <c r="G87" s="1870"/>
      <c r="H87" s="1870"/>
      <c r="I87" s="1870"/>
      <c r="J87" s="1870"/>
      <c r="K87" s="1870"/>
      <c r="L87" s="1870"/>
      <c r="M87" s="1870"/>
      <c r="N87" s="1870"/>
      <c r="O87" s="1870"/>
      <c r="P87" s="1870"/>
      <c r="Q87" s="1870"/>
      <c r="R87" s="1870"/>
      <c r="S87" s="1870"/>
      <c r="T87" s="1870"/>
      <c r="U87" s="1870"/>
      <c r="V87" s="1870"/>
      <c r="W87" s="1870"/>
      <c r="X87" s="1870"/>
      <c r="Y87" s="1870"/>
      <c r="Z87" s="1870"/>
      <c r="AA87" s="1870"/>
      <c r="AB87" s="1870"/>
      <c r="AC87" s="1870"/>
      <c r="AD87" s="1870"/>
      <c r="AE87" s="1870"/>
      <c r="AF87" s="1870"/>
      <c r="AG87" s="1870"/>
      <c r="AH87" s="1870"/>
      <c r="AI87" s="1885"/>
      <c r="AJ87" s="1886"/>
      <c r="AK87" s="1887"/>
      <c r="AL87" s="1878" t="s">
        <v>1145</v>
      </c>
      <c r="AM87" s="1879"/>
      <c r="AN87" s="1880"/>
      <c r="AO87" s="1876">
        <v>439</v>
      </c>
      <c r="AP87" s="1876"/>
      <c r="AQ87" s="1876"/>
      <c r="AR87" s="1884">
        <f>unos!F468</f>
        <v>0</v>
      </c>
      <c r="AS87" s="1884"/>
      <c r="AT87" s="1884"/>
      <c r="AU87" s="1884"/>
      <c r="AV87" s="1884"/>
      <c r="AW87" s="1884"/>
      <c r="AX87" s="1884"/>
      <c r="AY87" s="1884"/>
      <c r="AZ87" s="1884"/>
      <c r="BA87" s="1884">
        <f>unos!D468</f>
        <v>0</v>
      </c>
      <c r="BB87" s="1884"/>
      <c r="BC87" s="1884"/>
      <c r="BD87" s="1884"/>
      <c r="BE87" s="1884"/>
      <c r="BF87" s="1884"/>
      <c r="BG87" s="1884"/>
      <c r="BH87" s="1884"/>
      <c r="BI87" s="1884"/>
    </row>
    <row r="88" spans="1:61" ht="16.5" customHeight="1">
      <c r="A88" s="1869" t="s">
        <v>2508</v>
      </c>
      <c r="B88" s="1869"/>
      <c r="C88" s="1869"/>
      <c r="D88" s="1870" t="s">
        <v>2578</v>
      </c>
      <c r="E88" s="1870"/>
      <c r="F88" s="1870"/>
      <c r="G88" s="1870"/>
      <c r="H88" s="1870"/>
      <c r="I88" s="1870"/>
      <c r="J88" s="1870"/>
      <c r="K88" s="1870"/>
      <c r="L88" s="1870"/>
      <c r="M88" s="1870"/>
      <c r="N88" s="1870"/>
      <c r="O88" s="1870"/>
      <c r="P88" s="1870"/>
      <c r="Q88" s="1870"/>
      <c r="R88" s="1870"/>
      <c r="S88" s="1870"/>
      <c r="T88" s="1870"/>
      <c r="U88" s="1870"/>
      <c r="V88" s="1870"/>
      <c r="W88" s="1870"/>
      <c r="X88" s="1870"/>
      <c r="Y88" s="1870"/>
      <c r="Z88" s="1870"/>
      <c r="AA88" s="1870"/>
      <c r="AB88" s="1870"/>
      <c r="AC88" s="1870"/>
      <c r="AD88" s="1870"/>
      <c r="AE88" s="1870"/>
      <c r="AF88" s="1870"/>
      <c r="AG88" s="1870"/>
      <c r="AH88" s="1870"/>
      <c r="AI88" s="1885"/>
      <c r="AJ88" s="1886"/>
      <c r="AK88" s="1887"/>
      <c r="AL88" s="1878"/>
      <c r="AM88" s="1879"/>
      <c r="AN88" s="1880"/>
      <c r="AO88" s="1876">
        <v>440</v>
      </c>
      <c r="AP88" s="1876"/>
      <c r="AQ88" s="1876"/>
      <c r="AR88" s="1884">
        <f>AR83-AR84+AR85+AR86-AR87</f>
        <v>0</v>
      </c>
      <c r="AS88" s="1884"/>
      <c r="AT88" s="1884"/>
      <c r="AU88" s="1884"/>
      <c r="AV88" s="1884"/>
      <c r="AW88" s="1884"/>
      <c r="AX88" s="1884"/>
      <c r="AY88" s="1884"/>
      <c r="AZ88" s="1884"/>
      <c r="BA88" s="1884">
        <f>BA85+BA83-BA84+BA86-BA87</f>
        <v>0</v>
      </c>
      <c r="BB88" s="1884"/>
      <c r="BC88" s="1884"/>
      <c r="BD88" s="1884"/>
      <c r="BE88" s="1884"/>
      <c r="BF88" s="1884"/>
      <c r="BG88" s="1884"/>
      <c r="BH88" s="1884"/>
      <c r="BI88" s="1884"/>
    </row>
    <row r="89" spans="1:61"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</row>
    <row r="90" spans="1:61"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</row>
    <row r="91" spans="1:61">
      <c r="A91" s="1732" t="s">
        <v>2437</v>
      </c>
      <c r="B91" s="1732"/>
      <c r="C91" s="1732"/>
      <c r="D91" s="1732"/>
      <c r="E91" s="874"/>
      <c r="F91" s="1085">
        <f>FirmaSjediste</f>
        <v>0</v>
      </c>
      <c r="G91" s="874"/>
      <c r="H91" s="874"/>
      <c r="I91" s="874"/>
      <c r="J91" s="874"/>
      <c r="K91" s="874"/>
      <c r="L91" s="874"/>
      <c r="M91" s="874"/>
      <c r="N91" s="874"/>
      <c r="U91" s="2" t="s">
        <v>2628</v>
      </c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</row>
    <row r="92" spans="1:61" ht="20.25" customHeight="1">
      <c r="A92" s="1729" t="s">
        <v>2224</v>
      </c>
      <c r="B92" s="1729"/>
      <c r="C92" s="1729"/>
      <c r="D92" s="1729"/>
      <c r="E92" s="868"/>
      <c r="F92" s="1086" t="str">
        <f>ObracunPredaja</f>
        <v>28.2.2012.</v>
      </c>
      <c r="G92" s="868"/>
      <c r="H92" s="868"/>
      <c r="I92" s="868"/>
      <c r="J92" s="868"/>
      <c r="K92" s="868"/>
      <c r="L92" s="868"/>
      <c r="M92" s="868"/>
      <c r="N92" s="868"/>
      <c r="U92" s="1871"/>
      <c r="V92" s="1871"/>
      <c r="W92" s="1871"/>
      <c r="X92" s="1871"/>
      <c r="Y92" s="1871"/>
      <c r="Z92" s="1871"/>
      <c r="AA92" s="1871"/>
      <c r="AB92" s="1871"/>
      <c r="AC92" s="1871"/>
      <c r="AD92" s="1871"/>
      <c r="AE92" s="1871"/>
      <c r="AF92" s="1871"/>
      <c r="AG92" s="1871"/>
      <c r="AH92" s="1871"/>
      <c r="AI92" s="1871"/>
      <c r="AR92" s="6"/>
      <c r="AS92" s="6"/>
      <c r="AT92" s="25" t="s">
        <v>845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</row>
    <row r="93" spans="1:61" ht="15" customHeight="1">
      <c r="V93" s="1883">
        <f>RacunovodjaIme</f>
        <v>0</v>
      </c>
      <c r="W93" s="1883"/>
      <c r="X93" s="1883"/>
      <c r="Y93" s="1883"/>
      <c r="Z93" s="1883"/>
      <c r="AA93" s="1883"/>
      <c r="AB93" s="1883"/>
      <c r="AC93" s="1883"/>
      <c r="AD93" s="1883"/>
      <c r="AE93" s="1883"/>
      <c r="AF93" s="1883"/>
      <c r="AG93" s="1883"/>
      <c r="AH93" s="1883"/>
      <c r="AI93" s="1883"/>
      <c r="AJ93" s="1883"/>
      <c r="AO93" s="1889"/>
      <c r="AP93" s="1889"/>
      <c r="AQ93" s="1889"/>
      <c r="AR93" s="1889"/>
      <c r="AS93" s="1889"/>
      <c r="AT93" s="1889"/>
      <c r="AU93" s="1889"/>
      <c r="AV93" s="1889"/>
      <c r="AW93" s="1889"/>
      <c r="AX93" s="1889"/>
      <c r="AY93" s="1889"/>
      <c r="AZ93" s="1889"/>
      <c r="BA93" s="1889"/>
      <c r="BB93" s="1889"/>
      <c r="BC93" s="1889"/>
      <c r="BD93" s="6"/>
      <c r="BE93" s="6"/>
      <c r="BF93" s="6"/>
      <c r="BG93" s="6"/>
      <c r="BH93" s="6"/>
      <c r="BI93" s="6"/>
    </row>
    <row r="94" spans="1:61">
      <c r="Z94" s="1035" t="s">
        <v>844</v>
      </c>
      <c r="AA94" s="1882">
        <f>RacunovodjaLicenca</f>
        <v>0</v>
      </c>
      <c r="AB94" s="1882"/>
      <c r="AC94" s="1882"/>
      <c r="AD94" s="1882"/>
      <c r="AE94" s="1882"/>
      <c r="AF94" s="1882"/>
      <c r="AG94" s="1882"/>
      <c r="AH94" s="1882"/>
      <c r="AI94" s="1882"/>
      <c r="AO94" s="1883">
        <f>FirmaDirekor</f>
        <v>0</v>
      </c>
      <c r="AP94" s="1883"/>
      <c r="AQ94" s="1883"/>
      <c r="AR94" s="1883"/>
      <c r="AS94" s="1883"/>
      <c r="AT94" s="1883"/>
      <c r="AU94" s="1883"/>
      <c r="AV94" s="1883"/>
      <c r="AW94" s="1883"/>
      <c r="AX94" s="1883"/>
      <c r="AY94" s="1883"/>
      <c r="AZ94" s="1883"/>
      <c r="BA94" s="1883"/>
      <c r="BB94" s="1883"/>
      <c r="BC94" s="1883"/>
      <c r="BD94" s="6"/>
      <c r="BE94" s="6"/>
      <c r="BF94" s="6"/>
      <c r="BG94" s="6"/>
      <c r="BH94" s="6"/>
      <c r="BI94" s="6"/>
    </row>
    <row r="95" spans="1:61">
      <c r="A95" s="1" t="s">
        <v>1409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</row>
    <row r="96" spans="1:61"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 spans="44:61"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</row>
    <row r="98" spans="44:61"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 t="s">
        <v>2631</v>
      </c>
    </row>
    <row r="99" spans="44:61"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</row>
    <row r="100" spans="44:61"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</row>
    <row r="101" spans="44:61"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</row>
    <row r="102" spans="44:61"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</row>
    <row r="103" spans="44:61"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</row>
    <row r="104" spans="44:61"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</row>
    <row r="105" spans="44:61"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</row>
    <row r="106" spans="44:61"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</row>
    <row r="107" spans="44:61"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spans="44:61"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spans="44:61"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spans="44:61"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spans="44:61"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spans="44:61"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spans="44:61"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spans="44:61"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spans="44:61"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r="116" spans="44:61"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</row>
    <row r="117" spans="44:61"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</row>
    <row r="118" spans="44:61"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</row>
    <row r="119" spans="44:61"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</row>
    <row r="120" spans="44:61"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</row>
    <row r="121" spans="44:61"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</row>
    <row r="122" spans="44:61"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</row>
    <row r="123" spans="44:61"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</row>
    <row r="124" spans="44:61"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</row>
    <row r="125" spans="44:61"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</row>
    <row r="126" spans="44:61"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</row>
    <row r="127" spans="44:61"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</row>
    <row r="128" spans="44:61"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</row>
    <row r="129" spans="44:61"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spans="44:61"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spans="44:61"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spans="44:61"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spans="44:61"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spans="44:61"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r="135" spans="44:61"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r="136" spans="44:61"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r="137" spans="44:61"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spans="44:61"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r="139" spans="44:61"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r="140" spans="44:61"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</row>
    <row r="141" spans="44:61"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</row>
    <row r="142" spans="44:61"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</row>
    <row r="143" spans="44:61"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</row>
    <row r="144" spans="44:61"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</row>
    <row r="145" spans="44:61"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</row>
    <row r="146" spans="44:61"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</row>
    <row r="147" spans="44:61"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</row>
    <row r="148" spans="44:61"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</row>
    <row r="149" spans="44:61"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</row>
    <row r="150" spans="44:61"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</row>
    <row r="151" spans="44:61"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</row>
    <row r="152" spans="44:61"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</row>
    <row r="153" spans="44:61"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</row>
    <row r="154" spans="44:61"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</row>
    <row r="155" spans="44:61"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</row>
    <row r="156" spans="44:61"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</row>
    <row r="157" spans="44:61"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r="158" spans="44:61"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</row>
    <row r="159" spans="44:61"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</row>
    <row r="160" spans="44:61"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</row>
    <row r="161" spans="44:61"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</row>
    <row r="162" spans="44:61"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</row>
    <row r="163" spans="44:61"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</row>
    <row r="164" spans="44:61"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</row>
    <row r="165" spans="44:61"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</row>
    <row r="166" spans="44:61"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</row>
    <row r="167" spans="44:61"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</row>
    <row r="168" spans="44:61"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</row>
    <row r="169" spans="44:61"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</row>
    <row r="170" spans="44:61"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</row>
    <row r="171" spans="44:61"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</row>
    <row r="172" spans="44:61"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</row>
    <row r="173" spans="44:61"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</row>
    <row r="174" spans="44:61"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</row>
    <row r="175" spans="44:61"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</row>
    <row r="176" spans="44:61"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</row>
    <row r="177" spans="44:61"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</row>
    <row r="178" spans="44:61"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</row>
    <row r="179" spans="44:61"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</row>
    <row r="180" spans="44:61"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</row>
    <row r="181" spans="44:61"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</row>
    <row r="182" spans="44:61"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</row>
    <row r="183" spans="44:61"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</row>
    <row r="184" spans="44:61"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</row>
    <row r="185" spans="44:61"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</row>
    <row r="186" spans="44:61"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</row>
    <row r="187" spans="44:61"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</row>
    <row r="188" spans="44:61"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</row>
    <row r="189" spans="44:61"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</row>
    <row r="190" spans="44:61"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</row>
    <row r="191" spans="44:61"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</row>
    <row r="192" spans="44:61"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</row>
    <row r="193" spans="44:61"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</row>
    <row r="194" spans="44:61"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</row>
    <row r="195" spans="44:61"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spans="44:61"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</row>
    <row r="197" spans="44:61"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</row>
    <row r="198" spans="44:61"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</row>
    <row r="199" spans="44:61"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r="200" spans="44:61"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  <row r="201" spans="44:61"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</row>
    <row r="202" spans="44:61"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</row>
    <row r="203" spans="44:61"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</row>
    <row r="204" spans="44:61"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</row>
    <row r="205" spans="44:61"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</row>
    <row r="206" spans="44:61"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</row>
    <row r="207" spans="44:61"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</row>
    <row r="208" spans="44:61"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</row>
    <row r="209" spans="44:61"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</row>
    <row r="210" spans="44:61"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</row>
    <row r="211" spans="44:61"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</row>
    <row r="212" spans="44:61"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</row>
    <row r="213" spans="44:61"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</row>
    <row r="214" spans="44:61"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</row>
    <row r="215" spans="44:61"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</row>
    <row r="216" spans="44:61"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</row>
    <row r="217" spans="44:61"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</row>
    <row r="218" spans="44:61"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</row>
    <row r="219" spans="44:61"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</row>
    <row r="220" spans="44:61"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</row>
    <row r="221" spans="44:61"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</row>
    <row r="222" spans="44:61"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</row>
    <row r="223" spans="44:61"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</row>
    <row r="224" spans="44:61"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</row>
    <row r="225" spans="44:61"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</row>
    <row r="226" spans="44:61"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</row>
    <row r="227" spans="44:61"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</row>
    <row r="228" spans="44:61"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</row>
    <row r="229" spans="44:61"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</row>
    <row r="230" spans="44:61"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</row>
    <row r="231" spans="44:61"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</row>
    <row r="232" spans="44:61"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</row>
    <row r="233" spans="44:61"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</row>
    <row r="234" spans="44:61"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</row>
    <row r="235" spans="44:61"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</row>
    <row r="236" spans="44:61"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</row>
    <row r="237" spans="44:61"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</row>
    <row r="238" spans="44:61"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</row>
    <row r="239" spans="44:61"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</row>
    <row r="240" spans="44:61"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</row>
    <row r="241" spans="44:61"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</row>
    <row r="242" spans="44:61"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</row>
    <row r="243" spans="44:61"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</row>
    <row r="244" spans="44:61"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</row>
    <row r="245" spans="44:61"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</row>
    <row r="246" spans="44:61"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</row>
    <row r="247" spans="44:61"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</row>
    <row r="248" spans="44:61"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</row>
    <row r="249" spans="44:61"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</row>
    <row r="250" spans="44:61"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</row>
    <row r="251" spans="44:61"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</row>
    <row r="252" spans="44:61"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</row>
    <row r="253" spans="44:61"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</row>
    <row r="254" spans="44:61"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</row>
    <row r="255" spans="44:61"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</row>
    <row r="256" spans="44:61"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</row>
    <row r="257" spans="44:61"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</row>
    <row r="258" spans="44:61"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</row>
    <row r="259" spans="44:61"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</row>
    <row r="260" spans="44:61"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</row>
    <row r="261" spans="44:61"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</row>
    <row r="262" spans="44:61"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</row>
    <row r="263" spans="44:61"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</row>
    <row r="264" spans="44:61"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</row>
    <row r="265" spans="44:61"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</row>
    <row r="266" spans="44:61"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</row>
    <row r="267" spans="44:61"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</row>
    <row r="268" spans="44:61"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</row>
    <row r="269" spans="44:61"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</row>
    <row r="270" spans="44:61"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</row>
    <row r="271" spans="44:61"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</row>
    <row r="272" spans="44:61"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</row>
    <row r="273" spans="44:61"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</row>
    <row r="274" spans="44:61"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</row>
    <row r="275" spans="44:61"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</row>
    <row r="276" spans="44:61"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</row>
    <row r="277" spans="44:61"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</row>
    <row r="278" spans="44:61"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</row>
    <row r="279" spans="44:61"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</row>
    <row r="280" spans="44:61"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</row>
    <row r="281" spans="44:61"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</row>
    <row r="282" spans="44:61"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</row>
    <row r="283" spans="44:61"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</row>
    <row r="284" spans="44:61"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</row>
    <row r="285" spans="44:61"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</row>
    <row r="286" spans="44:61"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</row>
    <row r="287" spans="44:61"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</row>
    <row r="288" spans="44:61"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</row>
    <row r="289" spans="44:61"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</row>
    <row r="290" spans="44:61"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</row>
    <row r="291" spans="44:61"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</row>
    <row r="292" spans="44:61"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</row>
    <row r="293" spans="44:61"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</row>
    <row r="294" spans="44:61"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</row>
    <row r="295" spans="44:61"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</row>
    <row r="296" spans="44:61"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</row>
    <row r="297" spans="44:61"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</row>
    <row r="298" spans="44:61"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</row>
    <row r="299" spans="44:61"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</row>
    <row r="300" spans="44:61"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</row>
    <row r="301" spans="44:61"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</row>
    <row r="302" spans="44:61"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</row>
    <row r="303" spans="44:61"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</row>
    <row r="304" spans="44:61"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</row>
    <row r="305" spans="44:61"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</row>
    <row r="306" spans="44:61"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</row>
    <row r="307" spans="44:61"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</row>
    <row r="308" spans="44:61"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</row>
    <row r="309" spans="44:61"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</row>
    <row r="310" spans="44:61"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</row>
    <row r="311" spans="44:61"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</row>
    <row r="312" spans="44:61"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</row>
    <row r="313" spans="44:61"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</row>
    <row r="314" spans="44:61"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</row>
    <row r="315" spans="44:61"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</row>
    <row r="316" spans="44:61"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</row>
    <row r="317" spans="44:61"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</row>
    <row r="318" spans="44:61"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</row>
    <row r="319" spans="44:61"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</row>
    <row r="320" spans="44:61"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</row>
    <row r="321" spans="44:61"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</row>
    <row r="322" spans="44:61"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</row>
    <row r="323" spans="44:61"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</row>
    <row r="324" spans="44:61"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</row>
    <row r="325" spans="44:61"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</row>
    <row r="326" spans="44:61"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</row>
    <row r="327" spans="44:61"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</row>
    <row r="328" spans="44:61"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</row>
    <row r="329" spans="44:61"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</row>
    <row r="330" spans="44:61"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</row>
    <row r="331" spans="44:61"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</row>
    <row r="332" spans="44:61"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</row>
    <row r="333" spans="44:61"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</row>
    <row r="334" spans="44:61"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</row>
    <row r="335" spans="44:61"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</row>
    <row r="336" spans="44:61"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</row>
    <row r="337" spans="44:61"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</row>
    <row r="338" spans="44:61"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</row>
    <row r="339" spans="44:61"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</row>
    <row r="340" spans="44:61"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</row>
    <row r="341" spans="44:61"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</row>
    <row r="342" spans="44:61"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</row>
    <row r="343" spans="44:61"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</row>
    <row r="344" spans="44:61"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</row>
    <row r="345" spans="44:61"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</row>
    <row r="346" spans="44:61"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</row>
    <row r="347" spans="44:61"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</row>
    <row r="348" spans="44:61"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</row>
    <row r="349" spans="44:61"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</row>
    <row r="350" spans="44:61"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</row>
    <row r="351" spans="44:61"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</row>
    <row r="352" spans="44:61"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</row>
    <row r="353" spans="44:61"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</row>
    <row r="354" spans="44:61"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</row>
    <row r="355" spans="44:61"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</row>
    <row r="356" spans="44:61"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</row>
    <row r="357" spans="44:61"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</row>
    <row r="358" spans="44:61"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</row>
    <row r="359" spans="44:61"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</row>
    <row r="360" spans="44:61"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</row>
    <row r="361" spans="44:61"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</row>
    <row r="362" spans="44:61"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</row>
    <row r="363" spans="44:61"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</row>
    <row r="364" spans="44:61"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</row>
    <row r="365" spans="44:61"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</row>
    <row r="366" spans="44:61"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</row>
    <row r="367" spans="44:61"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</row>
    <row r="368" spans="44:61"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</row>
    <row r="369" spans="44:61"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</row>
    <row r="370" spans="44:61"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</row>
    <row r="371" spans="44:61"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</row>
    <row r="372" spans="44:61"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</row>
    <row r="373" spans="44:61"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</row>
    <row r="374" spans="44:61"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</row>
    <row r="375" spans="44:61"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</row>
    <row r="376" spans="44:61"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</row>
    <row r="377" spans="44:61"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</row>
    <row r="378" spans="44:61"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</row>
    <row r="379" spans="44:61"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</row>
    <row r="380" spans="44:61"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</row>
    <row r="381" spans="44:61"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</row>
    <row r="382" spans="44:61"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</row>
    <row r="383" spans="44:61"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</row>
    <row r="384" spans="44:61"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</row>
    <row r="385" spans="44:61"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</row>
    <row r="386" spans="44:61"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</row>
    <row r="387" spans="44:61"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</row>
    <row r="388" spans="44:61"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</row>
    <row r="389" spans="44:61"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</row>
    <row r="390" spans="44:61"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</row>
    <row r="391" spans="44:61"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</row>
    <row r="392" spans="44:61"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</row>
    <row r="393" spans="44:61"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</row>
    <row r="394" spans="44:61"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</row>
    <row r="395" spans="44:61"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</row>
    <row r="396" spans="44:61"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</row>
    <row r="397" spans="44:61"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</row>
    <row r="398" spans="44:61"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</row>
    <row r="399" spans="44:61"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</row>
    <row r="400" spans="44:61"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</row>
    <row r="401" spans="44:61"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</row>
    <row r="402" spans="44:61"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</row>
    <row r="403" spans="44:61"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</row>
    <row r="404" spans="44:61"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</row>
    <row r="405" spans="44:61"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</row>
    <row r="406" spans="44:61"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</row>
    <row r="407" spans="44:61"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</row>
    <row r="408" spans="44:61"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</row>
    <row r="409" spans="44:61"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</row>
    <row r="410" spans="44:61"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</row>
    <row r="411" spans="44:61"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</row>
    <row r="412" spans="44:61"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</row>
    <row r="413" spans="44:61"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</row>
    <row r="414" spans="44:61"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</row>
    <row r="415" spans="44:61"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</row>
    <row r="416" spans="44:61"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</row>
    <row r="417" spans="44:61"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</row>
    <row r="418" spans="44:61"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</row>
    <row r="419" spans="44:61"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</row>
    <row r="420" spans="44:61"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</row>
    <row r="421" spans="44:61"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</row>
    <row r="422" spans="44:61"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</row>
    <row r="423" spans="44:61"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</row>
    <row r="424" spans="44:61"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</row>
    <row r="425" spans="44:61"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</row>
    <row r="426" spans="44:61"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</row>
    <row r="427" spans="44:61"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</row>
    <row r="428" spans="44:61"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</row>
    <row r="429" spans="44:61"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</row>
    <row r="430" spans="44:61"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</row>
    <row r="431" spans="44:61"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</row>
    <row r="432" spans="44:61"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</row>
    <row r="433" spans="44:61"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</row>
    <row r="434" spans="44:61"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</row>
    <row r="435" spans="44:61"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</row>
    <row r="436" spans="44:61"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</row>
    <row r="437" spans="44:61"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</row>
    <row r="438" spans="44:61"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</row>
    <row r="439" spans="44:61"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</row>
    <row r="440" spans="44:61"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</row>
    <row r="441" spans="44:61"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</row>
    <row r="442" spans="44:61"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</row>
    <row r="443" spans="44:61"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</row>
    <row r="444" spans="44:61"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</row>
    <row r="445" spans="44:61"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</row>
    <row r="446" spans="44:61"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</row>
    <row r="447" spans="44:61"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</row>
    <row r="448" spans="44:61"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</row>
    <row r="449" spans="44:61"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</row>
    <row r="450" spans="44:61"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</row>
    <row r="451" spans="44:61"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</row>
    <row r="452" spans="44:61"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</row>
    <row r="453" spans="44:61"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</row>
    <row r="454" spans="44:61"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</row>
    <row r="455" spans="44:61"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</row>
    <row r="456" spans="44:61"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</row>
    <row r="457" spans="44:61"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</row>
    <row r="458" spans="44:61"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</row>
    <row r="459" spans="44:61"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</row>
    <row r="460" spans="44:61"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</row>
    <row r="461" spans="44:61"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</row>
    <row r="462" spans="44:61"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</row>
    <row r="463" spans="44:61"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</row>
    <row r="464" spans="44:61"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</row>
    <row r="465" spans="44:61"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</row>
    <row r="466" spans="44:61"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</row>
    <row r="467" spans="44:61"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</row>
    <row r="468" spans="44:61"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</row>
    <row r="469" spans="44:61"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</row>
    <row r="470" spans="44:61"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</row>
    <row r="471" spans="44:61"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</row>
    <row r="472" spans="44:61"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</row>
    <row r="473" spans="44:61"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</row>
    <row r="474" spans="44:61"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</row>
    <row r="475" spans="44:61"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</row>
    <row r="476" spans="44:61"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</row>
    <row r="477" spans="44:61"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</row>
    <row r="478" spans="44:61"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</row>
    <row r="479" spans="44:61"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</row>
    <row r="480" spans="44:61"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</row>
    <row r="481" spans="44:61"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</row>
    <row r="482" spans="44:61"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</row>
    <row r="483" spans="44:61"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</row>
    <row r="484" spans="44:61"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</row>
    <row r="485" spans="44:61"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</row>
    <row r="486" spans="44:61"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</row>
    <row r="487" spans="44:61"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</row>
    <row r="488" spans="44:61"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</row>
    <row r="489" spans="44:61"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</row>
    <row r="490" spans="44:61"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</row>
    <row r="491" spans="44:61"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</row>
    <row r="492" spans="44:61"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</row>
    <row r="493" spans="44:61"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</row>
    <row r="494" spans="44:61"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</row>
    <row r="495" spans="44:61"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</row>
    <row r="496" spans="44:61"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</row>
    <row r="497" spans="44:61"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</row>
    <row r="498" spans="44:61"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</row>
    <row r="499" spans="44:61"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</row>
    <row r="500" spans="44:61"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</row>
    <row r="501" spans="44:61"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</row>
    <row r="502" spans="44:61"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</row>
    <row r="503" spans="44:61"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</row>
    <row r="504" spans="44:61"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</row>
    <row r="505" spans="44:61"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</row>
    <row r="506" spans="44:61"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</row>
    <row r="507" spans="44:61"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</row>
    <row r="508" spans="44:61"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</row>
    <row r="509" spans="44:61"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</row>
    <row r="510" spans="44:61"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</row>
    <row r="511" spans="44:61"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</row>
    <row r="512" spans="44:61"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</row>
    <row r="513" spans="44:61"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</row>
    <row r="514" spans="44:61"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</row>
    <row r="515" spans="44:61"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</row>
    <row r="516" spans="44:61"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</row>
    <row r="517" spans="44:61"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</row>
    <row r="518" spans="44:61"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</row>
    <row r="519" spans="44:61"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</row>
    <row r="520" spans="44:61"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</row>
    <row r="521" spans="44:61"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</row>
    <row r="522" spans="44:61"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</row>
    <row r="523" spans="44:61"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</row>
    <row r="524" spans="44:61"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</row>
    <row r="525" spans="44:61"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</row>
    <row r="526" spans="44:61"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</row>
    <row r="527" spans="44:61"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</row>
    <row r="528" spans="44:61"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</row>
    <row r="529" spans="44:61"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</row>
    <row r="530" spans="44:61"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</row>
    <row r="531" spans="44:61"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</row>
    <row r="532" spans="44:61"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</row>
    <row r="533" spans="44:61"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</row>
    <row r="534" spans="44:61"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</row>
    <row r="535" spans="44:61"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</row>
    <row r="536" spans="44:61"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</row>
    <row r="537" spans="44:61"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</row>
    <row r="538" spans="44:61"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</row>
    <row r="539" spans="44:61"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</row>
    <row r="540" spans="44:61"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</row>
    <row r="541" spans="44:61"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</row>
    <row r="542" spans="44:61"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</row>
    <row r="543" spans="44:61"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</row>
    <row r="544" spans="44:61"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</row>
    <row r="545" spans="44:61"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</row>
    <row r="546" spans="44:61"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</row>
    <row r="547" spans="44:61"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</row>
    <row r="548" spans="44:61"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</row>
    <row r="549" spans="44:61"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</row>
    <row r="550" spans="44:61"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</row>
    <row r="551" spans="44:61"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</row>
    <row r="552" spans="44:61"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</row>
    <row r="553" spans="44:61"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</row>
    <row r="554" spans="44:61"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</row>
    <row r="555" spans="44:61"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</row>
    <row r="556" spans="44:61"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</row>
    <row r="557" spans="44:61"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</row>
    <row r="558" spans="44:61"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</row>
    <row r="559" spans="44:61"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</row>
    <row r="560" spans="44:61"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</row>
    <row r="561" spans="44:61"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</row>
    <row r="562" spans="44:61"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</row>
    <row r="563" spans="44:61"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</row>
    <row r="564" spans="44:61"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</row>
    <row r="565" spans="44:61"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</row>
    <row r="566" spans="44:61"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</row>
    <row r="567" spans="44:61"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</row>
    <row r="568" spans="44:61"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</row>
    <row r="569" spans="44:61"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</row>
    <row r="570" spans="44:61"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</row>
    <row r="571" spans="44:61"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</row>
    <row r="572" spans="44:61"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</row>
    <row r="573" spans="44:61"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</row>
    <row r="574" spans="44:61"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</row>
    <row r="575" spans="44:61"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</row>
    <row r="576" spans="44:61"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</row>
    <row r="577" spans="44:61"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</row>
    <row r="578" spans="44:61"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</row>
    <row r="579" spans="44:61"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</row>
    <row r="580" spans="44:61"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</row>
    <row r="581" spans="44:61"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</row>
    <row r="582" spans="44:61"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</row>
    <row r="583" spans="44:61"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</row>
    <row r="584" spans="44:61"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</row>
    <row r="585" spans="44:61"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</row>
    <row r="586" spans="44:61"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</row>
    <row r="587" spans="44:61"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</row>
    <row r="588" spans="44:61"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</row>
    <row r="589" spans="44:61"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</row>
    <row r="590" spans="44:61"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</row>
    <row r="591" spans="44:61"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</row>
    <row r="592" spans="44:61"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</row>
    <row r="593" spans="44:61"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</row>
    <row r="594" spans="44:61"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</row>
    <row r="595" spans="44:61"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</row>
    <row r="596" spans="44:61"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</row>
    <row r="597" spans="44:61"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</row>
    <row r="598" spans="44:61"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</row>
    <row r="599" spans="44:61"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</row>
    <row r="600" spans="44:61"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</row>
    <row r="601" spans="44:61"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</row>
    <row r="602" spans="44:61"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</row>
    <row r="603" spans="44:61"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</row>
    <row r="604" spans="44:61"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</row>
    <row r="605" spans="44:61"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</row>
    <row r="606" spans="44:61"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</row>
    <row r="607" spans="44:61"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</row>
    <row r="608" spans="44:61"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</row>
    <row r="609" spans="44:61"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</row>
    <row r="610" spans="44:61"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</row>
    <row r="611" spans="44:61"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</row>
    <row r="612" spans="44:61"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</row>
    <row r="613" spans="44:61"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</row>
    <row r="614" spans="44:61"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</row>
    <row r="615" spans="44:61"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</row>
    <row r="616" spans="44:61"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</row>
    <row r="617" spans="44:61"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</row>
    <row r="618" spans="44:61"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</row>
    <row r="619" spans="44:61"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</row>
    <row r="620" spans="44:61"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</row>
    <row r="621" spans="44:61"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</row>
    <row r="622" spans="44:61"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</row>
    <row r="623" spans="44:61"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</row>
    <row r="624" spans="44:61"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</row>
    <row r="625" spans="44:61"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</row>
    <row r="626" spans="44:61"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</row>
    <row r="627" spans="44:61"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</row>
    <row r="628" spans="44:61"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</row>
    <row r="629" spans="44:61"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</row>
    <row r="630" spans="44:61"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</row>
    <row r="631" spans="44:61"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</row>
    <row r="632" spans="44:61"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</row>
    <row r="633" spans="44:61"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</row>
    <row r="634" spans="44:61"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</row>
    <row r="635" spans="44:61"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</row>
    <row r="636" spans="44:61"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</row>
    <row r="637" spans="44:61"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</row>
    <row r="638" spans="44:61"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</row>
    <row r="639" spans="44:61"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</row>
    <row r="640" spans="44:61"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</row>
    <row r="641" spans="44:61"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</row>
    <row r="642" spans="44:61"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</row>
    <row r="643" spans="44:61"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</row>
    <row r="644" spans="44:61"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</row>
    <row r="645" spans="44:61"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</row>
    <row r="646" spans="44:61"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</row>
    <row r="647" spans="44:61"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</row>
    <row r="648" spans="44:61"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</row>
    <row r="649" spans="44:61"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</row>
    <row r="650" spans="44:61"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</row>
    <row r="651" spans="44:61"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</row>
    <row r="652" spans="44:61"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</row>
    <row r="653" spans="44:61"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</row>
    <row r="654" spans="44:61"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</row>
    <row r="655" spans="44:61"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</row>
    <row r="656" spans="44:61"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</row>
    <row r="657" spans="44:61"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</row>
    <row r="658" spans="44:61"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</row>
    <row r="659" spans="44:61"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</row>
    <row r="660" spans="44:61"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</row>
    <row r="661" spans="44:61"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</row>
    <row r="662" spans="44:61"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</row>
    <row r="663" spans="44:61"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</row>
    <row r="664" spans="44:61"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</row>
    <row r="665" spans="44:61"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</row>
    <row r="666" spans="44:61"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</row>
    <row r="667" spans="44:61"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</row>
    <row r="668" spans="44:61"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</row>
    <row r="669" spans="44:61"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</row>
    <row r="670" spans="44:61"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</row>
    <row r="671" spans="44:61"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</row>
    <row r="672" spans="44:61"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</row>
    <row r="673" spans="44:61"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</row>
    <row r="674" spans="44:61"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</row>
    <row r="675" spans="44:61"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</row>
    <row r="676" spans="44:61"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</row>
    <row r="677" spans="44:61"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</row>
    <row r="678" spans="44:61"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</row>
    <row r="679" spans="44:61"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</row>
    <row r="680" spans="44:61"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</row>
    <row r="681" spans="44:61"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</row>
    <row r="682" spans="44:61"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</row>
    <row r="683" spans="44:61"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</row>
    <row r="684" spans="44:61"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</row>
    <row r="685" spans="44:61"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</row>
    <row r="686" spans="44:61"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</row>
    <row r="687" spans="44:61"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</row>
    <row r="688" spans="44:61"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</row>
    <row r="689" spans="44:61"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</row>
    <row r="690" spans="44:61"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</row>
    <row r="691" spans="44:61"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</row>
    <row r="692" spans="44:61"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</row>
    <row r="693" spans="44:61"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</row>
    <row r="694" spans="44:61"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</row>
    <row r="695" spans="44:61"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</row>
    <row r="696" spans="44:61"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</row>
    <row r="697" spans="44:61"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</row>
    <row r="698" spans="44:61"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</row>
    <row r="699" spans="44:61"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</row>
    <row r="700" spans="44:61"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</row>
    <row r="701" spans="44:61"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</row>
    <row r="702" spans="44:61"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</row>
    <row r="703" spans="44:61"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</row>
    <row r="704" spans="44:61"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</row>
    <row r="705" spans="44:61"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</row>
    <row r="706" spans="44:61"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</row>
    <row r="707" spans="44:61"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</row>
    <row r="708" spans="44:61"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</row>
    <row r="709" spans="44:61"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</row>
    <row r="710" spans="44:61"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</row>
    <row r="711" spans="44:61"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</row>
    <row r="712" spans="44:61"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</row>
    <row r="713" spans="44:61"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</row>
    <row r="714" spans="44:61"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</row>
    <row r="715" spans="44:61"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</row>
    <row r="716" spans="44:61"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</row>
    <row r="717" spans="44:61"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</row>
    <row r="718" spans="44:61"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</row>
    <row r="719" spans="44:61"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</row>
    <row r="720" spans="44:61"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</row>
    <row r="721" spans="44:61"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</row>
    <row r="722" spans="44:61"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</row>
    <row r="723" spans="44:61"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</row>
    <row r="724" spans="44:61"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</row>
    <row r="725" spans="44:61"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</row>
    <row r="726" spans="44:61"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</row>
    <row r="727" spans="44:61"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</row>
    <row r="728" spans="44:61"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</row>
    <row r="729" spans="44:61"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</row>
    <row r="730" spans="44:61"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</row>
    <row r="731" spans="44:61"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</row>
    <row r="732" spans="44:61"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</row>
    <row r="733" spans="44:61"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</row>
    <row r="734" spans="44:61"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</row>
    <row r="735" spans="44:61"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</row>
    <row r="736" spans="44:61"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</row>
    <row r="737" spans="44:61"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</row>
    <row r="738" spans="44:61"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</row>
    <row r="739" spans="44:61"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</row>
    <row r="740" spans="44:61"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</row>
    <row r="741" spans="44:61"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</row>
    <row r="742" spans="44:61"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</row>
    <row r="743" spans="44:61"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</row>
    <row r="744" spans="44:61"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</row>
    <row r="745" spans="44:61"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</row>
    <row r="746" spans="44:61"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</row>
    <row r="747" spans="44:61"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</row>
    <row r="748" spans="44:61"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</row>
    <row r="749" spans="44:61"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</row>
    <row r="750" spans="44:61"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</row>
    <row r="751" spans="44:61"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</row>
    <row r="752" spans="44:61"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</row>
    <row r="753" spans="44:61"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</row>
    <row r="754" spans="44:61"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</row>
    <row r="755" spans="44:61"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</row>
    <row r="756" spans="44:61"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</row>
    <row r="757" spans="44:61"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</row>
    <row r="758" spans="44:61"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</row>
    <row r="759" spans="44:61"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</row>
    <row r="760" spans="44:61"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</row>
    <row r="761" spans="44:61"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</row>
    <row r="762" spans="44:61"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</row>
    <row r="763" spans="44:61"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</row>
    <row r="764" spans="44:61"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</row>
    <row r="765" spans="44:61"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</row>
    <row r="766" spans="44:61"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</row>
    <row r="767" spans="44:61"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</row>
    <row r="768" spans="44:61"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</row>
    <row r="769" spans="44:61"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</row>
    <row r="770" spans="44:61"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</row>
    <row r="771" spans="44:61"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</row>
    <row r="772" spans="44:61"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</row>
    <row r="773" spans="44:61"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</row>
    <row r="774" spans="44:61"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</row>
    <row r="775" spans="44:61"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</row>
    <row r="776" spans="44:61"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</row>
    <row r="777" spans="44:61"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</row>
    <row r="778" spans="44:61"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</row>
    <row r="779" spans="44:61"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</row>
    <row r="780" spans="44:61"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</row>
    <row r="781" spans="44:61"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</row>
    <row r="782" spans="44:61"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</row>
    <row r="783" spans="44:61"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</row>
    <row r="784" spans="44:61"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</row>
    <row r="785" spans="44:61"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</row>
    <row r="786" spans="44:61"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</row>
    <row r="787" spans="44:61"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</row>
    <row r="788" spans="44:61"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</row>
    <row r="789" spans="44:61"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</row>
    <row r="790" spans="44:61"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</row>
    <row r="791" spans="44:61"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</row>
    <row r="792" spans="44:61"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</row>
    <row r="793" spans="44:61"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</row>
    <row r="794" spans="44:61"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</row>
    <row r="795" spans="44:61"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</row>
    <row r="796" spans="44:61"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</row>
    <row r="797" spans="44:61"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</row>
    <row r="798" spans="44:61"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</row>
    <row r="799" spans="44:61"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</row>
    <row r="800" spans="44:61"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</row>
    <row r="801" spans="44:61"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</row>
    <row r="802" spans="44:61"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</row>
    <row r="803" spans="44:61"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</row>
  </sheetData>
  <mergeCells count="459">
    <mergeCell ref="AI39:AK39"/>
    <mergeCell ref="AL39:AN39"/>
    <mergeCell ref="AI88:AK88"/>
    <mergeCell ref="AL88:AN88"/>
    <mergeCell ref="AI85:AK85"/>
    <mergeCell ref="AL85:AN85"/>
    <mergeCell ref="AI86:AK86"/>
    <mergeCell ref="AL86:AN86"/>
    <mergeCell ref="BA87:BI87"/>
    <mergeCell ref="AI87:AK87"/>
    <mergeCell ref="AL87:AN87"/>
    <mergeCell ref="AR87:AZ87"/>
    <mergeCell ref="BA84:BI84"/>
    <mergeCell ref="BA85:BI85"/>
    <mergeCell ref="AR84:AZ84"/>
    <mergeCell ref="AL84:AN84"/>
    <mergeCell ref="BA86:BI86"/>
    <mergeCell ref="AR86:AZ86"/>
    <mergeCell ref="AR85:AZ85"/>
    <mergeCell ref="AL57:AN57"/>
    <mergeCell ref="AL58:AN58"/>
    <mergeCell ref="AR61:AZ61"/>
    <mergeCell ref="AO55:AQ55"/>
    <mergeCell ref="AO56:AQ56"/>
    <mergeCell ref="A87:C87"/>
    <mergeCell ref="D87:AH87"/>
    <mergeCell ref="AO87:AQ87"/>
    <mergeCell ref="D86:AH86"/>
    <mergeCell ref="AO86:AQ86"/>
    <mergeCell ref="A84:C84"/>
    <mergeCell ref="D84:AH84"/>
    <mergeCell ref="AO84:AQ84"/>
    <mergeCell ref="A86:C86"/>
    <mergeCell ref="AI84:AK84"/>
    <mergeCell ref="A85:C85"/>
    <mergeCell ref="D85:AH85"/>
    <mergeCell ref="AO85:AQ85"/>
    <mergeCell ref="A82:C82"/>
    <mergeCell ref="D82:AH82"/>
    <mergeCell ref="AR82:AZ82"/>
    <mergeCell ref="AO82:AQ82"/>
    <mergeCell ref="AI82:AK82"/>
    <mergeCell ref="AL82:AN82"/>
    <mergeCell ref="BA82:BI82"/>
    <mergeCell ref="BA77:BI77"/>
    <mergeCell ref="BA78:BI78"/>
    <mergeCell ref="BA79:BI79"/>
    <mergeCell ref="AR79:AZ79"/>
    <mergeCell ref="AI79:AK79"/>
    <mergeCell ref="AL80:AN80"/>
    <mergeCell ref="AR77:AZ77"/>
    <mergeCell ref="A81:C81"/>
    <mergeCell ref="A80:C80"/>
    <mergeCell ref="D83:AH83"/>
    <mergeCell ref="AO83:AQ83"/>
    <mergeCell ref="AR83:AZ83"/>
    <mergeCell ref="BA83:BI83"/>
    <mergeCell ref="AI83:AK83"/>
    <mergeCell ref="AL83:AN83"/>
    <mergeCell ref="AL79:AN79"/>
    <mergeCell ref="AO78:AQ78"/>
    <mergeCell ref="AI78:AK78"/>
    <mergeCell ref="D81:AH81"/>
    <mergeCell ref="AR80:AZ80"/>
    <mergeCell ref="BA80:BI80"/>
    <mergeCell ref="D80:AH80"/>
    <mergeCell ref="BA81:BI81"/>
    <mergeCell ref="AI80:AK80"/>
    <mergeCell ref="AO81:AQ81"/>
    <mergeCell ref="AR81:AZ81"/>
    <mergeCell ref="AI81:AK81"/>
    <mergeCell ref="AL81:AN81"/>
    <mergeCell ref="BA74:BI74"/>
    <mergeCell ref="AI74:AK74"/>
    <mergeCell ref="AI76:AK76"/>
    <mergeCell ref="AL76:AN76"/>
    <mergeCell ref="BA75:BI75"/>
    <mergeCell ref="AI75:AK75"/>
    <mergeCell ref="AL75:AN75"/>
    <mergeCell ref="AR75:AZ75"/>
    <mergeCell ref="AR76:AZ76"/>
    <mergeCell ref="BA76:BI76"/>
    <mergeCell ref="AR57:AZ57"/>
    <mergeCell ref="AO61:AQ61"/>
    <mergeCell ref="A73:C73"/>
    <mergeCell ref="AL78:AN78"/>
    <mergeCell ref="AO77:AQ77"/>
    <mergeCell ref="A75:C75"/>
    <mergeCell ref="D75:AH75"/>
    <mergeCell ref="AO75:AQ75"/>
    <mergeCell ref="AO76:AQ76"/>
    <mergeCell ref="AL74:AN74"/>
    <mergeCell ref="AI77:AK77"/>
    <mergeCell ref="AL77:AN77"/>
    <mergeCell ref="AR78:AZ78"/>
    <mergeCell ref="AO73:AQ73"/>
    <mergeCell ref="AL73:AN73"/>
    <mergeCell ref="AO57:AQ57"/>
    <mergeCell ref="AI58:AK58"/>
    <mergeCell ref="AI59:AK59"/>
    <mergeCell ref="AI65:AK65"/>
    <mergeCell ref="AL65:AN65"/>
    <mergeCell ref="AI62:AK62"/>
    <mergeCell ref="AL62:AN62"/>
    <mergeCell ref="AI63:AK63"/>
    <mergeCell ref="AL63:AN63"/>
    <mergeCell ref="A2:AA2"/>
    <mergeCell ref="A3:AA3"/>
    <mergeCell ref="A4:AA4"/>
    <mergeCell ref="A5:AA5"/>
    <mergeCell ref="A6:AA6"/>
    <mergeCell ref="A7:AA7"/>
    <mergeCell ref="AO54:AQ54"/>
    <mergeCell ref="AL54:AN54"/>
    <mergeCell ref="AI57:AK57"/>
    <mergeCell ref="AI54:AK54"/>
    <mergeCell ref="AL53:AN53"/>
    <mergeCell ref="D54:AH54"/>
    <mergeCell ref="A53:C53"/>
    <mergeCell ref="D53:AH53"/>
    <mergeCell ref="A54:C54"/>
    <mergeCell ref="AI33:AK33"/>
    <mergeCell ref="AL33:AN33"/>
    <mergeCell ref="AI30:AK30"/>
    <mergeCell ref="AL30:AN30"/>
    <mergeCell ref="AI31:AK31"/>
    <mergeCell ref="AL31:AN31"/>
    <mergeCell ref="AI32:AK32"/>
    <mergeCell ref="AL32:AN32"/>
    <mergeCell ref="AI29:AK29"/>
    <mergeCell ref="S12:AH12"/>
    <mergeCell ref="AP12:BE12"/>
    <mergeCell ref="A13:P13"/>
    <mergeCell ref="S13:AH13"/>
    <mergeCell ref="AP13:BE13"/>
    <mergeCell ref="AO28:AQ28"/>
    <mergeCell ref="A12:P12"/>
    <mergeCell ref="AI28:AK28"/>
    <mergeCell ref="AL28:AN28"/>
    <mergeCell ref="AP16:BH17"/>
    <mergeCell ref="R15:T17"/>
    <mergeCell ref="A16:E17"/>
    <mergeCell ref="F16:H17"/>
    <mergeCell ref="I16:O17"/>
    <mergeCell ref="AO26:AQ26"/>
    <mergeCell ref="AJ22:AM22"/>
    <mergeCell ref="AR26:AZ26"/>
    <mergeCell ref="BA26:BI26"/>
    <mergeCell ref="AR25:AZ25"/>
    <mergeCell ref="BA25:BI25"/>
    <mergeCell ref="AL26:AN26"/>
    <mergeCell ref="AL24:AN25"/>
    <mergeCell ref="AR24:BI24"/>
    <mergeCell ref="AO24:AQ25"/>
    <mergeCell ref="A24:C25"/>
    <mergeCell ref="AC22:AD22"/>
    <mergeCell ref="X22:AB22"/>
    <mergeCell ref="AE22:AI22"/>
    <mergeCell ref="AI24:AK25"/>
    <mergeCell ref="AI26:AK26"/>
    <mergeCell ref="D24:AH25"/>
    <mergeCell ref="A19:BH19"/>
    <mergeCell ref="A21:BH21"/>
    <mergeCell ref="AO27:AQ27"/>
    <mergeCell ref="A27:C27"/>
    <mergeCell ref="AI27:AK27"/>
    <mergeCell ref="AL27:AN27"/>
    <mergeCell ref="AO29:AQ29"/>
    <mergeCell ref="AL29:AN29"/>
    <mergeCell ref="D27:AH27"/>
    <mergeCell ref="A26:C26"/>
    <mergeCell ref="D26:AH26"/>
    <mergeCell ref="BA29:BI29"/>
    <mergeCell ref="BA30:BI30"/>
    <mergeCell ref="AR31:AZ31"/>
    <mergeCell ref="BA31:BI31"/>
    <mergeCell ref="AR29:AZ29"/>
    <mergeCell ref="AR30:AZ30"/>
    <mergeCell ref="A29:C29"/>
    <mergeCell ref="D29:AH29"/>
    <mergeCell ref="A28:C28"/>
    <mergeCell ref="D28:AH28"/>
    <mergeCell ref="AR32:AZ32"/>
    <mergeCell ref="BA32:BI32"/>
    <mergeCell ref="AO32:AQ32"/>
    <mergeCell ref="AO33:AQ33"/>
    <mergeCell ref="AR33:AZ33"/>
    <mergeCell ref="BA33:BI33"/>
    <mergeCell ref="AO30:AQ30"/>
    <mergeCell ref="AO31:AQ31"/>
    <mergeCell ref="A33:C33"/>
    <mergeCell ref="D33:AH33"/>
    <mergeCell ref="A32:C32"/>
    <mergeCell ref="D32:AH32"/>
    <mergeCell ref="A31:C31"/>
    <mergeCell ref="D31:AH31"/>
    <mergeCell ref="A30:C30"/>
    <mergeCell ref="D30:AH30"/>
    <mergeCell ref="AR36:AZ36"/>
    <mergeCell ref="AR34:AZ34"/>
    <mergeCell ref="BA34:BI34"/>
    <mergeCell ref="BA36:BI36"/>
    <mergeCell ref="AR35:AZ35"/>
    <mergeCell ref="BA35:BI35"/>
    <mergeCell ref="A34:C34"/>
    <mergeCell ref="D34:AH34"/>
    <mergeCell ref="AO34:AQ34"/>
    <mergeCell ref="AO35:AQ35"/>
    <mergeCell ref="AI34:AK34"/>
    <mergeCell ref="AL34:AN34"/>
    <mergeCell ref="A35:C35"/>
    <mergeCell ref="D35:AH35"/>
    <mergeCell ref="AL35:AN35"/>
    <mergeCell ref="AI35:AK35"/>
    <mergeCell ref="AR37:AZ37"/>
    <mergeCell ref="BA37:BI37"/>
    <mergeCell ref="AR38:AZ38"/>
    <mergeCell ref="BA38:BI38"/>
    <mergeCell ref="AI38:AK38"/>
    <mergeCell ref="AL38:AN38"/>
    <mergeCell ref="AR39:AZ39"/>
    <mergeCell ref="BA39:BI39"/>
    <mergeCell ref="A36:C36"/>
    <mergeCell ref="D36:AH36"/>
    <mergeCell ref="AO38:AQ38"/>
    <mergeCell ref="AO39:AQ39"/>
    <mergeCell ref="A37:C37"/>
    <mergeCell ref="D37:AH37"/>
    <mergeCell ref="A39:C39"/>
    <mergeCell ref="D39:AH39"/>
    <mergeCell ref="A38:C38"/>
    <mergeCell ref="D38:AH38"/>
    <mergeCell ref="AO37:AQ37"/>
    <mergeCell ref="AI36:AK36"/>
    <mergeCell ref="AL36:AN36"/>
    <mergeCell ref="AI37:AK37"/>
    <mergeCell ref="AL37:AN37"/>
    <mergeCell ref="AO36:AQ36"/>
    <mergeCell ref="A41:C41"/>
    <mergeCell ref="D41:AH41"/>
    <mergeCell ref="A40:C40"/>
    <mergeCell ref="D40:AH40"/>
    <mergeCell ref="AO40:AQ40"/>
    <mergeCell ref="AO41:AQ41"/>
    <mergeCell ref="AI40:AK40"/>
    <mergeCell ref="AL40:AN40"/>
    <mergeCell ref="AI41:AK41"/>
    <mergeCell ref="AL41:AN41"/>
    <mergeCell ref="AR42:AZ42"/>
    <mergeCell ref="AR43:AZ43"/>
    <mergeCell ref="BA43:BI43"/>
    <mergeCell ref="AR44:AZ44"/>
    <mergeCell ref="BA44:BI44"/>
    <mergeCell ref="BA42:BI42"/>
    <mergeCell ref="AR40:AZ40"/>
    <mergeCell ref="BA40:BI40"/>
    <mergeCell ref="AR41:AZ41"/>
    <mergeCell ref="BA41:BI41"/>
    <mergeCell ref="A43:C43"/>
    <mergeCell ref="D43:AH43"/>
    <mergeCell ref="D52:AH52"/>
    <mergeCell ref="AI53:AK53"/>
    <mergeCell ref="A52:C52"/>
    <mergeCell ref="AO53:AQ53"/>
    <mergeCell ref="AO43:AQ43"/>
    <mergeCell ref="AI42:AK42"/>
    <mergeCell ref="AL42:AN42"/>
    <mergeCell ref="AI43:AK43"/>
    <mergeCell ref="AL43:AN43"/>
    <mergeCell ref="A42:C42"/>
    <mergeCell ref="D42:AH42"/>
    <mergeCell ref="AO42:AQ42"/>
    <mergeCell ref="AO46:AQ46"/>
    <mergeCell ref="BE48:BI48"/>
    <mergeCell ref="AR51:AZ51"/>
    <mergeCell ref="A51:C51"/>
    <mergeCell ref="D51:AH51"/>
    <mergeCell ref="AO51:AQ51"/>
    <mergeCell ref="A50:C50"/>
    <mergeCell ref="A44:C44"/>
    <mergeCell ref="D44:AH44"/>
    <mergeCell ref="AO44:AQ44"/>
    <mergeCell ref="AI44:AK44"/>
    <mergeCell ref="AL44:AN44"/>
    <mergeCell ref="AO45:AQ45"/>
    <mergeCell ref="AR45:AZ45"/>
    <mergeCell ref="BA45:BI45"/>
    <mergeCell ref="AI45:AK45"/>
    <mergeCell ref="AL45:AN45"/>
    <mergeCell ref="A46:C46"/>
    <mergeCell ref="D46:AH46"/>
    <mergeCell ref="A45:C45"/>
    <mergeCell ref="D45:AH45"/>
    <mergeCell ref="AR46:AZ46"/>
    <mergeCell ref="BA46:BI46"/>
    <mergeCell ref="AI46:AK46"/>
    <mergeCell ref="AL46:AN46"/>
    <mergeCell ref="BA58:BI58"/>
    <mergeCell ref="BA60:BI60"/>
    <mergeCell ref="AO58:AQ58"/>
    <mergeCell ref="AO52:AQ52"/>
    <mergeCell ref="AI51:AK51"/>
    <mergeCell ref="AL51:AN51"/>
    <mergeCell ref="AR52:AZ52"/>
    <mergeCell ref="AL52:AN52"/>
    <mergeCell ref="AI52:AK52"/>
    <mergeCell ref="AL56:AN56"/>
    <mergeCell ref="AL55:AN55"/>
    <mergeCell ref="AI55:AK55"/>
    <mergeCell ref="BA52:BI52"/>
    <mergeCell ref="BA53:BI53"/>
    <mergeCell ref="AL59:AN59"/>
    <mergeCell ref="BA59:BI59"/>
    <mergeCell ref="AR59:AZ59"/>
    <mergeCell ref="AO59:AQ59"/>
    <mergeCell ref="AR53:AZ53"/>
    <mergeCell ref="BA51:BI51"/>
    <mergeCell ref="AR55:AZ55"/>
    <mergeCell ref="AI56:AK56"/>
    <mergeCell ref="AL60:AN60"/>
    <mergeCell ref="AO60:AQ60"/>
    <mergeCell ref="A59:C59"/>
    <mergeCell ref="D59:AH59"/>
    <mergeCell ref="AO62:AQ62"/>
    <mergeCell ref="AO63:AQ63"/>
    <mergeCell ref="AR62:AZ62"/>
    <mergeCell ref="BA62:BI62"/>
    <mergeCell ref="AR64:AZ64"/>
    <mergeCell ref="BA64:BI64"/>
    <mergeCell ref="A63:C63"/>
    <mergeCell ref="D63:AH63"/>
    <mergeCell ref="A62:C62"/>
    <mergeCell ref="D62:AH62"/>
    <mergeCell ref="A61:C61"/>
    <mergeCell ref="D61:AH61"/>
    <mergeCell ref="A60:C60"/>
    <mergeCell ref="D60:AH60"/>
    <mergeCell ref="AI61:AK61"/>
    <mergeCell ref="AL61:AN61"/>
    <mergeCell ref="AI60:AK60"/>
    <mergeCell ref="AR60:AZ60"/>
    <mergeCell ref="BA61:BI61"/>
    <mergeCell ref="AO64:AQ64"/>
    <mergeCell ref="AR63:AZ63"/>
    <mergeCell ref="A65:C65"/>
    <mergeCell ref="D65:AH65"/>
    <mergeCell ref="A64:C64"/>
    <mergeCell ref="D64:AH64"/>
    <mergeCell ref="AR65:AZ65"/>
    <mergeCell ref="BA65:BI65"/>
    <mergeCell ref="AI64:AK64"/>
    <mergeCell ref="AL64:AN64"/>
    <mergeCell ref="BA63:BI63"/>
    <mergeCell ref="AO65:AQ65"/>
    <mergeCell ref="A67:C67"/>
    <mergeCell ref="D67:AH67"/>
    <mergeCell ref="A66:C66"/>
    <mergeCell ref="D66:AH66"/>
    <mergeCell ref="AI66:AK66"/>
    <mergeCell ref="AL66:AN66"/>
    <mergeCell ref="AI67:AK67"/>
    <mergeCell ref="AL67:AN67"/>
    <mergeCell ref="AO66:AQ66"/>
    <mergeCell ref="BA27:BI27"/>
    <mergeCell ref="BA28:BI28"/>
    <mergeCell ref="AR28:AZ28"/>
    <mergeCell ref="BA55:BI55"/>
    <mergeCell ref="AR56:AZ56"/>
    <mergeCell ref="BA56:BI56"/>
    <mergeCell ref="AR50:AZ50"/>
    <mergeCell ref="AR27:AZ27"/>
    <mergeCell ref="D70:AH70"/>
    <mergeCell ref="AI69:AK69"/>
    <mergeCell ref="AL69:AN69"/>
    <mergeCell ref="AR67:AZ67"/>
    <mergeCell ref="BA67:BI67"/>
    <mergeCell ref="AR68:AZ68"/>
    <mergeCell ref="BA68:BI68"/>
    <mergeCell ref="D68:AH68"/>
    <mergeCell ref="AI68:AK68"/>
    <mergeCell ref="D69:AH69"/>
    <mergeCell ref="BA69:BI69"/>
    <mergeCell ref="AR70:AZ70"/>
    <mergeCell ref="AR66:AZ66"/>
    <mergeCell ref="BA66:BI66"/>
    <mergeCell ref="BA57:BI57"/>
    <mergeCell ref="AR58:AZ58"/>
    <mergeCell ref="V93:AJ93"/>
    <mergeCell ref="AO93:BC93"/>
    <mergeCell ref="BA50:BI50"/>
    <mergeCell ref="AO71:AQ71"/>
    <mergeCell ref="AI71:AK71"/>
    <mergeCell ref="AL71:AN71"/>
    <mergeCell ref="AI70:AK70"/>
    <mergeCell ref="AL70:AN70"/>
    <mergeCell ref="BA71:BI71"/>
    <mergeCell ref="AR72:AZ72"/>
    <mergeCell ref="D72:AH72"/>
    <mergeCell ref="AI72:AK72"/>
    <mergeCell ref="AL72:AN72"/>
    <mergeCell ref="AR74:AZ74"/>
    <mergeCell ref="D74:AH74"/>
    <mergeCell ref="AR54:AZ54"/>
    <mergeCell ref="AO72:AQ72"/>
    <mergeCell ref="AR69:AZ69"/>
    <mergeCell ref="BA70:BI70"/>
    <mergeCell ref="AR71:AZ71"/>
    <mergeCell ref="AO69:AQ69"/>
    <mergeCell ref="AO70:AQ70"/>
    <mergeCell ref="BA72:BI72"/>
    <mergeCell ref="BA54:BI54"/>
    <mergeCell ref="AA94:AI94"/>
    <mergeCell ref="AO94:BC94"/>
    <mergeCell ref="BA88:BI88"/>
    <mergeCell ref="AI73:AK73"/>
    <mergeCell ref="D77:AH77"/>
    <mergeCell ref="AO79:AQ79"/>
    <mergeCell ref="A92:D92"/>
    <mergeCell ref="AR88:AZ88"/>
    <mergeCell ref="AO88:AQ88"/>
    <mergeCell ref="A74:C74"/>
    <mergeCell ref="AO74:AQ74"/>
    <mergeCell ref="D73:AH73"/>
    <mergeCell ref="BA73:BI73"/>
    <mergeCell ref="A88:C88"/>
    <mergeCell ref="D88:AH88"/>
    <mergeCell ref="A76:C76"/>
    <mergeCell ref="D76:AH76"/>
    <mergeCell ref="A78:C78"/>
    <mergeCell ref="D78:AH78"/>
    <mergeCell ref="D79:AH79"/>
    <mergeCell ref="A79:C79"/>
    <mergeCell ref="A77:C77"/>
    <mergeCell ref="A83:C83"/>
    <mergeCell ref="AR73:AZ73"/>
    <mergeCell ref="A58:C58"/>
    <mergeCell ref="D58:AH58"/>
    <mergeCell ref="A57:C57"/>
    <mergeCell ref="D57:AH57"/>
    <mergeCell ref="U92:AI92"/>
    <mergeCell ref="D50:AH50"/>
    <mergeCell ref="AO50:AQ50"/>
    <mergeCell ref="AI50:AK50"/>
    <mergeCell ref="AL50:AN50"/>
    <mergeCell ref="A91:D91"/>
    <mergeCell ref="A56:C56"/>
    <mergeCell ref="D56:AH56"/>
    <mergeCell ref="A55:C55"/>
    <mergeCell ref="D55:AH55"/>
    <mergeCell ref="AO80:AQ80"/>
    <mergeCell ref="A72:C72"/>
    <mergeCell ref="AL68:AN68"/>
    <mergeCell ref="AO67:AQ67"/>
    <mergeCell ref="AO68:AQ68"/>
    <mergeCell ref="A71:C71"/>
    <mergeCell ref="D71:AH71"/>
    <mergeCell ref="A70:C70"/>
    <mergeCell ref="A68:C68"/>
    <mergeCell ref="A69:C69"/>
  </mergeCells>
  <phoneticPr fontId="60" type="noConversion"/>
  <pageMargins left="0.34" right="0.26" top="0.28999999999999998" bottom="0.82" header="0.32" footer="0.5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 enableFormatConditionsCalculation="0">
    <tabColor indexed="13"/>
  </sheetPr>
  <dimension ref="A1:BE46"/>
  <sheetViews>
    <sheetView showGridLines="0" workbookViewId="0">
      <selection activeCell="AT33" sqref="AT33:BD33"/>
    </sheetView>
  </sheetViews>
  <sheetFormatPr defaultColWidth="1.7109375" defaultRowHeight="12.75"/>
  <cols>
    <col min="1" max="1" width="1.42578125" style="1" customWidth="1"/>
    <col min="2" max="6" width="1.7109375" style="1" customWidth="1"/>
    <col min="7" max="37" width="1.7109375" style="2" customWidth="1"/>
    <col min="38" max="38" width="1.42578125" style="2" customWidth="1"/>
    <col min="39" max="54" width="1.7109375" style="2" customWidth="1"/>
    <col min="55" max="56" width="2.140625" style="2" customWidth="1"/>
    <col min="57" max="16384" width="1.7109375" style="2"/>
  </cols>
  <sheetData>
    <row r="1" spans="1:57" ht="15" customHeight="1">
      <c r="A1" s="2" t="s">
        <v>179</v>
      </c>
      <c r="B1" s="2"/>
      <c r="C1" s="2"/>
      <c r="D1" s="2"/>
      <c r="E1" s="2"/>
      <c r="F1" s="2"/>
    </row>
    <row r="2" spans="1:57">
      <c r="A2" s="1929">
        <f>FirmaNaziv</f>
        <v>0</v>
      </c>
      <c r="B2" s="1929"/>
      <c r="C2" s="1929"/>
      <c r="D2" s="1929"/>
      <c r="E2" s="1929"/>
      <c r="F2" s="1929"/>
      <c r="G2" s="1929"/>
      <c r="H2" s="1929"/>
      <c r="I2" s="1929"/>
      <c r="J2" s="1929"/>
      <c r="K2" s="1929"/>
      <c r="L2" s="1929"/>
      <c r="M2" s="1929"/>
      <c r="N2" s="1929"/>
      <c r="O2" s="1929"/>
      <c r="P2" s="1929"/>
      <c r="Q2" s="1929"/>
      <c r="R2" s="1929"/>
      <c r="S2" s="1929"/>
      <c r="T2" s="1929"/>
      <c r="U2" s="1929"/>
      <c r="V2" s="1929"/>
      <c r="W2" s="1929"/>
      <c r="X2" s="1929"/>
      <c r="Y2" s="1929"/>
      <c r="Z2" s="1929"/>
      <c r="AA2" s="1929"/>
      <c r="AQ2" s="353" t="str">
        <f>MID(FirmaID,1,1)</f>
        <v/>
      </c>
      <c r="AR2" s="353" t="str">
        <f>MID(FirmaID,2,1)</f>
        <v/>
      </c>
      <c r="AS2" s="353" t="str">
        <f>MID(FirmaID,3,1)</f>
        <v/>
      </c>
      <c r="AT2" s="353" t="str">
        <f>MID(FirmaID,4,1)</f>
        <v/>
      </c>
      <c r="AU2" s="353" t="str">
        <f>MID(FirmaID,5,1)</f>
        <v/>
      </c>
      <c r="AV2" s="353" t="str">
        <f>MID(FirmaID,6,1)</f>
        <v/>
      </c>
      <c r="AW2" s="353" t="str">
        <f>MID(FirmaID,7,1)</f>
        <v/>
      </c>
      <c r="AX2" s="353" t="str">
        <f>MID(FirmaID,8,1)</f>
        <v/>
      </c>
      <c r="AY2" s="353" t="str">
        <f>MID(FirmaID,9,1)</f>
        <v/>
      </c>
      <c r="AZ2" s="353" t="str">
        <f>MID(FirmaID,10,1)</f>
        <v/>
      </c>
      <c r="BA2" s="353" t="str">
        <f>MID(FirmaID,11,1)</f>
        <v/>
      </c>
      <c r="BB2" s="353" t="str">
        <f>MID(FirmaID,12,1)</f>
        <v/>
      </c>
      <c r="BC2" s="353" t="str">
        <f>MID(FirmaID,13,1)</f>
        <v/>
      </c>
    </row>
    <row r="3" spans="1:57" ht="14.25" customHeight="1">
      <c r="A3" s="1912" t="s">
        <v>180</v>
      </c>
      <c r="B3" s="1912"/>
      <c r="C3" s="1912"/>
      <c r="D3" s="1912"/>
      <c r="E3" s="1912"/>
      <c r="F3" s="1912"/>
      <c r="G3" s="1912"/>
      <c r="H3" s="1912"/>
      <c r="I3" s="1912"/>
      <c r="J3" s="1912"/>
      <c r="K3" s="1912"/>
      <c r="L3" s="1912"/>
      <c r="M3" s="1912"/>
      <c r="N3" s="1912"/>
      <c r="O3" s="1912"/>
      <c r="P3" s="1912"/>
      <c r="Q3" s="1912"/>
      <c r="R3" s="1912"/>
      <c r="S3" s="1912"/>
      <c r="T3" s="1912"/>
      <c r="U3" s="1912"/>
      <c r="V3" s="1912"/>
      <c r="W3" s="1912"/>
      <c r="X3" s="1912"/>
      <c r="Y3" s="1912"/>
      <c r="Z3" s="1912"/>
      <c r="AA3" s="1912"/>
      <c r="BC3" s="312" t="s">
        <v>496</v>
      </c>
    </row>
    <row r="4" spans="1:57">
      <c r="A4" s="1929" t="str">
        <f>FirmaSjediste &amp; ", " &amp; FirmaAdresa</f>
        <v xml:space="preserve">, </v>
      </c>
      <c r="B4" s="1929"/>
      <c r="C4" s="1929"/>
      <c r="D4" s="1929"/>
      <c r="E4" s="1929"/>
      <c r="F4" s="1929"/>
      <c r="G4" s="1929"/>
      <c r="H4" s="1929"/>
      <c r="I4" s="1929"/>
      <c r="J4" s="1929"/>
      <c r="K4" s="1929"/>
      <c r="L4" s="1929"/>
      <c r="M4" s="1929"/>
      <c r="N4" s="1929"/>
      <c r="O4" s="1929"/>
      <c r="P4" s="1929"/>
      <c r="Q4" s="1929"/>
      <c r="R4" s="1929"/>
      <c r="S4" s="1929"/>
      <c r="T4" s="1929"/>
      <c r="U4" s="1929"/>
      <c r="V4" s="1929"/>
      <c r="W4" s="1929"/>
      <c r="X4" s="1929"/>
      <c r="Y4" s="1929"/>
      <c r="Z4" s="1929"/>
      <c r="AA4" s="1929"/>
      <c r="AR4" s="317" t="str">
        <f>MID(FirmaPDV,1,1)</f>
        <v/>
      </c>
      <c r="AS4" s="317" t="str">
        <f>MID(FirmaPDV,2,1)</f>
        <v/>
      </c>
      <c r="AT4" s="317" t="str">
        <f>MID(FirmaPDV,3,1)</f>
        <v/>
      </c>
      <c r="AU4" s="317" t="str">
        <f>MID(FirmaPDV,4,1)</f>
        <v/>
      </c>
      <c r="AV4" s="317" t="str">
        <f>MID(FirmaPDV,5,1)</f>
        <v/>
      </c>
      <c r="AW4" s="317" t="str">
        <f>MID(FirmaPDV,6,1)</f>
        <v/>
      </c>
      <c r="AX4" s="317" t="str">
        <f>MID(FirmaPDV,7,1)</f>
        <v/>
      </c>
      <c r="AY4" s="317" t="str">
        <f>MID(FirmaPDV,8,1)</f>
        <v/>
      </c>
      <c r="AZ4" s="317" t="str">
        <f>MID(FirmaPDV,9,1)</f>
        <v/>
      </c>
      <c r="BA4" s="317" t="str">
        <f>MID(FirmaPDV,10,1)</f>
        <v/>
      </c>
      <c r="BB4" s="317" t="str">
        <f>MID(FirmaPDV,11,1)</f>
        <v/>
      </c>
      <c r="BC4" s="318" t="str">
        <f>MID(FirmaPDV,12,1)</f>
        <v/>
      </c>
    </row>
    <row r="5" spans="1:57" ht="15" customHeight="1">
      <c r="A5" s="1912" t="s">
        <v>1496</v>
      </c>
      <c r="B5" s="1912"/>
      <c r="C5" s="1912"/>
      <c r="D5" s="1912"/>
      <c r="E5" s="1912"/>
      <c r="F5" s="1912"/>
      <c r="G5" s="1912"/>
      <c r="H5" s="1912"/>
      <c r="I5" s="1912"/>
      <c r="J5" s="1912"/>
      <c r="K5" s="1912"/>
      <c r="L5" s="1912"/>
      <c r="M5" s="1912"/>
      <c r="N5" s="1912"/>
      <c r="O5" s="1912"/>
      <c r="P5" s="1912"/>
      <c r="Q5" s="1912"/>
      <c r="R5" s="1912"/>
      <c r="S5" s="1912"/>
      <c r="T5" s="1912"/>
      <c r="U5" s="1912"/>
      <c r="V5" s="1912"/>
      <c r="W5" s="1912"/>
      <c r="X5" s="1912"/>
      <c r="Y5" s="1912"/>
      <c r="Z5" s="1912"/>
      <c r="AA5" s="1912"/>
      <c r="AR5" s="369"/>
      <c r="AS5" s="369"/>
      <c r="AT5" s="369"/>
      <c r="AU5" s="369"/>
      <c r="AV5" s="369"/>
      <c r="AW5" s="369"/>
      <c r="AX5" s="369"/>
      <c r="AY5" s="369"/>
      <c r="AZ5" s="369"/>
      <c r="BA5" s="369"/>
      <c r="BB5" s="369"/>
      <c r="BC5" s="311" t="s">
        <v>2267</v>
      </c>
    </row>
    <row r="6" spans="1:57">
      <c r="A6" s="1930">
        <f>FirmaDjeNaziv</f>
        <v>0</v>
      </c>
      <c r="B6" s="1930"/>
      <c r="C6" s="1930"/>
      <c r="D6" s="1930"/>
      <c r="E6" s="1930"/>
      <c r="F6" s="1930"/>
      <c r="G6" s="1930"/>
      <c r="H6" s="1930"/>
      <c r="I6" s="1930"/>
      <c r="J6" s="1930"/>
      <c r="K6" s="1930"/>
      <c r="L6" s="1930"/>
      <c r="M6" s="1930"/>
      <c r="N6" s="1930"/>
      <c r="O6" s="1930"/>
      <c r="P6" s="1930"/>
      <c r="Q6" s="1930"/>
      <c r="R6" s="1930"/>
      <c r="S6" s="1930"/>
      <c r="T6" s="1930"/>
      <c r="U6" s="1930"/>
      <c r="V6" s="1930"/>
      <c r="W6" s="1930"/>
      <c r="X6" s="1930"/>
      <c r="Y6" s="1930"/>
      <c r="Z6" s="1930"/>
      <c r="AA6" s="1930"/>
      <c r="BC6" s="6"/>
    </row>
    <row r="7" spans="1:57">
      <c r="A7" s="1912" t="s">
        <v>1497</v>
      </c>
      <c r="B7" s="1912"/>
      <c r="C7" s="1912"/>
      <c r="D7" s="1912"/>
      <c r="E7" s="1912"/>
      <c r="F7" s="1912"/>
      <c r="G7" s="1912"/>
      <c r="H7" s="1912"/>
      <c r="I7" s="1912"/>
      <c r="J7" s="1912"/>
      <c r="K7" s="1912"/>
      <c r="L7" s="1912"/>
      <c r="M7" s="1912"/>
      <c r="N7" s="1912"/>
      <c r="O7" s="1912"/>
      <c r="P7" s="1912"/>
      <c r="Q7" s="1912"/>
      <c r="R7" s="1912"/>
      <c r="S7" s="1912"/>
      <c r="T7" s="1912"/>
      <c r="U7" s="1912"/>
      <c r="V7" s="1912"/>
      <c r="W7" s="1912"/>
      <c r="X7" s="1912"/>
      <c r="Y7" s="1912"/>
      <c r="Z7" s="1912"/>
      <c r="AA7" s="1912"/>
      <c r="AV7" s="370"/>
      <c r="AW7" s="370"/>
      <c r="AX7" s="370"/>
      <c r="AY7" s="350" t="str">
        <f>MID(FirmaDjeSifra,1,1)</f>
        <v/>
      </c>
      <c r="AZ7" s="350" t="str">
        <f>MID(FirmaDjeSifra,2,1)</f>
        <v/>
      </c>
      <c r="BA7" s="350" t="str">
        <f>MID(FirmaDjeSifra,3,1)</f>
        <v/>
      </c>
      <c r="BB7" s="350" t="str">
        <f>MID(FirmaDjeSifra,4,1)</f>
        <v/>
      </c>
      <c r="BC7" s="350" t="str">
        <f>MID(FirmaDjeSifra,5,1)</f>
        <v/>
      </c>
    </row>
    <row r="8" spans="1:57">
      <c r="A8" s="2"/>
      <c r="B8" s="2"/>
      <c r="C8" s="2"/>
      <c r="D8" s="2"/>
      <c r="E8" s="2"/>
      <c r="F8" s="2"/>
      <c r="BC8" s="312" t="s">
        <v>697</v>
      </c>
    </row>
    <row r="9" spans="1:57">
      <c r="A9" s="5" t="s">
        <v>155</v>
      </c>
      <c r="B9" s="2"/>
      <c r="C9" s="2"/>
      <c r="D9" s="2"/>
      <c r="E9" s="2"/>
      <c r="F9" s="2"/>
      <c r="BA9" s="350" t="str">
        <f>MID(FirmaOpcina,1,1)</f>
        <v/>
      </c>
      <c r="BB9" s="350" t="str">
        <f>MID(FirmaOpcina,2,1)</f>
        <v/>
      </c>
      <c r="BC9" s="350" t="str">
        <f>MID(FirmaOpcina,3,1)</f>
        <v/>
      </c>
    </row>
    <row r="10" spans="1:57">
      <c r="A10" s="2"/>
      <c r="B10" s="2"/>
      <c r="C10" s="2"/>
      <c r="D10" s="2"/>
      <c r="E10" s="2"/>
      <c r="F10" s="2"/>
      <c r="BC10" s="312" t="s">
        <v>158</v>
      </c>
    </row>
    <row r="11" spans="1:57">
      <c r="A11" s="2"/>
      <c r="B11" s="2"/>
      <c r="C11" s="2"/>
      <c r="D11" s="2"/>
      <c r="E11" s="2"/>
      <c r="F11" s="2"/>
      <c r="BE11" s="6"/>
    </row>
    <row r="12" spans="1:57">
      <c r="A12" s="1911">
        <f>FirmaBanka1</f>
        <v>0</v>
      </c>
      <c r="B12" s="1911"/>
      <c r="C12" s="1911"/>
      <c r="D12" s="1911"/>
      <c r="E12" s="1911"/>
      <c r="F12" s="1911"/>
      <c r="G12" s="1911"/>
      <c r="H12" s="1911"/>
      <c r="I12" s="1911"/>
      <c r="J12" s="1911"/>
      <c r="K12" s="1911"/>
      <c r="L12" s="1911"/>
      <c r="M12" s="1911"/>
      <c r="N12" s="1911"/>
      <c r="O12" s="1911"/>
      <c r="P12" s="1911"/>
      <c r="S12" s="1911">
        <f>FirmaBanka2</f>
        <v>0</v>
      </c>
      <c r="T12" s="1911"/>
      <c r="U12" s="1911"/>
      <c r="V12" s="1911"/>
      <c r="W12" s="1911"/>
      <c r="X12" s="1911"/>
      <c r="Y12" s="1911"/>
      <c r="Z12" s="1911"/>
      <c r="AA12" s="1911"/>
      <c r="AB12" s="1911"/>
      <c r="AC12" s="1911"/>
      <c r="AD12" s="1911"/>
      <c r="AE12" s="1911"/>
      <c r="AF12" s="1911"/>
      <c r="AG12" s="1911"/>
      <c r="AH12" s="1911"/>
      <c r="AM12" s="1911">
        <f>FirmaBanka3</f>
        <v>0</v>
      </c>
      <c r="AN12" s="1911"/>
      <c r="AO12" s="1911"/>
      <c r="AP12" s="1911"/>
      <c r="AQ12" s="1911"/>
      <c r="AR12" s="1911"/>
      <c r="AS12" s="1911"/>
      <c r="AT12" s="1911"/>
      <c r="AU12" s="1911"/>
      <c r="AV12" s="1911"/>
      <c r="AW12" s="1911"/>
      <c r="AX12" s="1911"/>
      <c r="AY12" s="1911"/>
      <c r="AZ12" s="1911"/>
      <c r="BA12" s="1911"/>
      <c r="BB12" s="1911"/>
    </row>
    <row r="13" spans="1:57">
      <c r="A13" s="1912" t="s">
        <v>160</v>
      </c>
      <c r="B13" s="1912"/>
      <c r="C13" s="1912"/>
      <c r="D13" s="1912"/>
      <c r="E13" s="1912"/>
      <c r="F13" s="1912"/>
      <c r="G13" s="1912"/>
      <c r="H13" s="1912"/>
      <c r="I13" s="1912"/>
      <c r="J13" s="1912"/>
      <c r="K13" s="1912"/>
      <c r="L13" s="1912"/>
      <c r="M13" s="1912"/>
      <c r="N13" s="1912"/>
      <c r="O13" s="1912"/>
      <c r="P13" s="1912"/>
      <c r="S13" s="1912" t="s">
        <v>160</v>
      </c>
      <c r="T13" s="1912"/>
      <c r="U13" s="1912"/>
      <c r="V13" s="1912"/>
      <c r="W13" s="1912"/>
      <c r="X13" s="1912"/>
      <c r="Y13" s="1912"/>
      <c r="Z13" s="1912"/>
      <c r="AA13" s="1912"/>
      <c r="AB13" s="1912"/>
      <c r="AC13" s="1912"/>
      <c r="AD13" s="1912"/>
      <c r="AE13" s="1912"/>
      <c r="AF13" s="1912"/>
      <c r="AG13" s="1912"/>
      <c r="AH13" s="1912"/>
      <c r="AM13" s="1912" t="s">
        <v>160</v>
      </c>
      <c r="AN13" s="1912"/>
      <c r="AO13" s="1912"/>
      <c r="AP13" s="1912"/>
      <c r="AQ13" s="1912"/>
      <c r="AR13" s="1912"/>
      <c r="AS13" s="1912"/>
      <c r="AT13" s="1912"/>
      <c r="AU13" s="1912"/>
      <c r="AV13" s="1912"/>
      <c r="AW13" s="1912"/>
      <c r="AX13" s="1912"/>
      <c r="AY13" s="1912"/>
      <c r="AZ13" s="1912"/>
      <c r="BA13" s="1912"/>
      <c r="BB13" s="1912"/>
    </row>
    <row r="14" spans="1:57" s="5" customFormat="1">
      <c r="A14" s="352" t="str">
        <f>MID(FirmaRacun1,1,1)</f>
        <v/>
      </c>
      <c r="B14" s="352" t="str">
        <f>MID(FirmaRacun1,2,1)</f>
        <v/>
      </c>
      <c r="C14" s="352" t="str">
        <f>MID(FirmaRacun1,3,1)</f>
        <v/>
      </c>
      <c r="D14" s="352" t="str">
        <f>MID(FirmaRacun1,4,1)</f>
        <v/>
      </c>
      <c r="E14" s="352" t="str">
        <f>MID(FirmaRacun1,5,1)</f>
        <v/>
      </c>
      <c r="F14" s="352" t="str">
        <f>MID(FirmaRacun1,6,1)</f>
        <v/>
      </c>
      <c r="G14" s="352" t="str">
        <f>MID(FirmaRacun1,7,1)</f>
        <v/>
      </c>
      <c r="H14" s="352" t="str">
        <f>MID(FirmaRacun1,8,1)</f>
        <v/>
      </c>
      <c r="I14" s="352" t="str">
        <f>MID(FirmaRacun1,9,1)</f>
        <v/>
      </c>
      <c r="J14" s="352" t="str">
        <f>MID(FirmaRacun1,10,1)</f>
        <v/>
      </c>
      <c r="K14" s="352" t="str">
        <f>MID(FirmaRacun1,11,1)</f>
        <v/>
      </c>
      <c r="L14" s="352" t="str">
        <f>MID(FirmaRacun1,12,1)</f>
        <v/>
      </c>
      <c r="M14" s="352" t="str">
        <f>MID(FirmaRacun1,13,1)</f>
        <v/>
      </c>
      <c r="N14" s="352" t="str">
        <f>MID(FirmaRacun1,14,1)</f>
        <v/>
      </c>
      <c r="O14" s="352" t="str">
        <f>MID(FirmaRacun1,15,1)</f>
        <v/>
      </c>
      <c r="P14" s="352" t="str">
        <f>MID(FirmaRacun1,16,1)</f>
        <v/>
      </c>
      <c r="S14" s="352" t="str">
        <f>MID(FirmaRacun2,1,1)</f>
        <v/>
      </c>
      <c r="T14" s="352" t="str">
        <f>MID(FirmaRacun2,2,1)</f>
        <v/>
      </c>
      <c r="U14" s="352" t="str">
        <f>MID(FirmaRacun2,3,1)</f>
        <v/>
      </c>
      <c r="V14" s="352" t="str">
        <f>MID(FirmaRacun2,4,1)</f>
        <v/>
      </c>
      <c r="W14" s="352" t="str">
        <f>MID(FirmaRacun2,5,1)</f>
        <v/>
      </c>
      <c r="X14" s="352" t="str">
        <f>MID(FirmaRacun2,6,1)</f>
        <v/>
      </c>
      <c r="Y14" s="352" t="str">
        <f>MID(FirmaRacun2,7,1)</f>
        <v/>
      </c>
      <c r="Z14" s="352" t="str">
        <f>MID(FirmaRacun2,8,1)</f>
        <v/>
      </c>
      <c r="AA14" s="352" t="str">
        <f>MID(FirmaRacun2,9,1)</f>
        <v/>
      </c>
      <c r="AB14" s="352" t="str">
        <f>MID(FirmaRacun2,10,1)</f>
        <v/>
      </c>
      <c r="AC14" s="352" t="str">
        <f>MID(FirmaRacun2,11,1)</f>
        <v/>
      </c>
      <c r="AD14" s="352" t="str">
        <f>MID(FirmaRacun2,12,1)</f>
        <v/>
      </c>
      <c r="AE14" s="352" t="str">
        <f>MID(FirmaRacun2,13,1)</f>
        <v/>
      </c>
      <c r="AF14" s="352" t="str">
        <f>MID(FirmaRacun2,14,1)</f>
        <v/>
      </c>
      <c r="AG14" s="352" t="str">
        <f>MID(FirmaRacun2,15,1)</f>
        <v/>
      </c>
      <c r="AH14" s="352" t="str">
        <f>MID(FirmaRacun2,16,1)</f>
        <v/>
      </c>
      <c r="AM14" s="352" t="str">
        <f>MID(FirmaRacun3,1,1)</f>
        <v/>
      </c>
      <c r="AN14" s="352" t="str">
        <f>MID(FirmaRacun3,2,1)</f>
        <v/>
      </c>
      <c r="AO14" s="352" t="str">
        <f>MID(FirmaRacun3,3,1)</f>
        <v/>
      </c>
      <c r="AP14" s="352" t="str">
        <f>MID(FirmaRacun3,4,1)</f>
        <v/>
      </c>
      <c r="AQ14" s="352" t="str">
        <f>MID(FirmaRacun3,5,1)</f>
        <v/>
      </c>
      <c r="AR14" s="352" t="str">
        <f>MID(FirmaRacun3,6,1)</f>
        <v/>
      </c>
      <c r="AS14" s="352" t="str">
        <f>MID(FirmaRacun3,7,1)</f>
        <v/>
      </c>
      <c r="AT14" s="352" t="str">
        <f>MID(FirmaRacun3,8,1)</f>
        <v/>
      </c>
      <c r="AU14" s="352" t="str">
        <f>MID(FirmaRacun3,9,1)</f>
        <v/>
      </c>
      <c r="AV14" s="352" t="str">
        <f>MID(FirmaRacun3,10,1)</f>
        <v/>
      </c>
      <c r="AW14" s="352" t="str">
        <f>MID(FirmaRacun3,11,1)</f>
        <v/>
      </c>
      <c r="AX14" s="352" t="str">
        <f>MID(FirmaRacun3,12,1)</f>
        <v/>
      </c>
      <c r="AY14" s="352" t="str">
        <f>MID(FirmaRacun3,13,1)</f>
        <v/>
      </c>
      <c r="AZ14" s="352" t="str">
        <f>MID(FirmaRacun3,14,1)</f>
        <v/>
      </c>
      <c r="BA14" s="352" t="str">
        <f>MID(FirmaRacun3,15,1)</f>
        <v/>
      </c>
      <c r="BB14" s="352" t="str">
        <f>MID(FirmaRacun3,16,1)</f>
        <v/>
      </c>
    </row>
    <row r="15" spans="1:57" ht="9" customHeight="1">
      <c r="A15" s="2"/>
      <c r="B15" s="2"/>
      <c r="C15" s="2"/>
      <c r="D15" s="2"/>
      <c r="E15" s="2"/>
      <c r="F15" s="2"/>
    </row>
    <row r="16" spans="1:57" ht="6.75" customHeight="1">
      <c r="A16" s="2"/>
      <c r="B16" s="2"/>
      <c r="C16" s="2"/>
      <c r="D16" s="2"/>
      <c r="E16" s="2"/>
      <c r="F16" s="2"/>
    </row>
    <row r="17" spans="1:57" ht="18" customHeight="1">
      <c r="A17" s="1909" t="s">
        <v>544</v>
      </c>
      <c r="B17" s="1909"/>
      <c r="C17" s="1909"/>
      <c r="D17" s="1909"/>
      <c r="E17" s="1909"/>
      <c r="F17" s="1909"/>
      <c r="G17" s="1909"/>
      <c r="H17" s="1909"/>
      <c r="I17" s="1909"/>
      <c r="J17" s="1909"/>
      <c r="K17" s="1909"/>
      <c r="L17" s="1909"/>
      <c r="M17" s="1909"/>
      <c r="N17" s="1909"/>
      <c r="O17" s="1909"/>
      <c r="P17" s="1909"/>
      <c r="Q17" s="1909"/>
      <c r="R17" s="1909"/>
      <c r="S17" s="1909"/>
      <c r="T17" s="1909"/>
      <c r="U17" s="1909"/>
      <c r="V17" s="1909"/>
      <c r="W17" s="1909"/>
      <c r="X17" s="1909"/>
      <c r="Y17" s="1909"/>
      <c r="Z17" s="1909"/>
      <c r="AA17" s="1909"/>
      <c r="AB17" s="1909"/>
      <c r="AC17" s="1909"/>
      <c r="AD17" s="1909"/>
      <c r="AE17" s="1909"/>
      <c r="AF17" s="1909"/>
      <c r="AG17" s="1909"/>
      <c r="AH17" s="1909"/>
      <c r="AI17" s="1909"/>
      <c r="AJ17" s="1909"/>
      <c r="AK17" s="1909"/>
      <c r="AL17" s="1909"/>
      <c r="AM17" s="1909"/>
      <c r="AN17" s="1909"/>
      <c r="AO17" s="1909"/>
      <c r="AP17" s="1909"/>
      <c r="AQ17" s="1909"/>
      <c r="AR17" s="1909"/>
      <c r="AS17" s="1909"/>
      <c r="AT17" s="1909"/>
      <c r="AU17" s="1909"/>
      <c r="AV17" s="1909"/>
      <c r="AW17" s="1909"/>
      <c r="AX17" s="1909"/>
      <c r="AY17" s="1909"/>
      <c r="AZ17" s="1909"/>
      <c r="BA17" s="1909"/>
      <c r="BB17" s="1909"/>
      <c r="BC17" s="1909"/>
      <c r="BD17" s="1909"/>
      <c r="BE17" s="1909"/>
    </row>
    <row r="18" spans="1:57" ht="18" customHeight="1">
      <c r="A18" s="1909" t="s">
        <v>156</v>
      </c>
      <c r="B18" s="1909"/>
      <c r="C18" s="1909"/>
      <c r="D18" s="1909"/>
      <c r="E18" s="1909"/>
      <c r="F18" s="1909"/>
      <c r="G18" s="1909"/>
      <c r="H18" s="1909"/>
      <c r="I18" s="1909"/>
      <c r="J18" s="1909"/>
      <c r="K18" s="1909"/>
      <c r="L18" s="1909"/>
      <c r="M18" s="1909"/>
      <c r="N18" s="1909"/>
      <c r="O18" s="1909"/>
      <c r="P18" s="1909"/>
      <c r="Q18" s="1909"/>
      <c r="R18" s="1909"/>
      <c r="S18" s="1909"/>
      <c r="T18" s="1909"/>
      <c r="U18" s="1909"/>
      <c r="V18" s="1909"/>
      <c r="W18" s="1909"/>
      <c r="X18" s="1909"/>
      <c r="Y18" s="1909"/>
      <c r="Z18" s="1909"/>
      <c r="AA18" s="1909"/>
      <c r="AB18" s="1909"/>
      <c r="AC18" s="1909"/>
      <c r="AD18" s="1909"/>
      <c r="AE18" s="1909"/>
      <c r="AF18" s="1909"/>
      <c r="AG18" s="1909"/>
      <c r="AH18" s="1909"/>
      <c r="AI18" s="1909"/>
      <c r="AJ18" s="1909"/>
      <c r="AK18" s="1909"/>
      <c r="AL18" s="1909"/>
      <c r="AM18" s="1909"/>
      <c r="AN18" s="1909"/>
      <c r="AO18" s="1909"/>
      <c r="AP18" s="1909"/>
      <c r="AQ18" s="1909"/>
      <c r="AR18" s="1909"/>
      <c r="AS18" s="1909"/>
      <c r="AT18" s="1909"/>
      <c r="AU18" s="1909"/>
      <c r="AV18" s="1909"/>
      <c r="AW18" s="1909"/>
      <c r="AX18" s="1909"/>
      <c r="AY18" s="1909"/>
      <c r="AZ18" s="1909"/>
      <c r="BA18" s="1909"/>
      <c r="BB18" s="1909"/>
      <c r="BC18" s="1909"/>
      <c r="BD18" s="1909"/>
      <c r="BE18" s="1909"/>
    </row>
    <row r="19" spans="1:57" ht="18" customHeight="1">
      <c r="A19" s="1909" t="s">
        <v>157</v>
      </c>
      <c r="B19" s="1909"/>
      <c r="C19" s="1909"/>
      <c r="D19" s="1909"/>
      <c r="E19" s="1909"/>
      <c r="F19" s="1909"/>
      <c r="G19" s="1909"/>
      <c r="H19" s="1909"/>
      <c r="I19" s="1909"/>
      <c r="J19" s="1909"/>
      <c r="K19" s="1909"/>
      <c r="L19" s="1909"/>
      <c r="M19" s="1909"/>
      <c r="N19" s="1909"/>
      <c r="O19" s="1909"/>
      <c r="P19" s="1909"/>
      <c r="Q19" s="1909"/>
      <c r="R19" s="1909"/>
      <c r="S19" s="1909"/>
      <c r="T19" s="1909"/>
      <c r="U19" s="1909"/>
      <c r="V19" s="1909"/>
      <c r="W19" s="1909"/>
      <c r="X19" s="1909"/>
      <c r="Y19" s="1909"/>
      <c r="Z19" s="1909"/>
      <c r="AA19" s="1909"/>
      <c r="AB19" s="1909"/>
      <c r="AC19" s="1909"/>
      <c r="AD19" s="1909"/>
      <c r="AE19" s="1909"/>
      <c r="AF19" s="1909"/>
      <c r="AG19" s="1909"/>
      <c r="AH19" s="1909"/>
      <c r="AI19" s="1909"/>
      <c r="AJ19" s="1909"/>
      <c r="AK19" s="1909"/>
      <c r="AL19" s="1909"/>
      <c r="AM19" s="1909"/>
      <c r="AN19" s="1909"/>
      <c r="AO19" s="1909"/>
      <c r="AP19" s="1909"/>
      <c r="AQ19" s="1909"/>
      <c r="AR19" s="1909"/>
      <c r="AS19" s="1909"/>
      <c r="AT19" s="1909"/>
      <c r="AU19" s="1909"/>
      <c r="AV19" s="1909"/>
      <c r="AW19" s="1909"/>
      <c r="AX19" s="1909"/>
      <c r="AY19" s="1909"/>
      <c r="AZ19" s="1909"/>
      <c r="BA19" s="1909"/>
      <c r="BB19" s="1909"/>
      <c r="BC19" s="1909"/>
      <c r="BD19" s="1909"/>
      <c r="BE19" s="1909"/>
    </row>
    <row r="20" spans="1:57">
      <c r="B20" s="2"/>
      <c r="C20" s="2"/>
      <c r="D20" s="2"/>
      <c r="E20" s="2"/>
      <c r="F20" s="2"/>
      <c r="W20" s="6" t="s">
        <v>545</v>
      </c>
      <c r="X20" s="1902" t="str">
        <f>ObracunOdDatuma</f>
        <v>1.1.</v>
      </c>
      <c r="Y20" s="1902"/>
      <c r="Z20" s="1902"/>
      <c r="AA20" s="1902"/>
      <c r="AB20" s="1902"/>
      <c r="AC20" s="7" t="s">
        <v>546</v>
      </c>
      <c r="AD20" s="7"/>
      <c r="AE20" s="1902" t="str">
        <f>ObracunDoDatuma</f>
        <v>31.12.</v>
      </c>
      <c r="AF20" s="1902"/>
      <c r="AG20" s="1902"/>
      <c r="AH20" s="1902"/>
      <c r="AI20" s="1902"/>
      <c r="AJ20" s="1940" t="str">
        <f>ObracunGodina</f>
        <v>2011</v>
      </c>
      <c r="AK20" s="1940"/>
      <c r="AL20" s="1940"/>
      <c r="AM20" s="2" t="s">
        <v>2268</v>
      </c>
      <c r="BB20" s="5" t="s">
        <v>2066</v>
      </c>
    </row>
    <row r="21" spans="1:57" ht="9" customHeight="1">
      <c r="B21" s="2"/>
      <c r="C21" s="2"/>
      <c r="D21" s="2"/>
      <c r="E21" s="2"/>
      <c r="F21" s="2"/>
      <c r="W21" s="6"/>
      <c r="X21" s="7"/>
      <c r="Y21" s="7"/>
      <c r="Z21" s="7"/>
      <c r="AA21" s="7"/>
      <c r="AB21" s="7"/>
      <c r="AC21" s="7"/>
      <c r="AD21" s="7"/>
      <c r="AE21" s="8"/>
      <c r="AF21" s="7"/>
      <c r="AG21" s="7"/>
      <c r="AH21" s="7"/>
      <c r="AI21" s="7"/>
      <c r="AJ21" s="6"/>
      <c r="AK21" s="6"/>
      <c r="AL21" s="6"/>
    </row>
    <row r="22" spans="1:57" ht="64.5" customHeight="1">
      <c r="A22" s="1890" t="s">
        <v>547</v>
      </c>
      <c r="B22" s="1890"/>
      <c r="C22" s="1890"/>
      <c r="D22" s="1890"/>
      <c r="E22" s="1890" t="s">
        <v>548</v>
      </c>
      <c r="F22" s="1890"/>
      <c r="G22" s="1890"/>
      <c r="H22" s="1890"/>
      <c r="I22" s="1890"/>
      <c r="J22" s="1890"/>
      <c r="K22" s="1890"/>
      <c r="L22" s="1890"/>
      <c r="M22" s="1890"/>
      <c r="N22" s="1890"/>
      <c r="O22" s="1890"/>
      <c r="P22" s="1890"/>
      <c r="Q22" s="1890"/>
      <c r="R22" s="1890"/>
      <c r="S22" s="1890"/>
      <c r="T22" s="1890"/>
      <c r="U22" s="1890"/>
      <c r="V22" s="1890"/>
      <c r="W22" s="1890"/>
      <c r="X22" s="1890"/>
      <c r="Y22" s="1890"/>
      <c r="Z22" s="1890"/>
      <c r="AA22" s="1890"/>
      <c r="AB22" s="1890"/>
      <c r="AC22" s="1890" t="s">
        <v>1038</v>
      </c>
      <c r="AD22" s="1890"/>
      <c r="AE22" s="1890"/>
      <c r="AF22" s="1890"/>
      <c r="AG22" s="1890" t="s">
        <v>943</v>
      </c>
      <c r="AH22" s="1890"/>
      <c r="AI22" s="1890"/>
      <c r="AJ22" s="1890"/>
      <c r="AK22" s="1890"/>
      <c r="AL22" s="1890"/>
      <c r="AM22" s="1890"/>
      <c r="AN22" s="1890"/>
      <c r="AO22" s="1890"/>
      <c r="AP22" s="1890"/>
      <c r="AQ22" s="1890"/>
      <c r="AR22" s="1890"/>
      <c r="AS22" s="1890"/>
      <c r="AT22" s="1890" t="s">
        <v>944</v>
      </c>
      <c r="AU22" s="1890"/>
      <c r="AV22" s="1890"/>
      <c r="AW22" s="1890"/>
      <c r="AX22" s="1890"/>
      <c r="AY22" s="1890"/>
      <c r="AZ22" s="1890"/>
      <c r="BA22" s="1890"/>
      <c r="BB22" s="1890"/>
      <c r="BC22" s="1890"/>
      <c r="BD22" s="1890"/>
    </row>
    <row r="23" spans="1:57">
      <c r="A23" s="1628" t="s">
        <v>522</v>
      </c>
      <c r="B23" s="1628"/>
      <c r="C23" s="1628"/>
      <c r="D23" s="1628"/>
      <c r="E23" s="1628" t="s">
        <v>523</v>
      </c>
      <c r="F23" s="1628"/>
      <c r="G23" s="1628"/>
      <c r="H23" s="1628"/>
      <c r="I23" s="1628"/>
      <c r="J23" s="1628"/>
      <c r="K23" s="1628"/>
      <c r="L23" s="1628"/>
      <c r="M23" s="1628"/>
      <c r="N23" s="1628"/>
      <c r="O23" s="1628"/>
      <c r="P23" s="1628"/>
      <c r="Q23" s="1628"/>
      <c r="R23" s="1628"/>
      <c r="S23" s="1628"/>
      <c r="T23" s="1628"/>
      <c r="U23" s="1628"/>
      <c r="V23" s="1628"/>
      <c r="W23" s="1628"/>
      <c r="X23" s="1628"/>
      <c r="Y23" s="1628"/>
      <c r="Z23" s="1628"/>
      <c r="AA23" s="1628"/>
      <c r="AB23" s="1628"/>
      <c r="AC23" s="1628" t="s">
        <v>329</v>
      </c>
      <c r="AD23" s="1628"/>
      <c r="AE23" s="1628"/>
      <c r="AF23" s="1628"/>
      <c r="AG23" s="1628" t="s">
        <v>330</v>
      </c>
      <c r="AH23" s="1628"/>
      <c r="AI23" s="1628"/>
      <c r="AJ23" s="1628"/>
      <c r="AK23" s="1628"/>
      <c r="AL23" s="1628"/>
      <c r="AM23" s="1628"/>
      <c r="AN23" s="1628"/>
      <c r="AO23" s="1628"/>
      <c r="AP23" s="1628"/>
      <c r="AQ23" s="1628"/>
      <c r="AR23" s="1628"/>
      <c r="AS23" s="1628"/>
      <c r="AT23" s="1941">
        <v>5</v>
      </c>
      <c r="AU23" s="1941"/>
      <c r="AV23" s="1941"/>
      <c r="AW23" s="1941"/>
      <c r="AX23" s="1941"/>
      <c r="AY23" s="1941"/>
      <c r="AZ23" s="1941"/>
      <c r="BA23" s="1941"/>
      <c r="BB23" s="1941"/>
      <c r="BC23" s="1941"/>
      <c r="BD23" s="1941"/>
    </row>
    <row r="24" spans="1:57" ht="18.75" customHeight="1">
      <c r="A24" s="1939">
        <v>1</v>
      </c>
      <c r="B24" s="1939"/>
      <c r="C24" s="1939"/>
      <c r="D24" s="1939"/>
      <c r="E24" s="1932" t="s">
        <v>549</v>
      </c>
      <c r="F24" s="1932"/>
      <c r="G24" s="1932"/>
      <c r="H24" s="1932"/>
      <c r="I24" s="1932"/>
      <c r="J24" s="1932"/>
      <c r="K24" s="1932"/>
      <c r="L24" s="1932"/>
      <c r="M24" s="1932"/>
      <c r="N24" s="1932"/>
      <c r="O24" s="1932"/>
      <c r="P24" s="1932"/>
      <c r="Q24" s="1932"/>
      <c r="R24" s="1932"/>
      <c r="S24" s="1932"/>
      <c r="T24" s="1932"/>
      <c r="U24" s="1932"/>
      <c r="V24" s="1932"/>
      <c r="W24" s="1932"/>
      <c r="X24" s="1932"/>
      <c r="Y24" s="1932"/>
      <c r="Z24" s="1932"/>
      <c r="AA24" s="1932"/>
      <c r="AB24" s="1932"/>
      <c r="AC24" s="1934">
        <v>901</v>
      </c>
      <c r="AD24" s="1934"/>
      <c r="AE24" s="1934"/>
      <c r="AF24" s="1934"/>
      <c r="AG24" s="1933">
        <f>UNOS1!C53</f>
        <v>0</v>
      </c>
      <c r="AH24" s="1933"/>
      <c r="AI24" s="1933"/>
      <c r="AJ24" s="1933"/>
      <c r="AK24" s="1933"/>
      <c r="AL24" s="1933"/>
      <c r="AM24" s="1933"/>
      <c r="AN24" s="1933"/>
      <c r="AO24" s="1933"/>
      <c r="AP24" s="1933"/>
      <c r="AQ24" s="1933"/>
      <c r="AR24" s="1933"/>
      <c r="AS24" s="1933"/>
      <c r="AT24" s="1933">
        <f>UNOS1!E53</f>
        <v>0</v>
      </c>
      <c r="AU24" s="1933"/>
      <c r="AV24" s="1933"/>
      <c r="AW24" s="1933"/>
      <c r="AX24" s="1933"/>
      <c r="AY24" s="1933"/>
      <c r="AZ24" s="1933"/>
      <c r="BA24" s="1933"/>
      <c r="BB24" s="1933"/>
      <c r="BC24" s="1933"/>
      <c r="BD24" s="1933"/>
    </row>
    <row r="25" spans="1:57" ht="18.75" customHeight="1">
      <c r="A25" s="1939">
        <v>2</v>
      </c>
      <c r="B25" s="1939"/>
      <c r="C25" s="1939"/>
      <c r="D25" s="1939"/>
      <c r="E25" s="1932" t="s">
        <v>550</v>
      </c>
      <c r="F25" s="1932"/>
      <c r="G25" s="1932"/>
      <c r="H25" s="1932"/>
      <c r="I25" s="1932"/>
      <c r="J25" s="1932"/>
      <c r="K25" s="1932"/>
      <c r="L25" s="1932"/>
      <c r="M25" s="1932"/>
      <c r="N25" s="1932"/>
      <c r="O25" s="1932"/>
      <c r="P25" s="1932"/>
      <c r="Q25" s="1932"/>
      <c r="R25" s="1932"/>
      <c r="S25" s="1932"/>
      <c r="T25" s="1932"/>
      <c r="U25" s="1932"/>
      <c r="V25" s="1932"/>
      <c r="W25" s="1932"/>
      <c r="X25" s="1932"/>
      <c r="Y25" s="1932"/>
      <c r="Z25" s="1932"/>
      <c r="AA25" s="1932"/>
      <c r="AB25" s="1932"/>
      <c r="AC25" s="1934">
        <v>902</v>
      </c>
      <c r="AD25" s="1934"/>
      <c r="AE25" s="1934"/>
      <c r="AF25" s="1934"/>
      <c r="AG25" s="1933">
        <f>UNOS1!C54</f>
        <v>0</v>
      </c>
      <c r="AH25" s="1933"/>
      <c r="AI25" s="1933"/>
      <c r="AJ25" s="1933"/>
      <c r="AK25" s="1933"/>
      <c r="AL25" s="1933"/>
      <c r="AM25" s="1933"/>
      <c r="AN25" s="1933"/>
      <c r="AO25" s="1933"/>
      <c r="AP25" s="1933"/>
      <c r="AQ25" s="1933"/>
      <c r="AR25" s="1933"/>
      <c r="AS25" s="1933"/>
      <c r="AT25" s="1933">
        <f>UNOS1!E54</f>
        <v>0</v>
      </c>
      <c r="AU25" s="1933"/>
      <c r="AV25" s="1933"/>
      <c r="AW25" s="1933"/>
      <c r="AX25" s="1933"/>
      <c r="AY25" s="1933"/>
      <c r="AZ25" s="1933"/>
      <c r="BA25" s="1933"/>
      <c r="BB25" s="1933"/>
      <c r="BC25" s="1933"/>
      <c r="BD25" s="1933"/>
    </row>
    <row r="26" spans="1:57" ht="18.75" customHeight="1">
      <c r="A26" s="1939">
        <v>3</v>
      </c>
      <c r="B26" s="1939"/>
      <c r="C26" s="1939"/>
      <c r="D26" s="1939"/>
      <c r="E26" s="1932" t="s">
        <v>2567</v>
      </c>
      <c r="F26" s="1932"/>
      <c r="G26" s="1932"/>
      <c r="H26" s="1932"/>
      <c r="I26" s="1932"/>
      <c r="J26" s="1932"/>
      <c r="K26" s="1932"/>
      <c r="L26" s="1932"/>
      <c r="M26" s="1932"/>
      <c r="N26" s="1932"/>
      <c r="O26" s="1932"/>
      <c r="P26" s="1932"/>
      <c r="Q26" s="1932"/>
      <c r="R26" s="1932"/>
      <c r="S26" s="1932"/>
      <c r="T26" s="1932"/>
      <c r="U26" s="1932"/>
      <c r="V26" s="1932"/>
      <c r="W26" s="1932"/>
      <c r="X26" s="1932"/>
      <c r="Y26" s="1932"/>
      <c r="Z26" s="1932"/>
      <c r="AA26" s="1932"/>
      <c r="AB26" s="1932"/>
      <c r="AC26" s="1934">
        <v>903</v>
      </c>
      <c r="AD26" s="1934"/>
      <c r="AE26" s="1934"/>
      <c r="AF26" s="1934"/>
      <c r="AG26" s="1936">
        <f>SUM(AG24:AS25)</f>
        <v>0</v>
      </c>
      <c r="AH26" s="1936"/>
      <c r="AI26" s="1936"/>
      <c r="AJ26" s="1936"/>
      <c r="AK26" s="1936"/>
      <c r="AL26" s="1936"/>
      <c r="AM26" s="1936"/>
      <c r="AN26" s="1936"/>
      <c r="AO26" s="1936"/>
      <c r="AP26" s="1936"/>
      <c r="AQ26" s="1936"/>
      <c r="AR26" s="1936"/>
      <c r="AS26" s="1936"/>
      <c r="AT26" s="1933">
        <f>SUM(AT24:BD25)</f>
        <v>0</v>
      </c>
      <c r="AU26" s="1933"/>
      <c r="AV26" s="1933"/>
      <c r="AW26" s="1933"/>
      <c r="AX26" s="1933"/>
      <c r="AY26" s="1933"/>
      <c r="AZ26" s="1933"/>
      <c r="BA26" s="1933"/>
      <c r="BB26" s="1933"/>
      <c r="BC26" s="1933"/>
      <c r="BD26" s="1933"/>
    </row>
    <row r="27" spans="1:57" ht="18.75" customHeight="1">
      <c r="A27" s="1939">
        <v>4</v>
      </c>
      <c r="B27" s="1939"/>
      <c r="C27" s="1939"/>
      <c r="D27" s="1939"/>
      <c r="E27" s="1932" t="s">
        <v>2568</v>
      </c>
      <c r="F27" s="1932"/>
      <c r="G27" s="1932"/>
      <c r="H27" s="1932"/>
      <c r="I27" s="1932"/>
      <c r="J27" s="1932"/>
      <c r="K27" s="1932"/>
      <c r="L27" s="1932"/>
      <c r="M27" s="1932"/>
      <c r="N27" s="1932"/>
      <c r="O27" s="1932"/>
      <c r="P27" s="1932"/>
      <c r="Q27" s="1932"/>
      <c r="R27" s="1932"/>
      <c r="S27" s="1932"/>
      <c r="T27" s="1932"/>
      <c r="U27" s="1932"/>
      <c r="V27" s="1932"/>
      <c r="W27" s="1932"/>
      <c r="X27" s="1932"/>
      <c r="Y27" s="1932"/>
      <c r="Z27" s="1932"/>
      <c r="AA27" s="1932"/>
      <c r="AB27" s="1932"/>
      <c r="AC27" s="1934">
        <v>904</v>
      </c>
      <c r="AD27" s="1934"/>
      <c r="AE27" s="1934"/>
      <c r="AF27" s="1934"/>
      <c r="AG27" s="1933">
        <f>UNOS1!C57</f>
        <v>0</v>
      </c>
      <c r="AH27" s="1933"/>
      <c r="AI27" s="1933"/>
      <c r="AJ27" s="1933"/>
      <c r="AK27" s="1933"/>
      <c r="AL27" s="1933"/>
      <c r="AM27" s="1933"/>
      <c r="AN27" s="1933"/>
      <c r="AO27" s="1933"/>
      <c r="AP27" s="1933"/>
      <c r="AQ27" s="1933"/>
      <c r="AR27" s="1933"/>
      <c r="AS27" s="1933"/>
      <c r="AT27" s="1933">
        <f>UNOS1!E57</f>
        <v>0</v>
      </c>
      <c r="AU27" s="1933"/>
      <c r="AV27" s="1933"/>
      <c r="AW27" s="1933"/>
      <c r="AX27" s="1933"/>
      <c r="AY27" s="1933"/>
      <c r="AZ27" s="1933"/>
      <c r="BA27" s="1933"/>
      <c r="BB27" s="1933"/>
      <c r="BC27" s="1933"/>
      <c r="BD27" s="1933"/>
    </row>
    <row r="28" spans="1:57" ht="18.75" customHeight="1">
      <c r="A28" s="1939">
        <v>5</v>
      </c>
      <c r="B28" s="1939"/>
      <c r="C28" s="1939"/>
      <c r="D28" s="1939"/>
      <c r="E28" s="1932" t="s">
        <v>2569</v>
      </c>
      <c r="F28" s="1932"/>
      <c r="G28" s="1932"/>
      <c r="H28" s="1932"/>
      <c r="I28" s="1932"/>
      <c r="J28" s="1932"/>
      <c r="K28" s="1932"/>
      <c r="L28" s="1932"/>
      <c r="M28" s="1932"/>
      <c r="N28" s="1932"/>
      <c r="O28" s="1932"/>
      <c r="P28" s="1932"/>
      <c r="Q28" s="1932"/>
      <c r="R28" s="1932"/>
      <c r="S28" s="1932"/>
      <c r="T28" s="1932"/>
      <c r="U28" s="1932"/>
      <c r="V28" s="1932"/>
      <c r="W28" s="1932"/>
      <c r="X28" s="1932"/>
      <c r="Y28" s="1932"/>
      <c r="Z28" s="1932"/>
      <c r="AA28" s="1932"/>
      <c r="AB28" s="1932"/>
      <c r="AC28" s="1934">
        <v>905</v>
      </c>
      <c r="AD28" s="1934"/>
      <c r="AE28" s="1934"/>
      <c r="AF28" s="1934"/>
      <c r="AG28" s="1933">
        <f>UNOS1!C55</f>
        <v>0</v>
      </c>
      <c r="AH28" s="1933"/>
      <c r="AI28" s="1933"/>
      <c r="AJ28" s="1933"/>
      <c r="AK28" s="1933"/>
      <c r="AL28" s="1933"/>
      <c r="AM28" s="1933"/>
      <c r="AN28" s="1933"/>
      <c r="AO28" s="1933"/>
      <c r="AP28" s="1933"/>
      <c r="AQ28" s="1933"/>
      <c r="AR28" s="1933"/>
      <c r="AS28" s="1933"/>
      <c r="AT28" s="1933">
        <f>UNOS1!E55</f>
        <v>0</v>
      </c>
      <c r="AU28" s="1933"/>
      <c r="AV28" s="1933"/>
      <c r="AW28" s="1933"/>
      <c r="AX28" s="1933"/>
      <c r="AY28" s="1933"/>
      <c r="AZ28" s="1933"/>
      <c r="BA28" s="1933"/>
      <c r="BB28" s="1933"/>
      <c r="BC28" s="1933"/>
      <c r="BD28" s="1933"/>
    </row>
    <row r="29" spans="1:57" ht="18.75" customHeight="1">
      <c r="A29" s="1939">
        <v>6</v>
      </c>
      <c r="B29" s="1939"/>
      <c r="C29" s="1939"/>
      <c r="D29" s="1939"/>
      <c r="E29" s="1932" t="s">
        <v>2570</v>
      </c>
      <c r="F29" s="1932"/>
      <c r="G29" s="1932"/>
      <c r="H29" s="1932"/>
      <c r="I29" s="1932"/>
      <c r="J29" s="1932"/>
      <c r="K29" s="1932"/>
      <c r="L29" s="1932"/>
      <c r="M29" s="1932"/>
      <c r="N29" s="1932"/>
      <c r="O29" s="1932"/>
      <c r="P29" s="1932"/>
      <c r="Q29" s="1932"/>
      <c r="R29" s="1932"/>
      <c r="S29" s="1932"/>
      <c r="T29" s="1932"/>
      <c r="U29" s="1932"/>
      <c r="V29" s="1932"/>
      <c r="W29" s="1932"/>
      <c r="X29" s="1932"/>
      <c r="Y29" s="1932"/>
      <c r="Z29" s="1932"/>
      <c r="AA29" s="1932"/>
      <c r="AB29" s="1932"/>
      <c r="AC29" s="1934">
        <v>906</v>
      </c>
      <c r="AD29" s="1934"/>
      <c r="AE29" s="1934"/>
      <c r="AF29" s="1934"/>
      <c r="AG29" s="1933">
        <f>UNOS1!C56</f>
        <v>0</v>
      </c>
      <c r="AH29" s="1933"/>
      <c r="AI29" s="1933"/>
      <c r="AJ29" s="1933"/>
      <c r="AK29" s="1933"/>
      <c r="AL29" s="1933"/>
      <c r="AM29" s="1933"/>
      <c r="AN29" s="1933"/>
      <c r="AO29" s="1933"/>
      <c r="AP29" s="1933"/>
      <c r="AQ29" s="1933"/>
      <c r="AR29" s="1933"/>
      <c r="AS29" s="1933"/>
      <c r="AT29" s="1933">
        <f>UNOS1!E56</f>
        <v>0</v>
      </c>
      <c r="AU29" s="1933"/>
      <c r="AV29" s="1933"/>
      <c r="AW29" s="1933"/>
      <c r="AX29" s="1933"/>
      <c r="AY29" s="1933"/>
      <c r="AZ29" s="1933"/>
      <c r="BA29" s="1933"/>
      <c r="BB29" s="1933"/>
      <c r="BC29" s="1933"/>
      <c r="BD29" s="1933"/>
    </row>
    <row r="30" spans="1:57" ht="18.75" customHeight="1">
      <c r="A30" s="1939">
        <v>7</v>
      </c>
      <c r="B30" s="1939"/>
      <c r="C30" s="1939"/>
      <c r="D30" s="1939"/>
      <c r="E30" s="1932" t="s">
        <v>2571</v>
      </c>
      <c r="F30" s="1932"/>
      <c r="G30" s="1932"/>
      <c r="H30" s="1932"/>
      <c r="I30" s="1932"/>
      <c r="J30" s="1932"/>
      <c r="K30" s="1932"/>
      <c r="L30" s="1932"/>
      <c r="M30" s="1932"/>
      <c r="N30" s="1932"/>
      <c r="O30" s="1932"/>
      <c r="P30" s="1932"/>
      <c r="Q30" s="1932"/>
      <c r="R30" s="1932"/>
      <c r="S30" s="1932"/>
      <c r="T30" s="1932"/>
      <c r="U30" s="1932"/>
      <c r="V30" s="1932"/>
      <c r="W30" s="1932"/>
      <c r="X30" s="1932"/>
      <c r="Y30" s="1932"/>
      <c r="Z30" s="1932"/>
      <c r="AA30" s="1932"/>
      <c r="AB30" s="1932"/>
      <c r="AC30" s="1934">
        <v>907</v>
      </c>
      <c r="AD30" s="1934"/>
      <c r="AE30" s="1934"/>
      <c r="AF30" s="1934"/>
      <c r="AG30" s="1936">
        <f>SUM(AG28:AS29)</f>
        <v>0</v>
      </c>
      <c r="AH30" s="1936"/>
      <c r="AI30" s="1936"/>
      <c r="AJ30" s="1936"/>
      <c r="AK30" s="1936"/>
      <c r="AL30" s="1936"/>
      <c r="AM30" s="1936"/>
      <c r="AN30" s="1936"/>
      <c r="AO30" s="1936"/>
      <c r="AP30" s="1936"/>
      <c r="AQ30" s="1936"/>
      <c r="AR30" s="1936"/>
      <c r="AS30" s="1936"/>
      <c r="AT30" s="1933">
        <f>SUM(AT28:BD29)</f>
        <v>0</v>
      </c>
      <c r="AU30" s="1933"/>
      <c r="AV30" s="1933"/>
      <c r="AW30" s="1933"/>
      <c r="AX30" s="1933"/>
      <c r="AY30" s="1933"/>
      <c r="AZ30" s="1933"/>
      <c r="BA30" s="1933"/>
      <c r="BB30" s="1933"/>
      <c r="BC30" s="1933"/>
      <c r="BD30" s="1933"/>
    </row>
    <row r="31" spans="1:57" ht="18.75" customHeight="1">
      <c r="A31" s="1939">
        <v>8</v>
      </c>
      <c r="B31" s="1939"/>
      <c r="C31" s="1939"/>
      <c r="D31" s="1939"/>
      <c r="E31" s="1932" t="s">
        <v>2572</v>
      </c>
      <c r="F31" s="1932"/>
      <c r="G31" s="1932"/>
      <c r="H31" s="1932"/>
      <c r="I31" s="1932"/>
      <c r="J31" s="1932"/>
      <c r="K31" s="1932"/>
      <c r="L31" s="1932"/>
      <c r="M31" s="1932"/>
      <c r="N31" s="1932"/>
      <c r="O31" s="1932"/>
      <c r="P31" s="1932"/>
      <c r="Q31" s="1932"/>
      <c r="R31" s="1932"/>
      <c r="S31" s="1932"/>
      <c r="T31" s="1932"/>
      <c r="U31" s="1932"/>
      <c r="V31" s="1932"/>
      <c r="W31" s="1932"/>
      <c r="X31" s="1932"/>
      <c r="Y31" s="1932"/>
      <c r="Z31" s="1932"/>
      <c r="AA31" s="1932"/>
      <c r="AB31" s="1932"/>
      <c r="AC31" s="1934">
        <v>908</v>
      </c>
      <c r="AD31" s="1934"/>
      <c r="AE31" s="1934"/>
      <c r="AF31" s="1934"/>
      <c r="AG31" s="1936">
        <f>AG26+AG27+AG30</f>
        <v>0</v>
      </c>
      <c r="AH31" s="1936"/>
      <c r="AI31" s="1936"/>
      <c r="AJ31" s="1936"/>
      <c r="AK31" s="1936"/>
      <c r="AL31" s="1936"/>
      <c r="AM31" s="1936"/>
      <c r="AN31" s="1936"/>
      <c r="AO31" s="1936"/>
      <c r="AP31" s="1936"/>
      <c r="AQ31" s="1936"/>
      <c r="AR31" s="1936"/>
      <c r="AS31" s="1936"/>
      <c r="AT31" s="1933">
        <f>AT26+AT27+AT30</f>
        <v>0</v>
      </c>
      <c r="AU31" s="1933"/>
      <c r="AV31" s="1933"/>
      <c r="AW31" s="1933"/>
      <c r="AX31" s="1933"/>
      <c r="AY31" s="1933"/>
      <c r="AZ31" s="1933"/>
      <c r="BA31" s="1933"/>
      <c r="BB31" s="1933"/>
      <c r="BC31" s="1933"/>
      <c r="BD31" s="1933"/>
    </row>
    <row r="32" spans="1:57" ht="18.75" customHeight="1">
      <c r="A32" s="1939">
        <v>9</v>
      </c>
      <c r="B32" s="1939"/>
      <c r="C32" s="1939"/>
      <c r="D32" s="1939"/>
      <c r="E32" s="1932" t="s">
        <v>2573</v>
      </c>
      <c r="F32" s="1932"/>
      <c r="G32" s="1932"/>
      <c r="H32" s="1932"/>
      <c r="I32" s="1932"/>
      <c r="J32" s="1932"/>
      <c r="K32" s="1932"/>
      <c r="L32" s="1932"/>
      <c r="M32" s="1932"/>
      <c r="N32" s="1932"/>
      <c r="O32" s="1932"/>
      <c r="P32" s="1932"/>
      <c r="Q32" s="1932"/>
      <c r="R32" s="1932"/>
      <c r="S32" s="1932"/>
      <c r="T32" s="1932"/>
      <c r="U32" s="1932"/>
      <c r="V32" s="1932"/>
      <c r="W32" s="1932"/>
      <c r="X32" s="1932"/>
      <c r="Y32" s="1932"/>
      <c r="Z32" s="1932"/>
      <c r="AA32" s="1932"/>
      <c r="AB32" s="1932"/>
      <c r="AC32" s="1934">
        <v>909</v>
      </c>
      <c r="AD32" s="1934"/>
      <c r="AE32" s="1934"/>
      <c r="AF32" s="1934"/>
      <c r="AG32" s="1933">
        <v>0</v>
      </c>
      <c r="AH32" s="1933"/>
      <c r="AI32" s="1933"/>
      <c r="AJ32" s="1933"/>
      <c r="AK32" s="1933"/>
      <c r="AL32" s="1933"/>
      <c r="AM32" s="1933"/>
      <c r="AN32" s="1933"/>
      <c r="AO32" s="1933"/>
      <c r="AP32" s="1933"/>
      <c r="AQ32" s="1933"/>
      <c r="AR32" s="1933"/>
      <c r="AS32" s="1933"/>
      <c r="AT32" s="1933">
        <v>0</v>
      </c>
      <c r="AU32" s="1933"/>
      <c r="AV32" s="1933"/>
      <c r="AW32" s="1933"/>
      <c r="AX32" s="1933"/>
      <c r="AY32" s="1933"/>
      <c r="AZ32" s="1933"/>
      <c r="BA32" s="1933"/>
      <c r="BB32" s="1933"/>
      <c r="BC32" s="1933"/>
      <c r="BD32" s="1933"/>
    </row>
    <row r="33" spans="1:56" ht="18.75" customHeight="1">
      <c r="A33" s="1939">
        <v>10</v>
      </c>
      <c r="B33" s="1939"/>
      <c r="C33" s="1939"/>
      <c r="D33" s="1939"/>
      <c r="E33" s="1932" t="s">
        <v>1553</v>
      </c>
      <c r="F33" s="1932"/>
      <c r="G33" s="1932"/>
      <c r="H33" s="1932"/>
      <c r="I33" s="1932"/>
      <c r="J33" s="1932"/>
      <c r="K33" s="1932"/>
      <c r="L33" s="1932"/>
      <c r="M33" s="1932"/>
      <c r="N33" s="1932"/>
      <c r="O33" s="1932"/>
      <c r="P33" s="1932"/>
      <c r="Q33" s="1932"/>
      <c r="R33" s="1932"/>
      <c r="S33" s="1932"/>
      <c r="T33" s="1932"/>
      <c r="U33" s="1932"/>
      <c r="V33" s="1932"/>
      <c r="W33" s="1932"/>
      <c r="X33" s="1932"/>
      <c r="Y33" s="1932"/>
      <c r="Z33" s="1932"/>
      <c r="AA33" s="1932"/>
      <c r="AB33" s="1932"/>
      <c r="AC33" s="1934">
        <v>910</v>
      </c>
      <c r="AD33" s="1934"/>
      <c r="AE33" s="1934"/>
      <c r="AF33" s="1934"/>
      <c r="AG33" s="1933">
        <v>0</v>
      </c>
      <c r="AH33" s="1933"/>
      <c r="AI33" s="1933"/>
      <c r="AJ33" s="1933"/>
      <c r="AK33" s="1933"/>
      <c r="AL33" s="1933"/>
      <c r="AM33" s="1933"/>
      <c r="AN33" s="1933"/>
      <c r="AO33" s="1933"/>
      <c r="AP33" s="1933"/>
      <c r="AQ33" s="1933"/>
      <c r="AR33" s="1933"/>
      <c r="AS33" s="1933"/>
      <c r="AT33" s="1933">
        <v>0</v>
      </c>
      <c r="AU33" s="1933"/>
      <c r="AV33" s="1933"/>
      <c r="AW33" s="1933"/>
      <c r="AX33" s="1933"/>
      <c r="AY33" s="1933"/>
      <c r="AZ33" s="1933"/>
      <c r="BA33" s="1933"/>
      <c r="BB33" s="1933"/>
      <c r="BC33" s="1933"/>
      <c r="BD33" s="1933"/>
    </row>
    <row r="34" spans="1:56" ht="18.75" customHeight="1">
      <c r="A34" s="1939">
        <v>11</v>
      </c>
      <c r="B34" s="1939"/>
      <c r="C34" s="1939"/>
      <c r="D34" s="1939"/>
      <c r="E34" s="1932" t="s">
        <v>1554</v>
      </c>
      <c r="F34" s="1932"/>
      <c r="G34" s="1932"/>
      <c r="H34" s="1932"/>
      <c r="I34" s="1932"/>
      <c r="J34" s="1932"/>
      <c r="K34" s="1932"/>
      <c r="L34" s="1932"/>
      <c r="M34" s="1932"/>
      <c r="N34" s="1932"/>
      <c r="O34" s="1932"/>
      <c r="P34" s="1932"/>
      <c r="Q34" s="1932"/>
      <c r="R34" s="1932"/>
      <c r="S34" s="1932"/>
      <c r="T34" s="1932"/>
      <c r="U34" s="1932"/>
      <c r="V34" s="1932"/>
      <c r="W34" s="1932"/>
      <c r="X34" s="1932"/>
      <c r="Y34" s="1932"/>
      <c r="Z34" s="1932"/>
      <c r="AA34" s="1932"/>
      <c r="AB34" s="1932"/>
      <c r="AC34" s="1934">
        <v>911</v>
      </c>
      <c r="AD34" s="1934"/>
      <c r="AE34" s="1934"/>
      <c r="AF34" s="1934"/>
      <c r="AG34" s="1933">
        <v>0</v>
      </c>
      <c r="AH34" s="1933"/>
      <c r="AI34" s="1933"/>
      <c r="AJ34" s="1933"/>
      <c r="AK34" s="1933"/>
      <c r="AL34" s="1933"/>
      <c r="AM34" s="1933"/>
      <c r="AN34" s="1933"/>
      <c r="AO34" s="1933"/>
      <c r="AP34" s="1933"/>
      <c r="AQ34" s="1933"/>
      <c r="AR34" s="1933"/>
      <c r="AS34" s="1933"/>
      <c r="AT34" s="1933">
        <v>0</v>
      </c>
      <c r="AU34" s="1933"/>
      <c r="AV34" s="1933"/>
      <c r="AW34" s="1933"/>
      <c r="AX34" s="1933"/>
      <c r="AY34" s="1933"/>
      <c r="AZ34" s="1933"/>
      <c r="BA34" s="1933"/>
      <c r="BB34" s="1933"/>
      <c r="BC34" s="1933"/>
      <c r="BD34" s="1933"/>
    </row>
    <row r="35" spans="1:56" ht="18.75" customHeight="1">
      <c r="A35" s="1939">
        <v>12</v>
      </c>
      <c r="B35" s="1939"/>
      <c r="C35" s="1939"/>
      <c r="D35" s="1939"/>
      <c r="E35" s="1932" t="s">
        <v>2231</v>
      </c>
      <c r="F35" s="1932"/>
      <c r="G35" s="1932"/>
      <c r="H35" s="1932"/>
      <c r="I35" s="1932"/>
      <c r="J35" s="1932"/>
      <c r="K35" s="1932"/>
      <c r="L35" s="1932"/>
      <c r="M35" s="1932"/>
      <c r="N35" s="1932"/>
      <c r="O35" s="1932"/>
      <c r="P35" s="1932"/>
      <c r="Q35" s="1932"/>
      <c r="R35" s="1932"/>
      <c r="S35" s="1932"/>
      <c r="T35" s="1932"/>
      <c r="U35" s="1932"/>
      <c r="V35" s="1932"/>
      <c r="W35" s="1932"/>
      <c r="X35" s="1932"/>
      <c r="Y35" s="1932"/>
      <c r="Z35" s="1932"/>
      <c r="AA35" s="1932"/>
      <c r="AB35" s="1932"/>
      <c r="AC35" s="1934">
        <v>912</v>
      </c>
      <c r="AD35" s="1934"/>
      <c r="AE35" s="1934"/>
      <c r="AF35" s="1934"/>
      <c r="AG35" s="1933">
        <v>0</v>
      </c>
      <c r="AH35" s="1933"/>
      <c r="AI35" s="1933"/>
      <c r="AJ35" s="1933"/>
      <c r="AK35" s="1933"/>
      <c r="AL35" s="1933"/>
      <c r="AM35" s="1933"/>
      <c r="AN35" s="1933"/>
      <c r="AO35" s="1933"/>
      <c r="AP35" s="1933"/>
      <c r="AQ35" s="1933"/>
      <c r="AR35" s="1933"/>
      <c r="AS35" s="1933"/>
      <c r="AT35" s="1933">
        <v>0</v>
      </c>
      <c r="AU35" s="1933"/>
      <c r="AV35" s="1933"/>
      <c r="AW35" s="1933"/>
      <c r="AX35" s="1933"/>
      <c r="AY35" s="1933"/>
      <c r="AZ35" s="1933"/>
      <c r="BA35" s="1933"/>
      <c r="BB35" s="1933"/>
      <c r="BC35" s="1933"/>
      <c r="BD35" s="1933"/>
    </row>
    <row r="36" spans="1:56" ht="18.75" customHeight="1">
      <c r="A36" s="1939">
        <v>13</v>
      </c>
      <c r="B36" s="1939"/>
      <c r="C36" s="1939"/>
      <c r="D36" s="1939"/>
      <c r="E36" s="1932" t="s">
        <v>2232</v>
      </c>
      <c r="F36" s="1932"/>
      <c r="G36" s="1932"/>
      <c r="H36" s="1932"/>
      <c r="I36" s="1932"/>
      <c r="J36" s="1932"/>
      <c r="K36" s="1932"/>
      <c r="L36" s="1932"/>
      <c r="M36" s="1932"/>
      <c r="N36" s="1932"/>
      <c r="O36" s="1932"/>
      <c r="P36" s="1932"/>
      <c r="Q36" s="1932"/>
      <c r="R36" s="1932"/>
      <c r="S36" s="1932"/>
      <c r="T36" s="1932"/>
      <c r="U36" s="1932"/>
      <c r="V36" s="1932"/>
      <c r="W36" s="1932"/>
      <c r="X36" s="1932"/>
      <c r="Y36" s="1932"/>
      <c r="Z36" s="1932"/>
      <c r="AA36" s="1932"/>
      <c r="AB36" s="1932"/>
      <c r="AC36" s="1934">
        <v>913</v>
      </c>
      <c r="AD36" s="1934"/>
      <c r="AE36" s="1934"/>
      <c r="AF36" s="1934"/>
      <c r="AG36" s="1936">
        <f>SUM(AG32:AS35)</f>
        <v>0</v>
      </c>
      <c r="AH36" s="1936"/>
      <c r="AI36" s="1936"/>
      <c r="AJ36" s="1936"/>
      <c r="AK36" s="1936"/>
      <c r="AL36" s="1936"/>
      <c r="AM36" s="1936"/>
      <c r="AN36" s="1936"/>
      <c r="AO36" s="1936"/>
      <c r="AP36" s="1936"/>
      <c r="AQ36" s="1936"/>
      <c r="AR36" s="1936"/>
      <c r="AS36" s="1936"/>
      <c r="AT36" s="1933">
        <f>SUM(AT32:BD35)</f>
        <v>0</v>
      </c>
      <c r="AU36" s="1933"/>
      <c r="AV36" s="1933"/>
      <c r="AW36" s="1933"/>
      <c r="AX36" s="1933"/>
      <c r="AY36" s="1933"/>
      <c r="AZ36" s="1933"/>
      <c r="BA36" s="1933"/>
      <c r="BB36" s="1933"/>
      <c r="BC36" s="1933"/>
      <c r="BD36" s="1933"/>
    </row>
    <row r="37" spans="1:56" ht="18.75" customHeight="1">
      <c r="A37" s="1939">
        <v>14</v>
      </c>
      <c r="B37" s="1939"/>
      <c r="C37" s="1939"/>
      <c r="D37" s="1939"/>
      <c r="E37" s="1932" t="s">
        <v>1557</v>
      </c>
      <c r="F37" s="1932"/>
      <c r="G37" s="1932"/>
      <c r="H37" s="1932"/>
      <c r="I37" s="1932"/>
      <c r="J37" s="1932"/>
      <c r="K37" s="1932"/>
      <c r="L37" s="1932"/>
      <c r="M37" s="1932"/>
      <c r="N37" s="1932"/>
      <c r="O37" s="1932"/>
      <c r="P37" s="1932"/>
      <c r="Q37" s="1932"/>
      <c r="R37" s="1932"/>
      <c r="S37" s="1932"/>
      <c r="T37" s="1932"/>
      <c r="U37" s="1932"/>
      <c r="V37" s="1932"/>
      <c r="W37" s="1932"/>
      <c r="X37" s="1932"/>
      <c r="Y37" s="1932"/>
      <c r="Z37" s="1932"/>
      <c r="AA37" s="1932"/>
      <c r="AB37" s="1932"/>
      <c r="AC37" s="1934">
        <v>914</v>
      </c>
      <c r="AD37" s="1934"/>
      <c r="AE37" s="1934"/>
      <c r="AF37" s="1934"/>
      <c r="AG37" s="1933">
        <f>AG26+AG32</f>
        <v>0</v>
      </c>
      <c r="AH37" s="1933"/>
      <c r="AI37" s="1933"/>
      <c r="AJ37" s="1933"/>
      <c r="AK37" s="1933"/>
      <c r="AL37" s="1933"/>
      <c r="AM37" s="1933"/>
      <c r="AN37" s="1933"/>
      <c r="AO37" s="1933"/>
      <c r="AP37" s="1933"/>
      <c r="AQ37" s="1933"/>
      <c r="AR37" s="1933"/>
      <c r="AS37" s="1933"/>
      <c r="AT37" s="1933">
        <f>AT26+AT32</f>
        <v>0</v>
      </c>
      <c r="AU37" s="1933"/>
      <c r="AV37" s="1933"/>
      <c r="AW37" s="1933"/>
      <c r="AX37" s="1933"/>
      <c r="AY37" s="1933"/>
      <c r="AZ37" s="1933"/>
      <c r="BA37" s="1933"/>
      <c r="BB37" s="1933"/>
      <c r="BC37" s="1933"/>
      <c r="BD37" s="1933"/>
    </row>
    <row r="38" spans="1:56" ht="18.75" customHeight="1">
      <c r="A38" s="1939">
        <v>15</v>
      </c>
      <c r="B38" s="1939"/>
      <c r="C38" s="1939"/>
      <c r="D38" s="1939"/>
      <c r="E38" s="1932" t="s">
        <v>1558</v>
      </c>
      <c r="F38" s="1932"/>
      <c r="G38" s="1932"/>
      <c r="H38" s="1932"/>
      <c r="I38" s="1932"/>
      <c r="J38" s="1932"/>
      <c r="K38" s="1932"/>
      <c r="L38" s="1932"/>
      <c r="M38" s="1932"/>
      <c r="N38" s="1932"/>
      <c r="O38" s="1932"/>
      <c r="P38" s="1932"/>
      <c r="Q38" s="1932"/>
      <c r="R38" s="1932"/>
      <c r="S38" s="1932"/>
      <c r="T38" s="1932"/>
      <c r="U38" s="1932"/>
      <c r="V38" s="1932"/>
      <c r="W38" s="1932"/>
      <c r="X38" s="1932"/>
      <c r="Y38" s="1932"/>
      <c r="Z38" s="1932"/>
      <c r="AA38" s="1932"/>
      <c r="AB38" s="1932"/>
      <c r="AC38" s="1934">
        <v>915</v>
      </c>
      <c r="AD38" s="1934"/>
      <c r="AE38" s="1934"/>
      <c r="AF38" s="1934"/>
      <c r="AG38" s="1933">
        <f>UNOS1!C58</f>
        <v>0</v>
      </c>
      <c r="AH38" s="1933"/>
      <c r="AI38" s="1933"/>
      <c r="AJ38" s="1933"/>
      <c r="AK38" s="1933"/>
      <c r="AL38" s="1933"/>
      <c r="AM38" s="1933"/>
      <c r="AN38" s="1933"/>
      <c r="AO38" s="1933"/>
      <c r="AP38" s="1933"/>
      <c r="AQ38" s="1933"/>
      <c r="AR38" s="1933"/>
      <c r="AS38" s="1933"/>
      <c r="AT38" s="1933">
        <f>UNOS1!E58</f>
        <v>0</v>
      </c>
      <c r="AU38" s="1933"/>
      <c r="AV38" s="1933"/>
      <c r="AW38" s="1933"/>
      <c r="AX38" s="1933"/>
      <c r="AY38" s="1933"/>
      <c r="AZ38" s="1933"/>
      <c r="BA38" s="1933"/>
      <c r="BB38" s="1933"/>
      <c r="BC38" s="1933"/>
      <c r="BD38" s="1933"/>
    </row>
    <row r="39" spans="1:56" ht="7.5" customHeight="1"/>
    <row r="40" spans="1:56" ht="7.5" customHeight="1"/>
    <row r="41" spans="1:56">
      <c r="G41" s="2" t="s">
        <v>2628</v>
      </c>
    </row>
    <row r="42" spans="1:56" ht="20.25" customHeight="1">
      <c r="E42" s="1931"/>
      <c r="F42" s="1931"/>
      <c r="G42" s="1931"/>
      <c r="H42" s="1931"/>
      <c r="I42" s="1931"/>
      <c r="J42" s="1931"/>
      <c r="K42" s="1931"/>
      <c r="L42" s="1931"/>
      <c r="M42" s="1931"/>
      <c r="N42" s="1931"/>
      <c r="O42" s="1931"/>
      <c r="P42" s="1931"/>
      <c r="Q42" s="1931"/>
      <c r="R42" s="1931"/>
      <c r="S42" s="1931"/>
      <c r="AC42" s="307" t="s">
        <v>846</v>
      </c>
      <c r="AQ42" s="2" t="s">
        <v>845</v>
      </c>
    </row>
    <row r="43" spans="1:56" ht="11.25" customHeight="1">
      <c r="E43" s="1938">
        <f>RacunovodjaIme</f>
        <v>0</v>
      </c>
      <c r="F43" s="1938"/>
      <c r="G43" s="1938"/>
      <c r="H43" s="1938"/>
      <c r="I43" s="1938"/>
      <c r="J43" s="1938"/>
      <c r="K43" s="1938"/>
      <c r="L43" s="1938"/>
      <c r="M43" s="1938"/>
      <c r="N43" s="1938"/>
      <c r="O43" s="1938"/>
      <c r="P43" s="1938"/>
      <c r="Q43" s="1938"/>
      <c r="R43" s="1938"/>
      <c r="S43" s="1938"/>
      <c r="AL43" s="1931"/>
      <c r="AM43" s="1931"/>
      <c r="AN43" s="1931"/>
      <c r="AO43" s="1931"/>
      <c r="AP43" s="1931"/>
      <c r="AQ43" s="1931"/>
      <c r="AR43" s="1931"/>
      <c r="AS43" s="1931"/>
      <c r="AT43" s="1931"/>
      <c r="AU43" s="1931"/>
      <c r="AV43" s="1931"/>
      <c r="AW43" s="1931"/>
      <c r="AX43" s="1931"/>
      <c r="AY43" s="1931"/>
      <c r="AZ43" s="1931"/>
    </row>
    <row r="44" spans="1:56">
      <c r="E44" s="1" t="s">
        <v>844</v>
      </c>
      <c r="K44" s="1937">
        <f>RacunovodjaLicenca</f>
        <v>0</v>
      </c>
      <c r="L44" s="1937"/>
      <c r="M44" s="1937"/>
      <c r="N44" s="1937"/>
      <c r="O44" s="1937"/>
      <c r="P44" s="1937"/>
      <c r="Q44" s="1937"/>
      <c r="R44" s="1937"/>
      <c r="S44" s="1937"/>
      <c r="AL44" s="1938">
        <f>FirmaDirekor</f>
        <v>0</v>
      </c>
      <c r="AM44" s="1938"/>
      <c r="AN44" s="1938"/>
      <c r="AO44" s="1938"/>
      <c r="AP44" s="1938"/>
      <c r="AQ44" s="1938"/>
      <c r="AR44" s="1938"/>
      <c r="AS44" s="1938"/>
      <c r="AT44" s="1938"/>
      <c r="AU44" s="1938"/>
      <c r="AV44" s="1938"/>
      <c r="AW44" s="1938"/>
      <c r="AX44" s="1938"/>
      <c r="AY44" s="1938"/>
      <c r="AZ44" s="1938"/>
    </row>
    <row r="45" spans="1:56" ht="9" customHeight="1">
      <c r="BD45" s="6"/>
    </row>
    <row r="46" spans="1:56">
      <c r="E46" s="1" t="s">
        <v>154</v>
      </c>
      <c r="M46" s="1935">
        <f>RacunovodjaTelefon</f>
        <v>0</v>
      </c>
      <c r="N46" s="1935"/>
      <c r="O46" s="1935"/>
      <c r="P46" s="1935"/>
      <c r="Q46" s="1935"/>
      <c r="R46" s="1935"/>
      <c r="S46" s="1935"/>
      <c r="T46" s="1935"/>
      <c r="U46" s="1935"/>
    </row>
  </sheetData>
  <mergeCells count="109">
    <mergeCell ref="A6:AA6"/>
    <mergeCell ref="A2:AA2"/>
    <mergeCell ref="A3:AA3"/>
    <mergeCell ref="A4:AA4"/>
    <mergeCell ref="A5:AA5"/>
    <mergeCell ref="A19:BE19"/>
    <mergeCell ref="S12:AH12"/>
    <mergeCell ref="AM12:BB12"/>
    <mergeCell ref="A13:P13"/>
    <mergeCell ref="S13:AH13"/>
    <mergeCell ref="A7:AA7"/>
    <mergeCell ref="A12:P12"/>
    <mergeCell ref="AM13:BB13"/>
    <mergeCell ref="A17:BE17"/>
    <mergeCell ref="A18:BE18"/>
    <mergeCell ref="AJ20:AL20"/>
    <mergeCell ref="X20:AB20"/>
    <mergeCell ref="AT24:BD24"/>
    <mergeCell ref="AG24:AS24"/>
    <mergeCell ref="AG23:AS23"/>
    <mergeCell ref="AC23:AF23"/>
    <mergeCell ref="AE20:AI20"/>
    <mergeCell ref="E22:AB22"/>
    <mergeCell ref="AC25:AF25"/>
    <mergeCell ref="AG22:AS22"/>
    <mergeCell ref="AT22:BD22"/>
    <mergeCell ref="AT23:BD23"/>
    <mergeCell ref="AC22:AF22"/>
    <mergeCell ref="A23:D23"/>
    <mergeCell ref="A24:D24"/>
    <mergeCell ref="A22:D22"/>
    <mergeCell ref="AG27:AS27"/>
    <mergeCell ref="AC24:AF24"/>
    <mergeCell ref="E26:AB26"/>
    <mergeCell ref="E25:AB25"/>
    <mergeCell ref="E24:AB24"/>
    <mergeCell ref="E23:AB23"/>
    <mergeCell ref="AT38:BD38"/>
    <mergeCell ref="AC38:AF38"/>
    <mergeCell ref="AT34:BD34"/>
    <mergeCell ref="A25:D25"/>
    <mergeCell ref="AT37:BD37"/>
    <mergeCell ref="A34:D34"/>
    <mergeCell ref="E34:AB34"/>
    <mergeCell ref="AC35:AF35"/>
    <mergeCell ref="AC34:AF34"/>
    <mergeCell ref="A31:D31"/>
    <mergeCell ref="E31:AB31"/>
    <mergeCell ref="AT33:BD33"/>
    <mergeCell ref="A33:D33"/>
    <mergeCell ref="E33:AB33"/>
    <mergeCell ref="AG32:AS32"/>
    <mergeCell ref="AC31:AF31"/>
    <mergeCell ref="AT32:BD32"/>
    <mergeCell ref="A32:D32"/>
    <mergeCell ref="AG29:AS29"/>
    <mergeCell ref="AT29:BD29"/>
    <mergeCell ref="AC27:AF27"/>
    <mergeCell ref="AC30:AF30"/>
    <mergeCell ref="AC28:AF28"/>
    <mergeCell ref="A26:D26"/>
    <mergeCell ref="E42:S42"/>
    <mergeCell ref="AG38:AS38"/>
    <mergeCell ref="A30:D30"/>
    <mergeCell ref="E27:AB27"/>
    <mergeCell ref="A27:D27"/>
    <mergeCell ref="A28:D28"/>
    <mergeCell ref="E28:AB28"/>
    <mergeCell ref="E32:AB32"/>
    <mergeCell ref="AC32:AF32"/>
    <mergeCell ref="AC33:AF33"/>
    <mergeCell ref="AG33:AS33"/>
    <mergeCell ref="A36:D36"/>
    <mergeCell ref="E36:AB36"/>
    <mergeCell ref="AC36:AF36"/>
    <mergeCell ref="A35:D35"/>
    <mergeCell ref="E35:AB35"/>
    <mergeCell ref="A37:D37"/>
    <mergeCell ref="E37:AB37"/>
    <mergeCell ref="A38:D38"/>
    <mergeCell ref="E30:AB30"/>
    <mergeCell ref="A29:D29"/>
    <mergeCell ref="E29:AB29"/>
    <mergeCell ref="AG30:AS30"/>
    <mergeCell ref="AG28:AS28"/>
    <mergeCell ref="AL43:AZ43"/>
    <mergeCell ref="E38:AB38"/>
    <mergeCell ref="AT30:BD30"/>
    <mergeCell ref="AC29:AF29"/>
    <mergeCell ref="M46:U46"/>
    <mergeCell ref="AT25:BD25"/>
    <mergeCell ref="AT26:BD26"/>
    <mergeCell ref="AT27:BD27"/>
    <mergeCell ref="AT28:BD28"/>
    <mergeCell ref="AG26:AS26"/>
    <mergeCell ref="AG25:AS25"/>
    <mergeCell ref="AC26:AF26"/>
    <mergeCell ref="AG34:AS34"/>
    <mergeCell ref="AG31:AS31"/>
    <mergeCell ref="K44:S44"/>
    <mergeCell ref="AT31:BD31"/>
    <mergeCell ref="AG37:AS37"/>
    <mergeCell ref="AG36:AS36"/>
    <mergeCell ref="AG35:AS35"/>
    <mergeCell ref="AC37:AF37"/>
    <mergeCell ref="AT36:BD36"/>
    <mergeCell ref="AT35:BD35"/>
    <mergeCell ref="AL44:AZ44"/>
    <mergeCell ref="E43:S43"/>
  </mergeCells>
  <phoneticPr fontId="0" type="noConversion"/>
  <pageMargins left="0.62992125984251968" right="0.23622047244094491" top="0.49" bottom="0.70866141732283472" header="0.25" footer="0.39370078740157483"/>
  <pageSetup orientation="portrait" r:id="rId1"/>
  <headerFooter alignWithMargins="0">
    <oddHeader>&amp;R&amp;"Times New Roman CE,Regular"Obrazac - PPPI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1" enableFormatConditionsCalculation="0">
    <tabColor indexed="29"/>
  </sheetPr>
  <dimension ref="A1:AR175"/>
  <sheetViews>
    <sheetView showGridLines="0" workbookViewId="0">
      <selection activeCell="X135" sqref="X135:Z135"/>
    </sheetView>
  </sheetViews>
  <sheetFormatPr defaultRowHeight="12.75"/>
  <cols>
    <col min="1" max="23" width="3" style="2" customWidth="1"/>
    <col min="24" max="26" width="3.5703125" style="2" customWidth="1"/>
    <col min="27" max="34" width="3" style="2" customWidth="1"/>
    <col min="35" max="35" width="2.7109375" style="2" customWidth="1"/>
    <col min="36" max="36" width="2.5703125" style="2" customWidth="1"/>
    <col min="37" max="37" width="2.7109375" style="2" customWidth="1"/>
    <col min="38" max="39" width="2.5703125" style="2" customWidth="1"/>
    <col min="40" max="40" width="2.7109375" style="2" customWidth="1"/>
    <col min="41" max="41" width="2.5703125" style="2" customWidth="1"/>
    <col min="42" max="42" width="2.7109375" style="2" customWidth="1"/>
    <col min="43" max="44" width="2.5703125" style="2" customWidth="1"/>
    <col min="45" max="45" width="2.7109375" style="2" customWidth="1"/>
    <col min="46" max="46" width="2.5703125" style="2" customWidth="1"/>
    <col min="47" max="47" width="2.7109375" style="2" customWidth="1"/>
    <col min="48" max="49" width="2.5703125" style="2" customWidth="1"/>
    <col min="50" max="50" width="2.7109375" style="2" customWidth="1"/>
    <col min="51" max="51" width="2.5703125" style="2" customWidth="1"/>
    <col min="52" max="52" width="2.7109375" style="2" customWidth="1"/>
    <col min="53" max="54" width="2.5703125" style="2" customWidth="1"/>
    <col min="55" max="55" width="2.7109375" style="2" customWidth="1"/>
    <col min="56" max="56" width="2.5703125" style="2" customWidth="1"/>
    <col min="57" max="57" width="2.7109375" style="2" customWidth="1"/>
    <col min="58" max="59" width="2.5703125" style="2" customWidth="1"/>
    <col min="60" max="60" width="2.7109375" style="2" customWidth="1"/>
    <col min="61" max="61" width="2.5703125" style="2" customWidth="1"/>
    <col min="62" max="62" width="2.7109375" style="2" customWidth="1"/>
    <col min="63" max="64" width="2.5703125" style="2" customWidth="1"/>
    <col min="65" max="65" width="2.7109375" style="2" customWidth="1"/>
    <col min="66" max="66" width="2.5703125" style="2" customWidth="1"/>
    <col min="67" max="67" width="2.7109375" style="2" customWidth="1"/>
    <col min="68" max="69" width="2.5703125" style="2" customWidth="1"/>
    <col min="70" max="70" width="2.7109375" style="2" customWidth="1"/>
    <col min="71" max="71" width="2.5703125" style="2" customWidth="1"/>
    <col min="72" max="72" width="2.7109375" style="2" customWidth="1"/>
    <col min="73" max="74" width="2.5703125" style="2" customWidth="1"/>
    <col min="75" max="75" width="2.7109375" style="2" customWidth="1"/>
    <col min="76" max="76" width="2.5703125" style="2" customWidth="1"/>
    <col min="77" max="77" width="2.7109375" style="2" customWidth="1"/>
    <col min="78" max="79" width="2.5703125" style="2" customWidth="1"/>
    <col min="80" max="80" width="2.7109375" style="2" customWidth="1"/>
    <col min="81" max="81" width="2.5703125" style="2" customWidth="1"/>
    <col min="82" max="82" width="2.7109375" style="2" customWidth="1"/>
    <col min="83" max="83" width="2.5703125" style="2" customWidth="1"/>
    <col min="84" max="16384" width="9.140625" style="2"/>
  </cols>
  <sheetData>
    <row r="1" spans="1:44">
      <c r="A1" s="308"/>
      <c r="B1" s="308"/>
      <c r="C1" s="308"/>
      <c r="D1" s="308" t="s">
        <v>709</v>
      </c>
      <c r="E1" s="308"/>
      <c r="F1" s="308"/>
      <c r="G1" s="308"/>
      <c r="H1" s="308"/>
      <c r="I1" s="308"/>
      <c r="J1" s="308"/>
      <c r="K1" s="308"/>
      <c r="L1" s="308"/>
      <c r="AD1" s="23" t="s">
        <v>2270</v>
      </c>
    </row>
    <row r="2" spans="1:44" ht="11.25" customHeight="1">
      <c r="A2" s="308" t="s">
        <v>711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U2" s="7"/>
      <c r="V2" s="7"/>
      <c r="X2" s="1258" t="s">
        <v>304</v>
      </c>
      <c r="Y2" s="19"/>
      <c r="Z2" s="20"/>
      <c r="AA2" s="20"/>
      <c r="AB2" s="20"/>
      <c r="AC2" s="20"/>
      <c r="AD2" s="20"/>
      <c r="AE2" s="19"/>
      <c r="AF2" s="19"/>
      <c r="AG2" s="19"/>
      <c r="AH2" s="32"/>
      <c r="AR2" s="23"/>
    </row>
    <row r="3" spans="1:44" ht="11.25" customHeight="1">
      <c r="A3" s="308" t="s">
        <v>1778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U3" s="7"/>
      <c r="V3" s="7"/>
      <c r="X3" s="769" t="s">
        <v>2864</v>
      </c>
      <c r="Y3" s="21"/>
      <c r="Z3" s="770"/>
      <c r="AA3" s="770"/>
      <c r="AB3" s="770"/>
      <c r="AC3" s="770"/>
      <c r="AD3" s="770"/>
      <c r="AE3" s="21"/>
      <c r="AF3" s="21"/>
      <c r="AG3" s="21"/>
      <c r="AH3" s="33"/>
      <c r="AR3" s="23"/>
    </row>
    <row r="4" spans="1:44" ht="11.25" customHeight="1">
      <c r="A4" s="768"/>
      <c r="B4" s="768"/>
      <c r="C4" s="768"/>
      <c r="D4" s="768" t="s">
        <v>720</v>
      </c>
      <c r="E4" s="768"/>
      <c r="F4" s="768"/>
      <c r="G4" s="768"/>
      <c r="H4" s="768"/>
      <c r="I4" s="768"/>
      <c r="J4" s="768"/>
      <c r="K4" s="768"/>
      <c r="L4" s="768"/>
      <c r="M4" s="3"/>
      <c r="T4" s="18"/>
      <c r="U4" s="7"/>
      <c r="V4" s="7"/>
      <c r="W4" s="7"/>
      <c r="X4" s="7"/>
      <c r="Y4" s="7"/>
      <c r="Z4" s="18"/>
      <c r="AA4" s="18"/>
      <c r="AB4" s="18"/>
      <c r="AC4" s="18"/>
      <c r="AD4" s="18"/>
      <c r="AR4" s="23"/>
    </row>
    <row r="5" spans="1:44" ht="11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T5" s="18"/>
      <c r="U5" s="7"/>
      <c r="V5" s="7"/>
      <c r="W5" s="7"/>
      <c r="X5" s="7"/>
      <c r="Y5" s="7"/>
      <c r="Z5" s="18"/>
      <c r="AA5" s="18"/>
      <c r="AB5" s="18"/>
      <c r="AC5" s="18"/>
      <c r="AD5" s="18"/>
      <c r="AR5" s="23"/>
    </row>
    <row r="6" spans="1:44" ht="17.25" customHeight="1">
      <c r="A6" s="2008" t="s">
        <v>1018</v>
      </c>
      <c r="B6" s="2008"/>
      <c r="C6" s="2008"/>
      <c r="D6" s="2008"/>
      <c r="E6" s="2008"/>
      <c r="F6" s="2008"/>
      <c r="G6" s="2008"/>
      <c r="H6" s="2008"/>
      <c r="I6" s="2008"/>
      <c r="J6" s="2008"/>
      <c r="K6" s="2008"/>
      <c r="L6" s="2008"/>
      <c r="M6" s="2008"/>
      <c r="N6" s="2008"/>
      <c r="O6" s="2008"/>
      <c r="P6" s="2008"/>
      <c r="Q6" s="2008"/>
      <c r="R6" s="2008"/>
      <c r="S6" s="2008"/>
      <c r="T6" s="2008"/>
      <c r="U6" s="2008"/>
      <c r="V6" s="2008"/>
      <c r="W6" s="2008"/>
      <c r="X6" s="2008"/>
      <c r="Y6" s="2008"/>
      <c r="Z6" s="2008"/>
      <c r="AA6" s="2008"/>
      <c r="AB6" s="2008"/>
      <c r="AC6" s="2008"/>
      <c r="AD6" s="2008"/>
      <c r="AE6" s="2008"/>
      <c r="AF6" s="2008"/>
      <c r="AG6" s="2008"/>
      <c r="AH6" s="2008"/>
      <c r="AR6" s="23"/>
    </row>
    <row r="7" spans="1:44" ht="13.5" customHeight="1">
      <c r="O7" s="41" t="s">
        <v>9</v>
      </c>
      <c r="P7" s="1902" t="str">
        <f>ObracunGodina</f>
        <v>2011</v>
      </c>
      <c r="Q7" s="1902"/>
      <c r="R7" s="1902"/>
      <c r="S7" s="24" t="s">
        <v>2943</v>
      </c>
      <c r="T7" s="18"/>
      <c r="U7" s="7"/>
      <c r="V7" s="7"/>
      <c r="W7" s="2" t="s">
        <v>1146</v>
      </c>
      <c r="AR7" s="23"/>
    </row>
    <row r="8" spans="1:44" ht="9" customHeight="1">
      <c r="O8" s="41"/>
      <c r="P8" s="9"/>
      <c r="Q8" s="9"/>
      <c r="R8" s="9"/>
      <c r="S8" s="24"/>
      <c r="T8" s="18"/>
      <c r="U8" s="7"/>
      <c r="V8" s="7"/>
      <c r="W8" s="2" t="s">
        <v>1147</v>
      </c>
      <c r="AR8" s="23"/>
    </row>
    <row r="9" spans="1:44" ht="4.5" customHeight="1">
      <c r="O9" s="41"/>
      <c r="P9" s="9"/>
      <c r="Q9" s="9"/>
      <c r="R9" s="9"/>
      <c r="S9" s="24"/>
      <c r="T9" s="18"/>
      <c r="U9" s="7"/>
      <c r="V9" s="7"/>
      <c r="W9" s="7"/>
      <c r="AR9" s="23"/>
    </row>
    <row r="10" spans="1:44" ht="15.75">
      <c r="A10" s="110" t="s">
        <v>2853</v>
      </c>
      <c r="B10" s="111"/>
      <c r="C10" s="111"/>
      <c r="D10" s="111"/>
      <c r="E10" s="111"/>
      <c r="F10" s="111"/>
      <c r="G10" s="111"/>
      <c r="H10" s="111"/>
      <c r="K10" s="1952">
        <f>FirmaNaziv</f>
        <v>0</v>
      </c>
      <c r="L10" s="1952"/>
      <c r="M10" s="1952"/>
      <c r="N10" s="1952"/>
      <c r="O10" s="1952"/>
      <c r="P10" s="1952"/>
      <c r="Q10" s="1952"/>
      <c r="R10" s="1952"/>
      <c r="S10" s="1952"/>
      <c r="T10" s="1952"/>
      <c r="U10" s="1952"/>
      <c r="V10" s="1952"/>
      <c r="W10" s="1952"/>
      <c r="X10" s="1952"/>
      <c r="Y10" s="1952"/>
      <c r="Z10" s="1952"/>
      <c r="AA10" s="1952"/>
      <c r="AB10" s="1952"/>
      <c r="AC10" s="1952"/>
      <c r="AD10" s="1952"/>
      <c r="AE10" s="1952"/>
      <c r="AF10" s="1952"/>
      <c r="AG10" s="1952"/>
      <c r="AH10" s="1952"/>
    </row>
    <row r="11" spans="1:44" ht="5.25" customHeight="1">
      <c r="A11" s="63"/>
      <c r="B11" s="64"/>
      <c r="C11" s="64"/>
      <c r="D11" s="64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64"/>
      <c r="X11" s="64"/>
      <c r="Y11" s="64"/>
      <c r="Z11" s="64"/>
      <c r="AA11" s="64"/>
      <c r="AB11" s="64"/>
      <c r="AC11" s="64"/>
      <c r="AD11" s="64"/>
      <c r="AE11" s="64"/>
    </row>
    <row r="12" spans="1:44" ht="15">
      <c r="A12" s="63" t="s">
        <v>2854</v>
      </c>
      <c r="B12" s="64"/>
      <c r="C12" s="64"/>
      <c r="D12" s="64"/>
      <c r="E12" s="64"/>
      <c r="F12" s="64"/>
      <c r="G12" s="64"/>
      <c r="H12" s="64"/>
      <c r="I12" s="63"/>
      <c r="J12" s="64"/>
      <c r="N12" s="96"/>
      <c r="O12" s="96"/>
      <c r="P12" s="96"/>
      <c r="Q12" s="96"/>
      <c r="R12" s="96"/>
      <c r="S12" s="96"/>
      <c r="T12" s="96"/>
      <c r="U12" s="96"/>
      <c r="V12" s="472" t="str">
        <f>MID(FirmaID,1,1)</f>
        <v/>
      </c>
      <c r="W12" s="472" t="str">
        <f>MID(FirmaID,2,1)</f>
        <v/>
      </c>
      <c r="X12" s="472" t="str">
        <f>MID(FirmaID,3,1)</f>
        <v/>
      </c>
      <c r="Y12" s="472" t="str">
        <f>MID(FirmaID,4,1)</f>
        <v/>
      </c>
      <c r="Z12" s="472" t="str">
        <f>MID(FirmaID,5,1)</f>
        <v/>
      </c>
      <c r="AA12" s="472" t="str">
        <f>MID(FirmaID,6,1)</f>
        <v/>
      </c>
      <c r="AB12" s="472" t="str">
        <f>MID(FirmaID,7,1)</f>
        <v/>
      </c>
      <c r="AC12" s="472" t="str">
        <f>MID(FirmaID,8,1)</f>
        <v/>
      </c>
      <c r="AD12" s="472" t="str">
        <f>MID(FirmaID,9,1)</f>
        <v/>
      </c>
      <c r="AE12" s="472" t="str">
        <f>MID(FirmaID,10,1)</f>
        <v/>
      </c>
      <c r="AF12" s="472" t="str">
        <f>MID(FirmaID,11,1)</f>
        <v/>
      </c>
      <c r="AG12" s="472" t="str">
        <f>MID(FirmaID,12,1)</f>
        <v/>
      </c>
      <c r="AH12" s="472" t="str">
        <f>MID(FirmaID,13,1)</f>
        <v/>
      </c>
    </row>
    <row r="13" spans="1:44" ht="6.75" customHeight="1">
      <c r="A13" s="63"/>
      <c r="B13" s="64"/>
      <c r="C13" s="64"/>
      <c r="D13" s="64"/>
      <c r="E13" s="64"/>
      <c r="F13" s="64"/>
      <c r="G13" s="64"/>
      <c r="H13" s="64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</row>
    <row r="14" spans="1:44" ht="15.75" customHeight="1">
      <c r="A14" s="63" t="s">
        <v>2855</v>
      </c>
      <c r="B14" s="64"/>
      <c r="C14" s="64"/>
      <c r="F14" s="1951" t="str">
        <f>'UNOS-INV01'!L8</f>
        <v>Unsko Sanski</v>
      </c>
      <c r="G14" s="1951"/>
      <c r="H14" s="1951"/>
      <c r="I14" s="1951"/>
      <c r="J14" s="1951"/>
      <c r="K14" s="1951"/>
      <c r="L14" s="1951"/>
      <c r="M14" s="1951"/>
      <c r="N14" s="1951"/>
      <c r="O14" s="1951"/>
      <c r="P14" s="1951"/>
      <c r="Q14" s="1951"/>
      <c r="R14" s="64"/>
      <c r="S14" s="64"/>
      <c r="T14" s="64" t="s">
        <v>721</v>
      </c>
      <c r="W14" s="1951">
        <f>FirmaSjediste</f>
        <v>0</v>
      </c>
      <c r="X14" s="1951"/>
      <c r="Y14" s="1951"/>
      <c r="Z14" s="1951"/>
      <c r="AA14" s="1951"/>
      <c r="AB14" s="1951"/>
      <c r="AC14" s="1951"/>
      <c r="AD14" s="1951"/>
      <c r="AE14" s="1951"/>
      <c r="AF14" s="1951"/>
      <c r="AG14" s="1951"/>
      <c r="AH14" s="1951"/>
    </row>
    <row r="15" spans="1:44" ht="6.75" customHeight="1">
      <c r="A15" s="63"/>
      <c r="B15" s="64"/>
      <c r="C15" s="64"/>
      <c r="D15" s="64"/>
      <c r="E15" s="64"/>
      <c r="F15" s="64"/>
      <c r="G15" s="64"/>
      <c r="H15" s="64"/>
      <c r="I15" s="63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</row>
    <row r="16" spans="1:44" ht="15" customHeight="1">
      <c r="A16" s="64" t="s">
        <v>2856</v>
      </c>
      <c r="B16" s="64"/>
      <c r="C16" s="64"/>
      <c r="F16" s="1951">
        <f>FirmaAdresa</f>
        <v>0</v>
      </c>
      <c r="G16" s="1951"/>
      <c r="H16" s="1951"/>
      <c r="I16" s="1951"/>
      <c r="J16" s="1951"/>
      <c r="K16" s="1951"/>
      <c r="L16" s="1951"/>
      <c r="M16" s="1951"/>
      <c r="N16" s="1951"/>
      <c r="O16" s="1951"/>
      <c r="P16" s="1951"/>
      <c r="Q16" s="1951"/>
      <c r="R16" s="1951"/>
      <c r="S16" s="1951"/>
      <c r="T16" s="1951"/>
      <c r="U16" s="1951"/>
      <c r="V16" s="64"/>
      <c r="W16" s="64" t="s">
        <v>2857</v>
      </c>
      <c r="Z16" s="1951">
        <f>FirmaTelefon</f>
        <v>0</v>
      </c>
      <c r="AA16" s="1951"/>
      <c r="AB16" s="1951"/>
      <c r="AC16" s="1951"/>
      <c r="AD16" s="1951"/>
      <c r="AE16" s="1951"/>
      <c r="AF16" s="1951"/>
      <c r="AG16" s="1951"/>
      <c r="AH16" s="1951"/>
    </row>
    <row r="17" spans="1:34" ht="6.75" customHeight="1">
      <c r="A17" s="6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4">
      <c r="A18" s="63" t="s">
        <v>2858</v>
      </c>
      <c r="B18" s="1195"/>
      <c r="C18" s="1195"/>
      <c r="D18" s="1195"/>
      <c r="E18" s="1195"/>
      <c r="F18" s="1195"/>
      <c r="G18" s="1195"/>
      <c r="H18" s="1195"/>
      <c r="I18" s="1195"/>
      <c r="J18" s="1195"/>
      <c r="K18" s="1195"/>
      <c r="L18" s="1195"/>
      <c r="M18" s="1195"/>
      <c r="N18" s="1195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95"/>
      <c r="AD18" s="1115" t="str">
        <f>MID(FirmaDjeSifra,1,1)</f>
        <v/>
      </c>
      <c r="AE18" s="1115" t="str">
        <f>MID(FirmaDjeSifra,2,1)</f>
        <v/>
      </c>
      <c r="AF18" s="1115" t="str">
        <f>MID(FirmaDjeSifra,3,1)</f>
        <v/>
      </c>
      <c r="AG18" s="1115" t="str">
        <f>MID(FirmaDjeSifra,4,1)</f>
        <v/>
      </c>
      <c r="AH18" s="1115" t="str">
        <f>MID(FirmaDjeSifra,5,1)</f>
        <v/>
      </c>
    </row>
    <row r="19" spans="1:34" ht="7.5" customHeight="1">
      <c r="A19" s="63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</row>
    <row r="20" spans="1:34">
      <c r="A20" s="63" t="s">
        <v>2859</v>
      </c>
      <c r="B20" s="1195"/>
      <c r="C20" s="1195"/>
      <c r="D20" s="1195"/>
      <c r="E20" s="1195"/>
      <c r="F20" s="1195"/>
      <c r="G20" s="1195"/>
      <c r="H20" s="1195"/>
      <c r="I20" s="1195"/>
      <c r="J20" s="1195"/>
      <c r="K20" s="1195"/>
      <c r="L20" s="1195"/>
      <c r="M20" s="1195"/>
      <c r="N20" s="1195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95"/>
      <c r="AA20" s="1195"/>
      <c r="AE20" s="1115">
        <f>'UNOS-INV01'!L6</f>
        <v>0</v>
      </c>
      <c r="AF20" s="1115">
        <f>'UNOS-INV01'!M6</f>
        <v>0</v>
      </c>
      <c r="AG20" s="1115">
        <f>'UNOS-INV01'!N6</f>
        <v>0</v>
      </c>
      <c r="AH20" s="1115">
        <f>'UNOS-INV01'!O6</f>
        <v>0</v>
      </c>
    </row>
    <row r="21" spans="1:34" ht="6" customHeight="1">
      <c r="A21" s="63"/>
      <c r="B21" s="1195"/>
      <c r="C21" s="1195"/>
      <c r="D21" s="1195"/>
      <c r="E21" s="1195"/>
      <c r="F21" s="1195"/>
      <c r="G21" s="1195"/>
      <c r="H21" s="1195"/>
      <c r="I21" s="1195"/>
      <c r="J21" s="1195"/>
      <c r="K21" s="1195"/>
      <c r="L21" s="1195"/>
      <c r="M21" s="1195"/>
      <c r="N21" s="1195"/>
      <c r="O21" s="1195"/>
      <c r="P21" s="1195"/>
      <c r="Q21" s="1195"/>
      <c r="R21" s="1195"/>
      <c r="S21" s="1195"/>
      <c r="T21" s="1195"/>
      <c r="U21" s="1195"/>
      <c r="V21" s="1195"/>
      <c r="W21" s="1195"/>
      <c r="X21" s="1195"/>
      <c r="Y21" s="1195"/>
      <c r="Z21" s="1195"/>
      <c r="AA21" s="1195"/>
      <c r="AB21" s="1195"/>
      <c r="AC21" s="1195"/>
      <c r="AD21" s="1195"/>
      <c r="AE21" s="1195"/>
    </row>
    <row r="22" spans="1:34" ht="13.5" thickBot="1">
      <c r="A22" s="1259" t="s">
        <v>2865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1195"/>
    </row>
    <row r="23" spans="1:34" s="42" customFormat="1" ht="14.25" customHeight="1">
      <c r="A23" s="1987" t="s">
        <v>2271</v>
      </c>
      <c r="B23" s="1988"/>
      <c r="C23" s="1989" t="s">
        <v>2272</v>
      </c>
      <c r="D23" s="1989"/>
      <c r="E23" s="1989"/>
      <c r="F23" s="1989"/>
      <c r="G23" s="1989"/>
      <c r="H23" s="1989"/>
      <c r="I23" s="1989"/>
      <c r="J23" s="1989"/>
      <c r="K23" s="1989"/>
      <c r="L23" s="1989"/>
      <c r="M23" s="1989"/>
      <c r="N23" s="1989"/>
      <c r="O23" s="1989"/>
      <c r="P23" s="1989"/>
      <c r="Q23" s="1989"/>
      <c r="R23" s="1989"/>
      <c r="S23" s="1989"/>
      <c r="T23" s="1989"/>
      <c r="U23" s="1989"/>
      <c r="V23" s="1989"/>
      <c r="W23" s="1989"/>
      <c r="X23" s="1990" t="s">
        <v>2866</v>
      </c>
      <c r="Y23" s="1990"/>
      <c r="Z23" s="1990"/>
      <c r="AA23" s="1989" t="s">
        <v>1491</v>
      </c>
      <c r="AB23" s="1989"/>
      <c r="AC23" s="1989"/>
      <c r="AD23" s="1989"/>
      <c r="AE23" s="1989"/>
      <c r="AF23" s="1989"/>
      <c r="AG23" s="1989"/>
      <c r="AH23" s="1991"/>
    </row>
    <row r="24" spans="1:34" ht="12.75" customHeight="1">
      <c r="A24" s="1993" t="s">
        <v>1492</v>
      </c>
      <c r="B24" s="1956"/>
      <c r="C24" s="1955"/>
      <c r="D24" s="1955"/>
      <c r="E24" s="1955"/>
      <c r="F24" s="1955"/>
      <c r="G24" s="1955"/>
      <c r="H24" s="1955"/>
      <c r="I24" s="1955"/>
      <c r="J24" s="1955"/>
      <c r="K24" s="1955"/>
      <c r="L24" s="1955"/>
      <c r="M24" s="1955"/>
      <c r="N24" s="1955"/>
      <c r="O24" s="1955"/>
      <c r="P24" s="1955"/>
      <c r="Q24" s="1955"/>
      <c r="R24" s="1628"/>
      <c r="S24" s="1955"/>
      <c r="T24" s="1955"/>
      <c r="U24" s="1955"/>
      <c r="V24" s="1955"/>
      <c r="W24" s="1955"/>
      <c r="X24" s="1934"/>
      <c r="Y24" s="1934"/>
      <c r="Z24" s="1934"/>
      <c r="AA24" s="1955"/>
      <c r="AB24" s="1955"/>
      <c r="AC24" s="1955"/>
      <c r="AD24" s="1955"/>
      <c r="AE24" s="1955"/>
      <c r="AF24" s="1955"/>
      <c r="AG24" s="1955"/>
      <c r="AH24" s="1992"/>
    </row>
    <row r="25" spans="1:34" ht="12.75" customHeight="1">
      <c r="A25" s="2009">
        <v>1</v>
      </c>
      <c r="B25" s="1955"/>
      <c r="C25" s="1955">
        <v>2</v>
      </c>
      <c r="D25" s="1955"/>
      <c r="E25" s="1955"/>
      <c r="F25" s="1955"/>
      <c r="G25" s="1955"/>
      <c r="H25" s="1955"/>
      <c r="I25" s="1955"/>
      <c r="J25" s="1955"/>
      <c r="K25" s="1955"/>
      <c r="L25" s="1955"/>
      <c r="M25" s="1955"/>
      <c r="N25" s="1955"/>
      <c r="O25" s="1955"/>
      <c r="P25" s="1955"/>
      <c r="Q25" s="1955"/>
      <c r="R25" s="1955"/>
      <c r="S25" s="1955"/>
      <c r="T25" s="1955"/>
      <c r="U25" s="1955"/>
      <c r="V25" s="1955"/>
      <c r="W25" s="1955"/>
      <c r="X25" s="1955">
        <v>3</v>
      </c>
      <c r="Y25" s="1955"/>
      <c r="Z25" s="1955"/>
      <c r="AA25" s="1955">
        <v>4</v>
      </c>
      <c r="AB25" s="1955"/>
      <c r="AC25" s="1955"/>
      <c r="AD25" s="1955"/>
      <c r="AE25" s="1955"/>
      <c r="AF25" s="1955"/>
      <c r="AG25" s="1955"/>
      <c r="AH25" s="1992"/>
    </row>
    <row r="26" spans="1:34" ht="26.25" customHeight="1">
      <c r="A26" s="1984" t="s">
        <v>673</v>
      </c>
      <c r="B26" s="1985"/>
      <c r="C26" s="2005" t="s">
        <v>2867</v>
      </c>
      <c r="D26" s="2006"/>
      <c r="E26" s="2006"/>
      <c r="F26" s="2006"/>
      <c r="G26" s="2006"/>
      <c r="H26" s="2006"/>
      <c r="I26" s="2006"/>
      <c r="J26" s="2006"/>
      <c r="K26" s="2006"/>
      <c r="L26" s="2006"/>
      <c r="M26" s="2006"/>
      <c r="N26" s="2006"/>
      <c r="O26" s="2006"/>
      <c r="P26" s="2006"/>
      <c r="Q26" s="2006"/>
      <c r="R26" s="2006"/>
      <c r="S26" s="2006"/>
      <c r="T26" s="2006"/>
      <c r="U26" s="2006"/>
      <c r="V26" s="2006"/>
      <c r="W26" s="2007"/>
      <c r="X26" s="1950"/>
      <c r="Y26" s="1950"/>
      <c r="Z26" s="1950"/>
      <c r="AA26" s="2003">
        <f>AA27++AA36+AA46+AA47+AA48+AA49+AA51+AA53+AA54</f>
        <v>0</v>
      </c>
      <c r="AB26" s="2003"/>
      <c r="AC26" s="2003"/>
      <c r="AD26" s="2003"/>
      <c r="AE26" s="2003"/>
      <c r="AF26" s="2003"/>
      <c r="AG26" s="2003"/>
      <c r="AH26" s="2004"/>
    </row>
    <row r="27" spans="1:34" ht="15">
      <c r="A27" s="1984" t="s">
        <v>674</v>
      </c>
      <c r="B27" s="1985"/>
      <c r="C27" s="466" t="s">
        <v>2868</v>
      </c>
      <c r="D27" s="456"/>
      <c r="E27" s="409"/>
      <c r="F27" s="409"/>
      <c r="G27" s="409"/>
      <c r="H27" s="409"/>
      <c r="I27" s="409"/>
      <c r="J27" s="409"/>
      <c r="K27" s="409"/>
      <c r="L27" s="409"/>
      <c r="M27" s="409"/>
      <c r="N27" s="409"/>
      <c r="O27" s="409"/>
      <c r="P27" s="409"/>
      <c r="Q27" s="409"/>
      <c r="R27" s="409"/>
      <c r="S27" s="409"/>
      <c r="T27" s="409"/>
      <c r="U27" s="409"/>
      <c r="V27" s="409"/>
      <c r="W27" s="410"/>
      <c r="X27" s="2002" t="s">
        <v>2869</v>
      </c>
      <c r="Y27" s="2002"/>
      <c r="Z27" s="2002"/>
      <c r="AA27" s="2003">
        <f>SUM(AA28:AA35)</f>
        <v>0</v>
      </c>
      <c r="AB27" s="2003"/>
      <c r="AC27" s="2003"/>
      <c r="AD27" s="2003"/>
      <c r="AE27" s="2003"/>
      <c r="AF27" s="2003"/>
      <c r="AG27" s="2003"/>
      <c r="AH27" s="2004"/>
    </row>
    <row r="28" spans="1:34" ht="15" customHeight="1">
      <c r="A28" s="1984" t="s">
        <v>675</v>
      </c>
      <c r="B28" s="1985"/>
      <c r="C28" s="377" t="s">
        <v>2870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32"/>
      <c r="X28" s="1950" t="s">
        <v>2216</v>
      </c>
      <c r="Y28" s="1950"/>
      <c r="Z28" s="1950"/>
      <c r="AA28" s="1936">
        <f>unos!G4</f>
        <v>0</v>
      </c>
      <c r="AB28" s="1936"/>
      <c r="AC28" s="1936"/>
      <c r="AD28" s="1936"/>
      <c r="AE28" s="1936"/>
      <c r="AF28" s="1936"/>
      <c r="AG28" s="1936"/>
      <c r="AH28" s="1986"/>
    </row>
    <row r="29" spans="1:34" ht="15">
      <c r="A29" s="1984" t="s">
        <v>676</v>
      </c>
      <c r="B29" s="1985"/>
      <c r="C29" s="374" t="s">
        <v>1331</v>
      </c>
      <c r="D29" s="375"/>
      <c r="E29" s="375"/>
      <c r="F29" s="375"/>
      <c r="G29" s="375"/>
      <c r="H29" s="375"/>
      <c r="I29" s="375"/>
      <c r="J29" s="375"/>
      <c r="K29" s="375"/>
      <c r="L29" s="375"/>
      <c r="M29" s="375"/>
      <c r="N29" s="375"/>
      <c r="O29" s="375"/>
      <c r="P29" s="375"/>
      <c r="Q29" s="375"/>
      <c r="R29" s="375"/>
      <c r="S29" s="375"/>
      <c r="T29" s="375"/>
      <c r="U29" s="375"/>
      <c r="V29" s="375"/>
      <c r="W29" s="376"/>
      <c r="X29" s="1950" t="s">
        <v>2217</v>
      </c>
      <c r="Y29" s="1950"/>
      <c r="Z29" s="1950"/>
      <c r="AA29" s="1936">
        <f>unos!G5</f>
        <v>0</v>
      </c>
      <c r="AB29" s="1936"/>
      <c r="AC29" s="1936"/>
      <c r="AD29" s="1936"/>
      <c r="AE29" s="1936"/>
      <c r="AF29" s="1936"/>
      <c r="AG29" s="1936"/>
      <c r="AH29" s="1986"/>
    </row>
    <row r="30" spans="1:34" ht="15">
      <c r="A30" s="1984" t="s">
        <v>677</v>
      </c>
      <c r="B30" s="1985"/>
      <c r="C30" s="377" t="s">
        <v>1332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32"/>
      <c r="X30" s="1950" t="s">
        <v>2218</v>
      </c>
      <c r="Y30" s="1950"/>
      <c r="Z30" s="1950"/>
      <c r="AA30" s="1936">
        <f>unos!G6</f>
        <v>0</v>
      </c>
      <c r="AB30" s="1936"/>
      <c r="AC30" s="1936"/>
      <c r="AD30" s="1936"/>
      <c r="AE30" s="1936"/>
      <c r="AF30" s="1936"/>
      <c r="AG30" s="1936"/>
      <c r="AH30" s="1986"/>
    </row>
    <row r="31" spans="1:34" ht="15">
      <c r="A31" s="1984" t="s">
        <v>678</v>
      </c>
      <c r="B31" s="1985"/>
      <c r="C31" s="374" t="s">
        <v>2871</v>
      </c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  <c r="W31" s="376"/>
      <c r="X31" s="1950" t="s">
        <v>816</v>
      </c>
      <c r="Y31" s="1950"/>
      <c r="Z31" s="1950"/>
      <c r="AA31" s="1936">
        <f>unos!G7</f>
        <v>0</v>
      </c>
      <c r="AB31" s="1936"/>
      <c r="AC31" s="1936"/>
      <c r="AD31" s="1936"/>
      <c r="AE31" s="1936"/>
      <c r="AF31" s="1936"/>
      <c r="AG31" s="1936"/>
      <c r="AH31" s="1986"/>
    </row>
    <row r="32" spans="1:34" ht="14.25" customHeight="1">
      <c r="A32" s="1984" t="s">
        <v>679</v>
      </c>
      <c r="B32" s="1985"/>
      <c r="C32" s="374" t="s">
        <v>1334</v>
      </c>
      <c r="D32" s="375"/>
      <c r="E32" s="375"/>
      <c r="F32" s="375"/>
      <c r="G32" s="375"/>
      <c r="H32" s="375"/>
      <c r="I32" s="375"/>
      <c r="J32" s="375"/>
      <c r="K32" s="375"/>
      <c r="L32" s="375"/>
      <c r="M32" s="375"/>
      <c r="N32" s="375"/>
      <c r="O32" s="375"/>
      <c r="P32" s="375"/>
      <c r="Q32" s="375"/>
      <c r="R32" s="375"/>
      <c r="S32" s="375"/>
      <c r="T32" s="375"/>
      <c r="U32" s="375"/>
      <c r="V32" s="375"/>
      <c r="W32" s="376"/>
      <c r="X32" s="1950" t="s">
        <v>889</v>
      </c>
      <c r="Y32" s="1950"/>
      <c r="Z32" s="1950"/>
      <c r="AA32" s="1936">
        <f>unos!G8</f>
        <v>0</v>
      </c>
      <c r="AB32" s="1936"/>
      <c r="AC32" s="1936"/>
      <c r="AD32" s="1936"/>
      <c r="AE32" s="1936"/>
      <c r="AF32" s="1936"/>
      <c r="AG32" s="1936"/>
      <c r="AH32" s="1986"/>
    </row>
    <row r="33" spans="1:34" ht="15" customHeight="1">
      <c r="A33" s="1984" t="s">
        <v>680</v>
      </c>
      <c r="B33" s="1985"/>
      <c r="C33" s="374" t="s">
        <v>1335</v>
      </c>
      <c r="D33" s="375"/>
      <c r="E33" s="375"/>
      <c r="F33" s="375"/>
      <c r="G33" s="375"/>
      <c r="H33" s="375"/>
      <c r="I33" s="375"/>
      <c r="J33" s="375"/>
      <c r="K33" s="375"/>
      <c r="L33" s="375"/>
      <c r="M33" s="375"/>
      <c r="N33" s="375"/>
      <c r="O33" s="375"/>
      <c r="P33" s="375"/>
      <c r="Q33" s="375"/>
      <c r="R33" s="375"/>
      <c r="S33" s="375"/>
      <c r="T33" s="375"/>
      <c r="U33" s="375"/>
      <c r="V33" s="375"/>
      <c r="W33" s="376"/>
      <c r="X33" s="1950" t="s">
        <v>890</v>
      </c>
      <c r="Y33" s="1950"/>
      <c r="Z33" s="1950"/>
      <c r="AA33" s="1936">
        <f>unos!G9</f>
        <v>0</v>
      </c>
      <c r="AB33" s="1936"/>
      <c r="AC33" s="1936"/>
      <c r="AD33" s="1936"/>
      <c r="AE33" s="1936"/>
      <c r="AF33" s="1936"/>
      <c r="AG33" s="1936"/>
      <c r="AH33" s="1986"/>
    </row>
    <row r="34" spans="1:34" ht="15">
      <c r="A34" s="1984" t="s">
        <v>681</v>
      </c>
      <c r="B34" s="1985"/>
      <c r="C34" s="374" t="s">
        <v>1336</v>
      </c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  <c r="W34" s="376"/>
      <c r="X34" s="1950" t="s">
        <v>1808</v>
      </c>
      <c r="Y34" s="1950"/>
      <c r="Z34" s="1950"/>
      <c r="AA34" s="1936">
        <f>unos!G10</f>
        <v>0</v>
      </c>
      <c r="AB34" s="1936"/>
      <c r="AC34" s="1936"/>
      <c r="AD34" s="1936"/>
      <c r="AE34" s="1936"/>
      <c r="AF34" s="1936"/>
      <c r="AG34" s="1936"/>
      <c r="AH34" s="1986"/>
    </row>
    <row r="35" spans="1:34" ht="15">
      <c r="A35" s="1984" t="s">
        <v>682</v>
      </c>
      <c r="B35" s="1985"/>
      <c r="C35" s="374" t="s">
        <v>1337</v>
      </c>
      <c r="D35" s="409"/>
      <c r="E35" s="409"/>
      <c r="F35" s="409"/>
      <c r="G35" s="409"/>
      <c r="H35" s="409"/>
      <c r="I35" s="409"/>
      <c r="J35" s="409"/>
      <c r="K35" s="409"/>
      <c r="L35" s="409"/>
      <c r="M35" s="409"/>
      <c r="N35" s="409"/>
      <c r="O35" s="409"/>
      <c r="P35" s="409"/>
      <c r="Q35" s="409"/>
      <c r="R35" s="409"/>
      <c r="S35" s="409"/>
      <c r="T35" s="409"/>
      <c r="U35" s="409"/>
      <c r="V35" s="409"/>
      <c r="W35" s="410"/>
      <c r="X35" s="1950" t="s">
        <v>1809</v>
      </c>
      <c r="Y35" s="1950"/>
      <c r="Z35" s="1950"/>
      <c r="AA35" s="1936">
        <f>unos!G11</f>
        <v>0</v>
      </c>
      <c r="AB35" s="1936"/>
      <c r="AC35" s="1936"/>
      <c r="AD35" s="1936"/>
      <c r="AE35" s="1936"/>
      <c r="AF35" s="1936"/>
      <c r="AG35" s="1936"/>
      <c r="AH35" s="1986"/>
    </row>
    <row r="36" spans="1:34" ht="15">
      <c r="A36" s="1984" t="s">
        <v>683</v>
      </c>
      <c r="B36" s="1985"/>
      <c r="C36" s="379" t="s">
        <v>2872</v>
      </c>
      <c r="D36" s="409"/>
      <c r="E36" s="409"/>
      <c r="F36" s="409"/>
      <c r="G36" s="409"/>
      <c r="H36" s="409"/>
      <c r="I36" s="409"/>
      <c r="J36" s="409"/>
      <c r="K36" s="409"/>
      <c r="L36" s="409"/>
      <c r="M36" s="409"/>
      <c r="N36" s="409"/>
      <c r="O36" s="409"/>
      <c r="P36" s="409"/>
      <c r="Q36" s="409"/>
      <c r="R36" s="409"/>
      <c r="S36" s="409"/>
      <c r="T36" s="409"/>
      <c r="U36" s="409"/>
      <c r="V36" s="409"/>
      <c r="W36" s="410"/>
      <c r="X36" s="2002" t="s">
        <v>2699</v>
      </c>
      <c r="Y36" s="2002"/>
      <c r="Z36" s="2002"/>
      <c r="AA36" s="1936">
        <f>AA37+AA40+AA41+AA42+AA43+AA44+AA45</f>
        <v>0</v>
      </c>
      <c r="AB36" s="1936"/>
      <c r="AC36" s="1936"/>
      <c r="AD36" s="1936"/>
      <c r="AE36" s="1936"/>
      <c r="AF36" s="1936"/>
      <c r="AG36" s="1936"/>
      <c r="AH36" s="1986"/>
    </row>
    <row r="37" spans="1:34" ht="27" customHeight="1">
      <c r="A37" s="1984" t="s">
        <v>684</v>
      </c>
      <c r="B37" s="1985"/>
      <c r="C37" s="1960" t="s">
        <v>2873</v>
      </c>
      <c r="D37" s="1961"/>
      <c r="E37" s="1961"/>
      <c r="F37" s="1961"/>
      <c r="G37" s="1961"/>
      <c r="H37" s="1961"/>
      <c r="I37" s="1961"/>
      <c r="J37" s="1961"/>
      <c r="K37" s="1961"/>
      <c r="L37" s="1961"/>
      <c r="M37" s="1961"/>
      <c r="N37" s="1961"/>
      <c r="O37" s="1961"/>
      <c r="P37" s="1961"/>
      <c r="Q37" s="1961"/>
      <c r="R37" s="1961"/>
      <c r="S37" s="1961"/>
      <c r="T37" s="1961"/>
      <c r="U37" s="1961"/>
      <c r="V37" s="1961"/>
      <c r="W37" s="1962"/>
      <c r="X37" s="1950" t="s">
        <v>182</v>
      </c>
      <c r="Y37" s="1950"/>
      <c r="Z37" s="1950"/>
      <c r="AA37" s="1936">
        <f>unos!G18</f>
        <v>0</v>
      </c>
      <c r="AB37" s="1936"/>
      <c r="AC37" s="1936"/>
      <c r="AD37" s="1936"/>
      <c r="AE37" s="1936"/>
      <c r="AF37" s="1936"/>
      <c r="AG37" s="1936"/>
      <c r="AH37" s="1986"/>
    </row>
    <row r="38" spans="1:34" ht="16.5" customHeight="1">
      <c r="A38" s="1984" t="s">
        <v>685</v>
      </c>
      <c r="B38" s="1985"/>
      <c r="C38" s="377" t="s">
        <v>2874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32"/>
      <c r="X38" s="1950" t="s">
        <v>2806</v>
      </c>
      <c r="Y38" s="1950"/>
      <c r="Z38" s="1950"/>
      <c r="AA38" s="1936">
        <f>UNOS1!G67</f>
        <v>0</v>
      </c>
      <c r="AB38" s="1936"/>
      <c r="AC38" s="1936"/>
      <c r="AD38" s="1936"/>
      <c r="AE38" s="1936"/>
      <c r="AF38" s="1936"/>
      <c r="AG38" s="1936"/>
      <c r="AH38" s="1986"/>
    </row>
    <row r="39" spans="1:34" ht="15">
      <c r="A39" s="1984" t="s">
        <v>701</v>
      </c>
      <c r="B39" s="1985"/>
      <c r="C39" s="377" t="s">
        <v>2875</v>
      </c>
      <c r="D39" s="375"/>
      <c r="E39" s="375"/>
      <c r="F39" s="375"/>
      <c r="G39" s="375"/>
      <c r="H39" s="375"/>
      <c r="I39" s="375"/>
      <c r="J39" s="375"/>
      <c r="K39" s="375"/>
      <c r="L39" s="375"/>
      <c r="M39" s="375"/>
      <c r="N39" s="375"/>
      <c r="O39" s="375"/>
      <c r="P39" s="375"/>
      <c r="Q39" s="375"/>
      <c r="R39" s="375"/>
      <c r="S39" s="375"/>
      <c r="T39" s="375"/>
      <c r="U39" s="375"/>
      <c r="V39" s="375"/>
      <c r="W39" s="376"/>
      <c r="X39" s="1950" t="s">
        <v>2806</v>
      </c>
      <c r="Y39" s="1950"/>
      <c r="Z39" s="1950"/>
      <c r="AA39" s="1936">
        <f>UNOS1!G68</f>
        <v>0</v>
      </c>
      <c r="AB39" s="1936"/>
      <c r="AC39" s="1936"/>
      <c r="AD39" s="1936"/>
      <c r="AE39" s="1936"/>
      <c r="AF39" s="1936"/>
      <c r="AG39" s="1936"/>
      <c r="AH39" s="1986"/>
    </row>
    <row r="40" spans="1:34" ht="15">
      <c r="A40" s="1984" t="s">
        <v>702</v>
      </c>
      <c r="B40" s="1985"/>
      <c r="C40" s="374" t="s">
        <v>1343</v>
      </c>
      <c r="D40" s="375"/>
      <c r="E40" s="375"/>
      <c r="F40" s="375"/>
      <c r="G40" s="375"/>
      <c r="H40" s="375"/>
      <c r="I40" s="375"/>
      <c r="J40" s="375"/>
      <c r="K40" s="375"/>
      <c r="L40" s="375"/>
      <c r="M40" s="375"/>
      <c r="N40" s="375"/>
      <c r="O40" s="375"/>
      <c r="P40" s="375"/>
      <c r="Q40" s="375"/>
      <c r="R40" s="375"/>
      <c r="S40" s="375"/>
      <c r="T40" s="375"/>
      <c r="U40" s="375"/>
      <c r="V40" s="375"/>
      <c r="W40" s="376"/>
      <c r="X40" s="1950" t="s">
        <v>183</v>
      </c>
      <c r="Y40" s="1950"/>
      <c r="Z40" s="1950"/>
      <c r="AA40" s="1936">
        <f>unos!G19</f>
        <v>0</v>
      </c>
      <c r="AB40" s="1936"/>
      <c r="AC40" s="1936"/>
      <c r="AD40" s="1936"/>
      <c r="AE40" s="1936"/>
      <c r="AF40" s="1936"/>
      <c r="AG40" s="1936"/>
      <c r="AH40" s="1986"/>
    </row>
    <row r="41" spans="1:34" ht="15" customHeight="1">
      <c r="A41" s="1984" t="s">
        <v>1191</v>
      </c>
      <c r="B41" s="1985"/>
      <c r="C41" s="374" t="s">
        <v>2531</v>
      </c>
      <c r="D41" s="375"/>
      <c r="E41" s="375"/>
      <c r="F41" s="375"/>
      <c r="G41" s="375"/>
      <c r="H41" s="375"/>
      <c r="I41" s="375"/>
      <c r="J41" s="375"/>
      <c r="K41" s="375"/>
      <c r="L41" s="375"/>
      <c r="M41" s="375"/>
      <c r="N41" s="375"/>
      <c r="O41" s="375"/>
      <c r="P41" s="375"/>
      <c r="Q41" s="375"/>
      <c r="R41" s="375"/>
      <c r="S41" s="375"/>
      <c r="T41" s="375"/>
      <c r="U41" s="375"/>
      <c r="V41" s="375"/>
      <c r="W41" s="376"/>
      <c r="X41" s="1950" t="s">
        <v>2219</v>
      </c>
      <c r="Y41" s="1950"/>
      <c r="Z41" s="1950"/>
      <c r="AA41" s="1936">
        <f>unos!G20</f>
        <v>0</v>
      </c>
      <c r="AB41" s="1936"/>
      <c r="AC41" s="1936"/>
      <c r="AD41" s="1936"/>
      <c r="AE41" s="1936"/>
      <c r="AF41" s="1936"/>
      <c r="AG41" s="1936"/>
      <c r="AH41" s="1986"/>
    </row>
    <row r="42" spans="1:34" ht="15">
      <c r="A42" s="1984" t="s">
        <v>1194</v>
      </c>
      <c r="B42" s="1985"/>
      <c r="C42" s="457" t="s">
        <v>1344</v>
      </c>
      <c r="D42" s="375"/>
      <c r="E42" s="375"/>
      <c r="F42" s="375"/>
      <c r="G42" s="375"/>
      <c r="H42" s="375"/>
      <c r="I42" s="375"/>
      <c r="J42" s="375"/>
      <c r="K42" s="375"/>
      <c r="L42" s="375"/>
      <c r="M42" s="375"/>
      <c r="N42" s="375"/>
      <c r="O42" s="375"/>
      <c r="P42" s="375"/>
      <c r="Q42" s="375"/>
      <c r="R42" s="375"/>
      <c r="S42" s="375"/>
      <c r="T42" s="375"/>
      <c r="U42" s="375"/>
      <c r="V42" s="375"/>
      <c r="W42" s="376"/>
      <c r="X42" s="1950" t="s">
        <v>814</v>
      </c>
      <c r="Y42" s="1950"/>
      <c r="Z42" s="1950"/>
      <c r="AA42" s="1936">
        <f>unos!G21</f>
        <v>0</v>
      </c>
      <c r="AB42" s="1936"/>
      <c r="AC42" s="1936"/>
      <c r="AD42" s="1936"/>
      <c r="AE42" s="1936"/>
      <c r="AF42" s="1936"/>
      <c r="AG42" s="1936"/>
      <c r="AH42" s="1986"/>
    </row>
    <row r="43" spans="1:34" ht="15">
      <c r="A43" s="1984" t="s">
        <v>1195</v>
      </c>
      <c r="B43" s="1985"/>
      <c r="C43" s="457" t="s">
        <v>1345</v>
      </c>
      <c r="D43" s="375"/>
      <c r="E43" s="375"/>
      <c r="F43" s="375"/>
      <c r="G43" s="375"/>
      <c r="H43" s="375"/>
      <c r="I43" s="375"/>
      <c r="J43" s="375"/>
      <c r="K43" s="375"/>
      <c r="L43" s="375"/>
      <c r="M43" s="375"/>
      <c r="N43" s="375"/>
      <c r="O43" s="375"/>
      <c r="P43" s="375"/>
      <c r="Q43" s="375"/>
      <c r="R43" s="375"/>
      <c r="S43" s="375"/>
      <c r="T43" s="375"/>
      <c r="U43" s="375"/>
      <c r="V43" s="375"/>
      <c r="W43" s="376"/>
      <c r="X43" s="1950" t="s">
        <v>815</v>
      </c>
      <c r="Y43" s="1950"/>
      <c r="Z43" s="1950"/>
      <c r="AA43" s="1936">
        <f>unos!G22</f>
        <v>0</v>
      </c>
      <c r="AB43" s="1936"/>
      <c r="AC43" s="1936"/>
      <c r="AD43" s="1936"/>
      <c r="AE43" s="1936"/>
      <c r="AF43" s="1936"/>
      <c r="AG43" s="1936"/>
      <c r="AH43" s="1986"/>
    </row>
    <row r="44" spans="1:34" ht="15">
      <c r="A44" s="1984" t="s">
        <v>1196</v>
      </c>
      <c r="B44" s="1985"/>
      <c r="C44" s="457" t="s">
        <v>1346</v>
      </c>
      <c r="D44" s="375"/>
      <c r="E44" s="375"/>
      <c r="F44" s="375"/>
      <c r="G44" s="375"/>
      <c r="H44" s="375"/>
      <c r="I44" s="375"/>
      <c r="J44" s="375"/>
      <c r="K44" s="375"/>
      <c r="L44" s="375"/>
      <c r="M44" s="375"/>
      <c r="N44" s="375"/>
      <c r="O44" s="375"/>
      <c r="P44" s="375"/>
      <c r="Q44" s="375"/>
      <c r="R44" s="375"/>
      <c r="S44" s="375"/>
      <c r="T44" s="375"/>
      <c r="U44" s="375"/>
      <c r="V44" s="375"/>
      <c r="W44" s="376"/>
      <c r="X44" s="1950" t="s">
        <v>2009</v>
      </c>
      <c r="Y44" s="1950"/>
      <c r="Z44" s="1950"/>
      <c r="AA44" s="1936">
        <f>unos!G23</f>
        <v>0</v>
      </c>
      <c r="AB44" s="1936"/>
      <c r="AC44" s="1936"/>
      <c r="AD44" s="1936"/>
      <c r="AE44" s="1936"/>
      <c r="AF44" s="1936"/>
      <c r="AG44" s="1936"/>
      <c r="AH44" s="1986"/>
    </row>
    <row r="45" spans="1:34" ht="15">
      <c r="A45" s="1984" t="s">
        <v>1197</v>
      </c>
      <c r="B45" s="1985"/>
      <c r="C45" s="374" t="s">
        <v>1347</v>
      </c>
      <c r="D45" s="375"/>
      <c r="E45" s="375"/>
      <c r="F45" s="375"/>
      <c r="G45" s="375"/>
      <c r="H45" s="375"/>
      <c r="I45" s="375"/>
      <c r="J45" s="375"/>
      <c r="K45" s="375"/>
      <c r="L45" s="375"/>
      <c r="M45" s="375"/>
      <c r="N45" s="375"/>
      <c r="O45" s="375"/>
      <c r="P45" s="375"/>
      <c r="Q45" s="375"/>
      <c r="R45" s="375"/>
      <c r="S45" s="375"/>
      <c r="T45" s="375"/>
      <c r="U45" s="375"/>
      <c r="V45" s="375"/>
      <c r="W45" s="376"/>
      <c r="X45" s="1950" t="s">
        <v>2220</v>
      </c>
      <c r="Y45" s="1950"/>
      <c r="Z45" s="1950"/>
      <c r="AA45" s="1936">
        <f>unos!G24</f>
        <v>0</v>
      </c>
      <c r="AB45" s="1936"/>
      <c r="AC45" s="1936"/>
      <c r="AD45" s="1936"/>
      <c r="AE45" s="1936"/>
      <c r="AF45" s="1936"/>
      <c r="AG45" s="1936"/>
      <c r="AH45" s="1986"/>
    </row>
    <row r="46" spans="1:34" ht="15" customHeight="1">
      <c r="A46" s="1984" t="s">
        <v>1198</v>
      </c>
      <c r="B46" s="1985"/>
      <c r="C46" s="374" t="s">
        <v>2876</v>
      </c>
      <c r="D46" s="375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5"/>
      <c r="P46" s="375"/>
      <c r="Q46" s="375"/>
      <c r="R46" s="375"/>
      <c r="S46" s="375"/>
      <c r="T46" s="375"/>
      <c r="U46" s="375"/>
      <c r="V46" s="375"/>
      <c r="W46" s="376"/>
      <c r="X46" s="1944" t="s">
        <v>2877</v>
      </c>
      <c r="Y46" s="1944"/>
      <c r="Z46" s="1944"/>
      <c r="AA46" s="1936">
        <f>unos!G12+unos!G13+unos!G14</f>
        <v>0</v>
      </c>
      <c r="AB46" s="1936"/>
      <c r="AC46" s="1936"/>
      <c r="AD46" s="1936"/>
      <c r="AE46" s="1936"/>
      <c r="AF46" s="1936"/>
      <c r="AG46" s="1936"/>
      <c r="AH46" s="1986"/>
    </row>
    <row r="47" spans="1:34" ht="15" customHeight="1">
      <c r="A47" s="1984" t="s">
        <v>2530</v>
      </c>
      <c r="B47" s="1985"/>
      <c r="C47" s="374" t="s">
        <v>2879</v>
      </c>
      <c r="D47" s="375"/>
      <c r="E47" s="375"/>
      <c r="F47" s="375"/>
      <c r="G47" s="375"/>
      <c r="H47" s="375"/>
      <c r="I47" s="375"/>
      <c r="J47" s="375"/>
      <c r="K47" s="375"/>
      <c r="L47" s="375"/>
      <c r="M47" s="375"/>
      <c r="N47" s="375"/>
      <c r="O47" s="375"/>
      <c r="P47" s="375"/>
      <c r="Q47" s="375"/>
      <c r="R47" s="375"/>
      <c r="S47" s="375"/>
      <c r="T47" s="375"/>
      <c r="U47" s="375"/>
      <c r="V47" s="375"/>
      <c r="W47" s="376"/>
      <c r="X47" s="1944" t="s">
        <v>2878</v>
      </c>
      <c r="Y47" s="1944"/>
      <c r="Z47" s="1944"/>
      <c r="AA47" s="1936">
        <f>unos!G15+unos!G16+unos!G17</f>
        <v>0</v>
      </c>
      <c r="AB47" s="1936"/>
      <c r="AC47" s="1936"/>
      <c r="AD47" s="1936"/>
      <c r="AE47" s="1936"/>
      <c r="AF47" s="1936"/>
      <c r="AG47" s="1936"/>
      <c r="AH47" s="1986"/>
    </row>
    <row r="48" spans="1:34" ht="15">
      <c r="A48" s="1984" t="s">
        <v>2234</v>
      </c>
      <c r="B48" s="1985"/>
      <c r="C48" s="374" t="s">
        <v>2880</v>
      </c>
      <c r="D48" s="375"/>
      <c r="E48" s="375"/>
      <c r="F48" s="375"/>
      <c r="G48" s="375"/>
      <c r="H48" s="375"/>
      <c r="I48" s="375"/>
      <c r="J48" s="375"/>
      <c r="K48" s="375"/>
      <c r="L48" s="375"/>
      <c r="M48" s="375"/>
      <c r="N48" s="375"/>
      <c r="O48" s="375"/>
      <c r="P48" s="375"/>
      <c r="Q48" s="375"/>
      <c r="R48" s="375"/>
      <c r="S48" s="375"/>
      <c r="T48" s="375"/>
      <c r="U48" s="375"/>
      <c r="V48" s="375"/>
      <c r="W48" s="376"/>
      <c r="X48" s="1950" t="s">
        <v>371</v>
      </c>
      <c r="Y48" s="1950"/>
      <c r="Z48" s="1950"/>
      <c r="AA48" s="1936">
        <f>SUM(unos!G25:G30)</f>
        <v>0</v>
      </c>
      <c r="AB48" s="1936"/>
      <c r="AC48" s="1936"/>
      <c r="AD48" s="1936"/>
      <c r="AE48" s="1936"/>
      <c r="AF48" s="1936"/>
      <c r="AG48" s="1936"/>
      <c r="AH48" s="1986"/>
    </row>
    <row r="49" spans="1:34" ht="27.75" customHeight="1">
      <c r="A49" s="1984" t="s">
        <v>2236</v>
      </c>
      <c r="B49" s="1985"/>
      <c r="C49" s="1994" t="s">
        <v>2881</v>
      </c>
      <c r="D49" s="1995"/>
      <c r="E49" s="1995"/>
      <c r="F49" s="1995"/>
      <c r="G49" s="1995"/>
      <c r="H49" s="1995"/>
      <c r="I49" s="1995"/>
      <c r="J49" s="1995"/>
      <c r="K49" s="1995"/>
      <c r="L49" s="1995"/>
      <c r="M49" s="1995"/>
      <c r="N49" s="1995"/>
      <c r="O49" s="1995"/>
      <c r="P49" s="1995"/>
      <c r="Q49" s="1995"/>
      <c r="R49" s="1995"/>
      <c r="S49" s="1995"/>
      <c r="T49" s="1995"/>
      <c r="U49" s="1995"/>
      <c r="V49" s="1995"/>
      <c r="W49" s="1996"/>
      <c r="X49" s="1950" t="s">
        <v>893</v>
      </c>
      <c r="Y49" s="1950"/>
      <c r="Z49" s="1950"/>
      <c r="AA49" s="1936">
        <f>SUM(unos!G31:G40)</f>
        <v>0</v>
      </c>
      <c r="AB49" s="1936"/>
      <c r="AC49" s="1936"/>
      <c r="AD49" s="1936"/>
      <c r="AE49" s="1936"/>
      <c r="AF49" s="1936"/>
      <c r="AG49" s="1936"/>
      <c r="AH49" s="1986"/>
    </row>
    <row r="50" spans="1:34" ht="15">
      <c r="A50" s="1984" t="s">
        <v>2237</v>
      </c>
      <c r="B50" s="1985"/>
      <c r="C50" s="374" t="s">
        <v>2882</v>
      </c>
      <c r="D50" s="375"/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5"/>
      <c r="P50" s="375"/>
      <c r="Q50" s="375"/>
      <c r="R50" s="375"/>
      <c r="S50" s="375"/>
      <c r="T50" s="375"/>
      <c r="U50" s="375"/>
      <c r="V50" s="375"/>
      <c r="W50" s="376"/>
      <c r="X50" s="1950" t="s">
        <v>2367</v>
      </c>
      <c r="Y50" s="1950"/>
      <c r="Z50" s="1950"/>
      <c r="AA50" s="1936">
        <f>unos!G36</f>
        <v>0</v>
      </c>
      <c r="AB50" s="1936"/>
      <c r="AC50" s="1936"/>
      <c r="AD50" s="1936"/>
      <c r="AE50" s="1936"/>
      <c r="AF50" s="1936"/>
      <c r="AG50" s="1936"/>
      <c r="AH50" s="1986"/>
    </row>
    <row r="51" spans="1:34" ht="26.25" customHeight="1">
      <c r="A51" s="1984" t="s">
        <v>2238</v>
      </c>
      <c r="B51" s="1985"/>
      <c r="C51" s="1994" t="s">
        <v>2883</v>
      </c>
      <c r="D51" s="1995"/>
      <c r="E51" s="1995"/>
      <c r="F51" s="1995"/>
      <c r="G51" s="1995"/>
      <c r="H51" s="1995"/>
      <c r="I51" s="1995"/>
      <c r="J51" s="1995"/>
      <c r="K51" s="1995"/>
      <c r="L51" s="1995"/>
      <c r="M51" s="1995"/>
      <c r="N51" s="1995"/>
      <c r="O51" s="1995"/>
      <c r="P51" s="1995"/>
      <c r="Q51" s="1995"/>
      <c r="R51" s="1995"/>
      <c r="S51" s="1995"/>
      <c r="T51" s="1995"/>
      <c r="U51" s="1995"/>
      <c r="V51" s="1995"/>
      <c r="W51" s="1996"/>
      <c r="X51" s="1950" t="s">
        <v>374</v>
      </c>
      <c r="Y51" s="1950"/>
      <c r="Z51" s="1950"/>
      <c r="AA51" s="1936">
        <f>SUM(unos!G41:G50)</f>
        <v>0</v>
      </c>
      <c r="AB51" s="1936"/>
      <c r="AC51" s="1936"/>
      <c r="AD51" s="1936"/>
      <c r="AE51" s="1936"/>
      <c r="AF51" s="1936"/>
      <c r="AG51" s="1936"/>
      <c r="AH51" s="1986"/>
    </row>
    <row r="52" spans="1:34" ht="15">
      <c r="A52" s="1984" t="s">
        <v>2239</v>
      </c>
      <c r="B52" s="1985"/>
      <c r="C52" s="457" t="s">
        <v>2884</v>
      </c>
      <c r="D52" s="409"/>
      <c r="E52" s="409"/>
      <c r="F52" s="409"/>
      <c r="G52" s="409"/>
      <c r="H52" s="409"/>
      <c r="I52" s="409"/>
      <c r="J52" s="409"/>
      <c r="K52" s="409"/>
      <c r="L52" s="409"/>
      <c r="M52" s="409"/>
      <c r="N52" s="409"/>
      <c r="O52" s="409"/>
      <c r="P52" s="409"/>
      <c r="Q52" s="409"/>
      <c r="R52" s="409"/>
      <c r="S52" s="409"/>
      <c r="T52" s="409"/>
      <c r="U52" s="409"/>
      <c r="V52" s="409"/>
      <c r="W52" s="410"/>
      <c r="X52" s="1950" t="s">
        <v>2377</v>
      </c>
      <c r="Y52" s="1950"/>
      <c r="Z52" s="1950"/>
      <c r="AA52" s="1936">
        <f>unos!G46</f>
        <v>0</v>
      </c>
      <c r="AB52" s="1936"/>
      <c r="AC52" s="1936"/>
      <c r="AD52" s="1936"/>
      <c r="AE52" s="1936"/>
      <c r="AF52" s="1936"/>
      <c r="AG52" s="1936"/>
      <c r="AH52" s="1986"/>
    </row>
    <row r="53" spans="1:34" ht="15">
      <c r="A53" s="1984" t="s">
        <v>2240</v>
      </c>
      <c r="B53" s="1985"/>
      <c r="C53" s="457" t="s">
        <v>2885</v>
      </c>
      <c r="D53" s="409"/>
      <c r="E53" s="409"/>
      <c r="F53" s="409"/>
      <c r="G53" s="409"/>
      <c r="H53" s="409"/>
      <c r="I53" s="409"/>
      <c r="J53" s="409"/>
      <c r="K53" s="409"/>
      <c r="L53" s="409"/>
      <c r="M53" s="409"/>
      <c r="N53" s="409"/>
      <c r="O53" s="409"/>
      <c r="P53" s="409"/>
      <c r="Q53" s="409"/>
      <c r="R53" s="409"/>
      <c r="S53" s="409"/>
      <c r="T53" s="409"/>
      <c r="U53" s="409"/>
      <c r="V53" s="409"/>
      <c r="W53" s="410"/>
      <c r="X53" s="1950" t="s">
        <v>521</v>
      </c>
      <c r="Y53" s="1950"/>
      <c r="Z53" s="1950"/>
      <c r="AA53" s="1936">
        <f>unos!G51</f>
        <v>0</v>
      </c>
      <c r="AB53" s="1936"/>
      <c r="AC53" s="1936"/>
      <c r="AD53" s="1936"/>
      <c r="AE53" s="1936"/>
      <c r="AF53" s="1936"/>
      <c r="AG53" s="1936"/>
      <c r="AH53" s="1986"/>
    </row>
    <row r="54" spans="1:34" ht="15.75" thickBot="1">
      <c r="A54" s="1997" t="s">
        <v>2241</v>
      </c>
      <c r="B54" s="1998"/>
      <c r="C54" s="1261" t="s">
        <v>2345</v>
      </c>
      <c r="D54" s="1262"/>
      <c r="E54" s="1262"/>
      <c r="F54" s="1262"/>
      <c r="G54" s="1262"/>
      <c r="H54" s="1262"/>
      <c r="I54" s="1262"/>
      <c r="J54" s="1262"/>
      <c r="K54" s="1262"/>
      <c r="L54" s="1262"/>
      <c r="M54" s="1262"/>
      <c r="N54" s="1262"/>
      <c r="O54" s="1262"/>
      <c r="P54" s="1262"/>
      <c r="Q54" s="1262"/>
      <c r="R54" s="1262"/>
      <c r="S54" s="1262"/>
      <c r="T54" s="1262"/>
      <c r="U54" s="1262"/>
      <c r="V54" s="1262"/>
      <c r="W54" s="1263"/>
      <c r="X54" s="1999" t="s">
        <v>2382</v>
      </c>
      <c r="Y54" s="1999"/>
      <c r="Z54" s="1999"/>
      <c r="AA54" s="2000">
        <f>unos!G52</f>
        <v>0</v>
      </c>
      <c r="AB54" s="2000"/>
      <c r="AC54" s="2000"/>
      <c r="AD54" s="2000"/>
      <c r="AE54" s="2000"/>
      <c r="AF54" s="2000"/>
      <c r="AG54" s="2000"/>
      <c r="AH54" s="2001"/>
    </row>
    <row r="55" spans="1:34" s="23" customFormat="1" ht="3.75" customHeight="1">
      <c r="A55" s="43"/>
      <c r="B55" s="43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43"/>
      <c r="Y55" s="43"/>
      <c r="Z55" s="43"/>
      <c r="AA55" s="1260"/>
      <c r="AB55" s="1260"/>
      <c r="AC55" s="1260"/>
      <c r="AD55" s="1260"/>
      <c r="AE55" s="1260"/>
      <c r="AF55" s="1260"/>
      <c r="AG55" s="1260"/>
      <c r="AH55" s="1260"/>
    </row>
    <row r="56" spans="1:34" s="23" customFormat="1" ht="11.25" customHeight="1">
      <c r="A56" s="43" t="s">
        <v>2886</v>
      </c>
      <c r="B56" s="43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43"/>
      <c r="Y56" s="43"/>
      <c r="Z56" s="43"/>
      <c r="AA56" s="44"/>
      <c r="AB56" s="44"/>
      <c r="AC56" s="44"/>
      <c r="AD56" s="44"/>
      <c r="AE56" s="44"/>
      <c r="AF56" s="44"/>
      <c r="AG56" s="44"/>
      <c r="AH56" s="44"/>
    </row>
    <row r="57" spans="1:34" s="23" customFormat="1" ht="11.25">
      <c r="A57" s="43" t="s">
        <v>2887</v>
      </c>
      <c r="B57" s="43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43"/>
      <c r="Y57" s="43"/>
      <c r="Z57" s="43"/>
      <c r="AA57" s="44"/>
      <c r="AB57" s="44"/>
      <c r="AC57" s="44"/>
      <c r="AD57" s="44"/>
      <c r="AE57" s="44"/>
      <c r="AF57" s="44"/>
      <c r="AG57" s="44"/>
      <c r="AH57" s="44"/>
    </row>
    <row r="58" spans="1:34" s="23" customFormat="1" ht="11.25">
      <c r="A58" s="43" t="s">
        <v>2888</v>
      </c>
      <c r="B58" s="43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43"/>
      <c r="Y58" s="43"/>
      <c r="Z58" s="43"/>
      <c r="AA58" s="44"/>
      <c r="AB58" s="44"/>
      <c r="AC58" s="44"/>
      <c r="AD58" s="44"/>
      <c r="AE58" s="44"/>
      <c r="AF58" s="44"/>
      <c r="AG58" s="44"/>
      <c r="AH58" s="44"/>
    </row>
    <row r="59" spans="1:34" s="23" customFormat="1" ht="9" customHeight="1">
      <c r="A59" s="43"/>
      <c r="B59" s="43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43"/>
      <c r="Y59" s="43"/>
      <c r="Z59" s="43"/>
      <c r="AA59" s="44"/>
      <c r="AB59" s="44"/>
      <c r="AC59" s="44"/>
      <c r="AD59" s="44"/>
      <c r="AE59" s="44"/>
      <c r="AF59" s="44"/>
      <c r="AG59" s="1264" t="s">
        <v>1960</v>
      </c>
      <c r="AH59" s="44"/>
    </row>
    <row r="60" spans="1:34" ht="12.75" customHeight="1">
      <c r="A60" s="45"/>
      <c r="B60" s="4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22"/>
      <c r="Y60" s="22"/>
      <c r="Z60" s="22"/>
      <c r="AA60" s="46"/>
      <c r="AB60" s="46"/>
      <c r="AC60" s="46"/>
      <c r="AD60" s="46"/>
      <c r="AE60" s="46"/>
      <c r="AF60" s="46"/>
      <c r="AG60" s="46"/>
      <c r="AH60" s="46"/>
    </row>
    <row r="61" spans="1:34" ht="18.75" customHeight="1" thickBot="1">
      <c r="A61" s="5" t="s">
        <v>2233</v>
      </c>
      <c r="AD61" s="23" t="s">
        <v>2270</v>
      </c>
    </row>
    <row r="62" spans="1:34" s="42" customFormat="1" ht="9.75" customHeight="1">
      <c r="A62" s="1987" t="s">
        <v>2271</v>
      </c>
      <c r="B62" s="1988"/>
      <c r="C62" s="1989" t="s">
        <v>2272</v>
      </c>
      <c r="D62" s="1989"/>
      <c r="E62" s="1989"/>
      <c r="F62" s="1989"/>
      <c r="G62" s="1989"/>
      <c r="H62" s="1989"/>
      <c r="I62" s="1989"/>
      <c r="J62" s="1989"/>
      <c r="K62" s="1989"/>
      <c r="L62" s="1989"/>
      <c r="M62" s="1989"/>
      <c r="N62" s="1989"/>
      <c r="O62" s="1989"/>
      <c r="P62" s="1989"/>
      <c r="Q62" s="1989"/>
      <c r="R62" s="1989"/>
      <c r="S62" s="1989"/>
      <c r="T62" s="1989"/>
      <c r="U62" s="1989"/>
      <c r="V62" s="1989"/>
      <c r="W62" s="1989"/>
      <c r="X62" s="1990" t="s">
        <v>2866</v>
      </c>
      <c r="Y62" s="1990"/>
      <c r="Z62" s="1990"/>
      <c r="AA62" s="1989" t="s">
        <v>1491</v>
      </c>
      <c r="AB62" s="1989"/>
      <c r="AC62" s="1989"/>
      <c r="AD62" s="1989"/>
      <c r="AE62" s="1989"/>
      <c r="AF62" s="1989"/>
      <c r="AG62" s="1989"/>
      <c r="AH62" s="1991"/>
    </row>
    <row r="63" spans="1:34" ht="9" customHeight="1">
      <c r="A63" s="1993" t="s">
        <v>1492</v>
      </c>
      <c r="B63" s="1956"/>
      <c r="C63" s="1955"/>
      <c r="D63" s="1955"/>
      <c r="E63" s="1955"/>
      <c r="F63" s="1955"/>
      <c r="G63" s="1955"/>
      <c r="H63" s="1955"/>
      <c r="I63" s="1955"/>
      <c r="J63" s="1955"/>
      <c r="K63" s="1955"/>
      <c r="L63" s="1955"/>
      <c r="M63" s="1955"/>
      <c r="N63" s="1955"/>
      <c r="O63" s="1955"/>
      <c r="P63" s="1955"/>
      <c r="Q63" s="1955"/>
      <c r="R63" s="1628"/>
      <c r="S63" s="1955"/>
      <c r="T63" s="1955"/>
      <c r="U63" s="1955"/>
      <c r="V63" s="1955"/>
      <c r="W63" s="1955"/>
      <c r="X63" s="1934"/>
      <c r="Y63" s="1934"/>
      <c r="Z63" s="1934"/>
      <c r="AA63" s="1955"/>
      <c r="AB63" s="1955"/>
      <c r="AC63" s="1955"/>
      <c r="AD63" s="1955"/>
      <c r="AE63" s="1955"/>
      <c r="AF63" s="1955"/>
      <c r="AG63" s="1955"/>
      <c r="AH63" s="1992"/>
    </row>
    <row r="64" spans="1:34" ht="12.75" customHeight="1">
      <c r="A64" s="2009">
        <v>1</v>
      </c>
      <c r="B64" s="1955"/>
      <c r="C64" s="1955">
        <v>2</v>
      </c>
      <c r="D64" s="1955"/>
      <c r="E64" s="1955"/>
      <c r="F64" s="1955"/>
      <c r="G64" s="1955"/>
      <c r="H64" s="1955"/>
      <c r="I64" s="1955"/>
      <c r="J64" s="1955"/>
      <c r="K64" s="1955"/>
      <c r="L64" s="1955"/>
      <c r="M64" s="1955"/>
      <c r="N64" s="1955"/>
      <c r="O64" s="1955"/>
      <c r="P64" s="1955"/>
      <c r="Q64" s="1955"/>
      <c r="R64" s="1955"/>
      <c r="S64" s="1955"/>
      <c r="T64" s="1955"/>
      <c r="U64" s="1955"/>
      <c r="V64" s="1955"/>
      <c r="W64" s="1955"/>
      <c r="X64" s="1955">
        <v>3</v>
      </c>
      <c r="Y64" s="1955"/>
      <c r="Z64" s="1955"/>
      <c r="AA64" s="1955">
        <v>4</v>
      </c>
      <c r="AB64" s="1955"/>
      <c r="AC64" s="1955"/>
      <c r="AD64" s="1955"/>
      <c r="AE64" s="1955"/>
      <c r="AF64" s="1955"/>
      <c r="AG64" s="1955"/>
      <c r="AH64" s="1992"/>
    </row>
    <row r="65" spans="1:34" ht="12.75" customHeight="1">
      <c r="A65" s="1984" t="s">
        <v>2242</v>
      </c>
      <c r="B65" s="1985"/>
      <c r="C65" s="2010" t="s">
        <v>2235</v>
      </c>
      <c r="D65" s="2010"/>
      <c r="E65" s="2010"/>
      <c r="F65" s="2010"/>
      <c r="G65" s="2010"/>
      <c r="H65" s="2010"/>
      <c r="I65" s="2010"/>
      <c r="J65" s="2010"/>
      <c r="K65" s="2010"/>
      <c r="L65" s="2010"/>
      <c r="M65" s="2010"/>
      <c r="N65" s="2010"/>
      <c r="O65" s="2010"/>
      <c r="P65" s="2010"/>
      <c r="Q65" s="2010"/>
      <c r="R65" s="2010"/>
      <c r="S65" s="2010"/>
      <c r="T65" s="2010"/>
      <c r="U65" s="2010"/>
      <c r="V65" s="2010"/>
      <c r="W65" s="2010"/>
      <c r="X65" s="1628"/>
      <c r="Y65" s="1628"/>
      <c r="Z65" s="1628"/>
      <c r="AA65" s="2003">
        <f>AA67+AA103+AA104+AA107+AA109+AA110</f>
        <v>0</v>
      </c>
      <c r="AB65" s="2003"/>
      <c r="AC65" s="2003"/>
      <c r="AD65" s="2003"/>
      <c r="AE65" s="2003"/>
      <c r="AF65" s="2003"/>
      <c r="AG65" s="2003"/>
      <c r="AH65" s="2004"/>
    </row>
    <row r="66" spans="1:34" ht="12" customHeight="1">
      <c r="A66" s="1984"/>
      <c r="B66" s="1985"/>
      <c r="C66" s="2011" t="s">
        <v>2889</v>
      </c>
      <c r="D66" s="2011"/>
      <c r="E66" s="2011"/>
      <c r="F66" s="2011"/>
      <c r="G66" s="2011"/>
      <c r="H66" s="2011"/>
      <c r="I66" s="2011"/>
      <c r="J66" s="2011"/>
      <c r="K66" s="2011"/>
      <c r="L66" s="2011"/>
      <c r="M66" s="2011"/>
      <c r="N66" s="2011"/>
      <c r="O66" s="2011"/>
      <c r="P66" s="2011"/>
      <c r="Q66" s="2011"/>
      <c r="R66" s="2011"/>
      <c r="S66" s="2011"/>
      <c r="T66" s="2011"/>
      <c r="U66" s="2011"/>
      <c r="V66" s="2011"/>
      <c r="W66" s="2011"/>
      <c r="X66" s="1628"/>
      <c r="Y66" s="1628"/>
      <c r="Z66" s="1628"/>
      <c r="AA66" s="2003"/>
      <c r="AB66" s="2003"/>
      <c r="AC66" s="2003"/>
      <c r="AD66" s="2003"/>
      <c r="AE66" s="2003"/>
      <c r="AF66" s="2003"/>
      <c r="AG66" s="2003"/>
      <c r="AH66" s="2004"/>
    </row>
    <row r="67" spans="1:34" ht="14.25" customHeight="1">
      <c r="A67" s="1957" t="s">
        <v>2243</v>
      </c>
      <c r="B67" s="1958"/>
      <c r="C67" s="1949" t="s">
        <v>2890</v>
      </c>
      <c r="D67" s="1949"/>
      <c r="E67" s="1949"/>
      <c r="F67" s="1949"/>
      <c r="G67" s="1949"/>
      <c r="H67" s="1949"/>
      <c r="I67" s="1949"/>
      <c r="J67" s="1949"/>
      <c r="K67" s="1949"/>
      <c r="L67" s="1949"/>
      <c r="M67" s="1949"/>
      <c r="N67" s="1949"/>
      <c r="O67" s="1949"/>
      <c r="P67" s="1949"/>
      <c r="Q67" s="1949"/>
      <c r="R67" s="1949"/>
      <c r="S67" s="1949"/>
      <c r="T67" s="1949"/>
      <c r="U67" s="1949"/>
      <c r="V67" s="1949"/>
      <c r="W67" s="1949"/>
      <c r="X67" s="1942"/>
      <c r="Y67" s="1942"/>
      <c r="Z67" s="1942"/>
      <c r="AA67" s="1945">
        <f>AA68+AA69+AA70+AA80+AA90+AA93-AA111+AA112</f>
        <v>0</v>
      </c>
      <c r="AB67" s="1945"/>
      <c r="AC67" s="1945"/>
      <c r="AD67" s="1945"/>
      <c r="AE67" s="1945"/>
      <c r="AF67" s="1945"/>
      <c r="AG67" s="1945"/>
      <c r="AH67" s="1946"/>
    </row>
    <row r="68" spans="1:34" ht="14.25" customHeight="1">
      <c r="A68" s="1982" t="s">
        <v>2244</v>
      </c>
      <c r="B68" s="1983"/>
      <c r="C68" s="1949" t="s">
        <v>2350</v>
      </c>
      <c r="D68" s="1949"/>
      <c r="E68" s="1949"/>
      <c r="F68" s="1949"/>
      <c r="G68" s="1949"/>
      <c r="H68" s="1949"/>
      <c r="I68" s="1949"/>
      <c r="J68" s="1949"/>
      <c r="K68" s="1949"/>
      <c r="L68" s="1949"/>
      <c r="M68" s="1949"/>
      <c r="N68" s="1949"/>
      <c r="O68" s="1949"/>
      <c r="P68" s="1949"/>
      <c r="Q68" s="1949"/>
      <c r="R68" s="1949"/>
      <c r="S68" s="1949"/>
      <c r="T68" s="1949"/>
      <c r="U68" s="1949"/>
      <c r="V68" s="1949"/>
      <c r="W68" s="1949"/>
      <c r="X68" s="1942" t="s">
        <v>1023</v>
      </c>
      <c r="Y68" s="1942"/>
      <c r="Z68" s="1942"/>
      <c r="AA68" s="1945">
        <f>SUM(unos!G56:G58)</f>
        <v>0</v>
      </c>
      <c r="AB68" s="1945"/>
      <c r="AC68" s="1945"/>
      <c r="AD68" s="1945"/>
      <c r="AE68" s="1945"/>
      <c r="AF68" s="1945"/>
      <c r="AG68" s="1945"/>
      <c r="AH68" s="1946"/>
    </row>
    <row r="69" spans="1:34" ht="14.25" customHeight="1">
      <c r="A69" s="1982" t="s">
        <v>2245</v>
      </c>
      <c r="B69" s="1983"/>
      <c r="C69" s="1949" t="s">
        <v>2891</v>
      </c>
      <c r="D69" s="1949"/>
      <c r="E69" s="1949"/>
      <c r="F69" s="1949"/>
      <c r="G69" s="1949"/>
      <c r="H69" s="1949"/>
      <c r="I69" s="1949"/>
      <c r="J69" s="1949"/>
      <c r="K69" s="1949"/>
      <c r="L69" s="1949"/>
      <c r="M69" s="1949"/>
      <c r="N69" s="1949"/>
      <c r="O69" s="1949"/>
      <c r="P69" s="1949"/>
      <c r="Q69" s="1949"/>
      <c r="R69" s="1949"/>
      <c r="S69" s="1949"/>
      <c r="T69" s="1949"/>
      <c r="U69" s="1949"/>
      <c r="V69" s="1949"/>
      <c r="W69" s="1949"/>
      <c r="X69" s="1981" t="s">
        <v>2624</v>
      </c>
      <c r="Y69" s="1981"/>
      <c r="Z69" s="1981"/>
      <c r="AA69" s="1945">
        <f>SUM(unos!G59:G64)</f>
        <v>0</v>
      </c>
      <c r="AB69" s="1945"/>
      <c r="AC69" s="1945"/>
      <c r="AD69" s="1945"/>
      <c r="AE69" s="1945"/>
      <c r="AF69" s="1945"/>
      <c r="AG69" s="1945"/>
      <c r="AH69" s="1946"/>
    </row>
    <row r="70" spans="1:34" ht="14.25" customHeight="1">
      <c r="A70" s="1982" t="s">
        <v>2246</v>
      </c>
      <c r="B70" s="1983"/>
      <c r="C70" s="1949" t="s">
        <v>2892</v>
      </c>
      <c r="D70" s="1949"/>
      <c r="E70" s="1949"/>
      <c r="F70" s="1949"/>
      <c r="G70" s="1949"/>
      <c r="H70" s="1949"/>
      <c r="I70" s="1949"/>
      <c r="J70" s="1949"/>
      <c r="K70" s="1949"/>
      <c r="L70" s="1949"/>
      <c r="M70" s="1949"/>
      <c r="N70" s="1949"/>
      <c r="O70" s="1949"/>
      <c r="P70" s="1949"/>
      <c r="Q70" s="1949"/>
      <c r="R70" s="1949"/>
      <c r="S70" s="1949"/>
      <c r="T70" s="1949"/>
      <c r="U70" s="1949"/>
      <c r="V70" s="1949"/>
      <c r="W70" s="1949"/>
      <c r="X70" s="1981" t="s">
        <v>333</v>
      </c>
      <c r="Y70" s="1981"/>
      <c r="Z70" s="1981"/>
      <c r="AA70" s="1945">
        <f>SUM(AA71:AA75,AA77:AA79)</f>
        <v>0</v>
      </c>
      <c r="AB70" s="1945"/>
      <c r="AC70" s="1945"/>
      <c r="AD70" s="1945"/>
      <c r="AE70" s="1945"/>
      <c r="AF70" s="1945"/>
      <c r="AG70" s="1945"/>
      <c r="AH70" s="1946"/>
    </row>
    <row r="71" spans="1:34" ht="14.25" customHeight="1">
      <c r="A71" s="1982" t="s">
        <v>2247</v>
      </c>
      <c r="B71" s="1983"/>
      <c r="C71" s="1949" t="s">
        <v>2893</v>
      </c>
      <c r="D71" s="1949"/>
      <c r="E71" s="1949"/>
      <c r="F71" s="1949"/>
      <c r="G71" s="1949"/>
      <c r="H71" s="1949"/>
      <c r="I71" s="1949"/>
      <c r="J71" s="1949"/>
      <c r="K71" s="1949"/>
      <c r="L71" s="1949"/>
      <c r="M71" s="1949"/>
      <c r="N71" s="1949"/>
      <c r="O71" s="1949"/>
      <c r="P71" s="1949"/>
      <c r="Q71" s="1949"/>
      <c r="R71" s="1949"/>
      <c r="S71" s="1949"/>
      <c r="T71" s="1949"/>
      <c r="U71" s="1949"/>
      <c r="V71" s="1949"/>
      <c r="W71" s="1949"/>
      <c r="X71" s="1981" t="s">
        <v>2812</v>
      </c>
      <c r="Y71" s="1981"/>
      <c r="Z71" s="1981"/>
      <c r="AA71" s="1945">
        <f>UNOS1!G71</f>
        <v>0</v>
      </c>
      <c r="AB71" s="1945"/>
      <c r="AC71" s="1945"/>
      <c r="AD71" s="1945"/>
      <c r="AE71" s="1945"/>
      <c r="AF71" s="1945"/>
      <c r="AG71" s="1945"/>
      <c r="AH71" s="1946"/>
    </row>
    <row r="72" spans="1:34" ht="14.25" customHeight="1">
      <c r="A72" s="1982" t="s">
        <v>2248</v>
      </c>
      <c r="B72" s="1983"/>
      <c r="C72" s="1949" t="s">
        <v>524</v>
      </c>
      <c r="D72" s="1949"/>
      <c r="E72" s="1949"/>
      <c r="F72" s="1949"/>
      <c r="G72" s="1949"/>
      <c r="H72" s="1949"/>
      <c r="I72" s="1949"/>
      <c r="J72" s="1949"/>
      <c r="K72" s="1949"/>
      <c r="L72" s="1949"/>
      <c r="M72" s="1949"/>
      <c r="N72" s="1949"/>
      <c r="O72" s="1949"/>
      <c r="P72" s="1949"/>
      <c r="Q72" s="1949"/>
      <c r="R72" s="1949"/>
      <c r="S72" s="1949"/>
      <c r="T72" s="1949"/>
      <c r="U72" s="1949"/>
      <c r="V72" s="1949"/>
      <c r="W72" s="1949"/>
      <c r="X72" s="1981" t="s">
        <v>2812</v>
      </c>
      <c r="Y72" s="1981"/>
      <c r="Z72" s="1981"/>
      <c r="AA72" s="1945">
        <f>UNOS1!G72</f>
        <v>0</v>
      </c>
      <c r="AB72" s="1945"/>
      <c r="AC72" s="1945"/>
      <c r="AD72" s="1945"/>
      <c r="AE72" s="1945"/>
      <c r="AF72" s="1945"/>
      <c r="AG72" s="1945"/>
      <c r="AH72" s="1946"/>
    </row>
    <row r="73" spans="1:34" ht="14.25" customHeight="1">
      <c r="A73" s="1982" t="s">
        <v>2249</v>
      </c>
      <c r="B73" s="1983"/>
      <c r="C73" s="1949" t="s">
        <v>2811</v>
      </c>
      <c r="D73" s="1949"/>
      <c r="E73" s="1949"/>
      <c r="F73" s="1949"/>
      <c r="G73" s="1949"/>
      <c r="H73" s="1949"/>
      <c r="I73" s="1949"/>
      <c r="J73" s="1949"/>
      <c r="K73" s="1949"/>
      <c r="L73" s="1949"/>
      <c r="M73" s="1949"/>
      <c r="N73" s="1949"/>
      <c r="O73" s="1949"/>
      <c r="P73" s="1949"/>
      <c r="Q73" s="1949"/>
      <c r="R73" s="1949"/>
      <c r="S73" s="1949"/>
      <c r="T73" s="1949"/>
      <c r="U73" s="1949"/>
      <c r="V73" s="1949"/>
      <c r="W73" s="1949"/>
      <c r="X73" s="1981" t="s">
        <v>2812</v>
      </c>
      <c r="Y73" s="1981"/>
      <c r="Z73" s="1981"/>
      <c r="AA73" s="1945">
        <f>UNOS1!G73</f>
        <v>0</v>
      </c>
      <c r="AB73" s="1945"/>
      <c r="AC73" s="1945"/>
      <c r="AD73" s="1945"/>
      <c r="AE73" s="1945"/>
      <c r="AF73" s="1945"/>
      <c r="AG73" s="1945"/>
      <c r="AH73" s="1946"/>
    </row>
    <row r="74" spans="1:34" ht="14.25" customHeight="1">
      <c r="A74" s="1957" t="s">
        <v>2250</v>
      </c>
      <c r="B74" s="1958"/>
      <c r="C74" s="1949" t="s">
        <v>2894</v>
      </c>
      <c r="D74" s="1949"/>
      <c r="E74" s="1949"/>
      <c r="F74" s="1949"/>
      <c r="G74" s="1949"/>
      <c r="H74" s="1949"/>
      <c r="I74" s="1949"/>
      <c r="J74" s="1949"/>
      <c r="K74" s="1949"/>
      <c r="L74" s="1949"/>
      <c r="M74" s="1949"/>
      <c r="N74" s="1949"/>
      <c r="O74" s="1949"/>
      <c r="P74" s="1949"/>
      <c r="Q74" s="1949"/>
      <c r="R74" s="1949"/>
      <c r="S74" s="1949"/>
      <c r="T74" s="1949"/>
      <c r="U74" s="1949"/>
      <c r="V74" s="1949"/>
      <c r="W74" s="1949"/>
      <c r="X74" s="1981" t="s">
        <v>2812</v>
      </c>
      <c r="Y74" s="1981"/>
      <c r="Z74" s="1981"/>
      <c r="AA74" s="1945">
        <f>UNOS1!G74</f>
        <v>0</v>
      </c>
      <c r="AB74" s="1945"/>
      <c r="AC74" s="1945"/>
      <c r="AD74" s="1945"/>
      <c r="AE74" s="1945"/>
      <c r="AF74" s="1945"/>
      <c r="AG74" s="1945"/>
      <c r="AH74" s="1946"/>
    </row>
    <row r="75" spans="1:34" ht="25.5" customHeight="1">
      <c r="A75" s="1957" t="s">
        <v>2251</v>
      </c>
      <c r="B75" s="1958"/>
      <c r="C75" s="1960" t="s">
        <v>2895</v>
      </c>
      <c r="D75" s="1961"/>
      <c r="E75" s="1961"/>
      <c r="F75" s="1961"/>
      <c r="G75" s="1961"/>
      <c r="H75" s="1961"/>
      <c r="I75" s="1961"/>
      <c r="J75" s="1961"/>
      <c r="K75" s="1961"/>
      <c r="L75" s="1961"/>
      <c r="M75" s="1961"/>
      <c r="N75" s="1961"/>
      <c r="O75" s="1961"/>
      <c r="P75" s="1961"/>
      <c r="Q75" s="1961"/>
      <c r="R75" s="1961"/>
      <c r="S75" s="1961"/>
      <c r="T75" s="1961"/>
      <c r="U75" s="1961"/>
      <c r="V75" s="1961"/>
      <c r="W75" s="1962"/>
      <c r="X75" s="1942" t="s">
        <v>2425</v>
      </c>
      <c r="Y75" s="1942"/>
      <c r="Z75" s="1942"/>
      <c r="AA75" s="1945">
        <f>unos!G67</f>
        <v>0</v>
      </c>
      <c r="AB75" s="1945"/>
      <c r="AC75" s="1945"/>
      <c r="AD75" s="1945"/>
      <c r="AE75" s="1945"/>
      <c r="AF75" s="1945"/>
      <c r="AG75" s="1945"/>
      <c r="AH75" s="1946"/>
    </row>
    <row r="76" spans="1:34" ht="15" customHeight="1">
      <c r="A76" s="1957" t="s">
        <v>2252</v>
      </c>
      <c r="B76" s="1958"/>
      <c r="C76" s="1949" t="s">
        <v>2896</v>
      </c>
      <c r="D76" s="1949"/>
      <c r="E76" s="1949"/>
      <c r="F76" s="1949"/>
      <c r="G76" s="1949"/>
      <c r="H76" s="1949"/>
      <c r="I76" s="1949"/>
      <c r="J76" s="1949"/>
      <c r="K76" s="1949"/>
      <c r="L76" s="1949"/>
      <c r="M76" s="1949"/>
      <c r="N76" s="1949"/>
      <c r="O76" s="1949"/>
      <c r="P76" s="1949"/>
      <c r="Q76" s="1949"/>
      <c r="R76" s="1949"/>
      <c r="S76" s="1949"/>
      <c r="T76" s="1949"/>
      <c r="U76" s="1949"/>
      <c r="V76" s="1949"/>
      <c r="W76" s="1949"/>
      <c r="X76" s="1942" t="s">
        <v>2816</v>
      </c>
      <c r="Y76" s="1942"/>
      <c r="Z76" s="1942"/>
      <c r="AA76" s="1945">
        <f>UNOS1!G79</f>
        <v>0</v>
      </c>
      <c r="AB76" s="1945"/>
      <c r="AC76" s="1945"/>
      <c r="AD76" s="1945"/>
      <c r="AE76" s="1945"/>
      <c r="AF76" s="1945"/>
      <c r="AG76" s="1945"/>
      <c r="AH76" s="1946"/>
    </row>
    <row r="77" spans="1:34" ht="15" customHeight="1">
      <c r="A77" s="1957" t="s">
        <v>2254</v>
      </c>
      <c r="B77" s="1958"/>
      <c r="C77" s="1949" t="s">
        <v>2897</v>
      </c>
      <c r="D77" s="1949"/>
      <c r="E77" s="1949"/>
      <c r="F77" s="1949"/>
      <c r="G77" s="1949"/>
      <c r="H77" s="1949"/>
      <c r="I77" s="1949"/>
      <c r="J77" s="1949"/>
      <c r="K77" s="1949"/>
      <c r="L77" s="1949"/>
      <c r="M77" s="1949"/>
      <c r="N77" s="1949"/>
      <c r="O77" s="1949"/>
      <c r="P77" s="1949"/>
      <c r="Q77" s="1949"/>
      <c r="R77" s="1949"/>
      <c r="S77" s="1949"/>
      <c r="T77" s="1949"/>
      <c r="U77" s="1949"/>
      <c r="V77" s="1949"/>
      <c r="W77" s="1949"/>
      <c r="X77" s="1942" t="s">
        <v>2426</v>
      </c>
      <c r="Y77" s="1942"/>
      <c r="Z77" s="1942"/>
      <c r="AA77" s="1945">
        <f>unos!G68</f>
        <v>0</v>
      </c>
      <c r="AB77" s="1945"/>
      <c r="AC77" s="1945"/>
      <c r="AD77" s="1945"/>
      <c r="AE77" s="1945"/>
      <c r="AF77" s="1945"/>
      <c r="AG77" s="1945"/>
      <c r="AH77" s="1946"/>
    </row>
    <row r="78" spans="1:34" ht="15" customHeight="1">
      <c r="A78" s="1957" t="s">
        <v>2255</v>
      </c>
      <c r="B78" s="1958"/>
      <c r="C78" s="1949" t="s">
        <v>2898</v>
      </c>
      <c r="D78" s="1949"/>
      <c r="E78" s="1949"/>
      <c r="F78" s="1949"/>
      <c r="G78" s="1949"/>
      <c r="H78" s="1949"/>
      <c r="I78" s="1949"/>
      <c r="J78" s="1949"/>
      <c r="K78" s="1949"/>
      <c r="L78" s="1949"/>
      <c r="M78" s="1949"/>
      <c r="N78" s="1949"/>
      <c r="O78" s="1949"/>
      <c r="P78" s="1949"/>
      <c r="Q78" s="1949"/>
      <c r="R78" s="1949"/>
      <c r="S78" s="1949"/>
      <c r="T78" s="1949"/>
      <c r="U78" s="1949"/>
      <c r="V78" s="1949"/>
      <c r="W78" s="1949"/>
      <c r="X78" s="1942" t="s">
        <v>1021</v>
      </c>
      <c r="Y78" s="1942"/>
      <c r="Z78" s="1942"/>
      <c r="AA78" s="1945">
        <f>unos!G69</f>
        <v>0</v>
      </c>
      <c r="AB78" s="1945"/>
      <c r="AC78" s="1945"/>
      <c r="AD78" s="1945"/>
      <c r="AE78" s="1945"/>
      <c r="AF78" s="1945"/>
      <c r="AG78" s="1945"/>
      <c r="AH78" s="1946"/>
    </row>
    <row r="79" spans="1:34" ht="15" customHeight="1">
      <c r="A79" s="1957" t="s">
        <v>2256</v>
      </c>
      <c r="B79" s="1958"/>
      <c r="C79" s="1949" t="s">
        <v>2899</v>
      </c>
      <c r="D79" s="1949"/>
      <c r="E79" s="1949"/>
      <c r="F79" s="1949"/>
      <c r="G79" s="1949"/>
      <c r="H79" s="1949"/>
      <c r="I79" s="1949"/>
      <c r="J79" s="1949"/>
      <c r="K79" s="1949"/>
      <c r="L79" s="1949"/>
      <c r="M79" s="1949"/>
      <c r="N79" s="1949"/>
      <c r="O79" s="1949"/>
      <c r="P79" s="1949"/>
      <c r="Q79" s="1949"/>
      <c r="R79" s="1949"/>
      <c r="S79" s="1949"/>
      <c r="T79" s="1949"/>
      <c r="U79" s="1949"/>
      <c r="V79" s="1949"/>
      <c r="W79" s="1949"/>
      <c r="X79" s="1942" t="s">
        <v>1022</v>
      </c>
      <c r="Y79" s="1942"/>
      <c r="Z79" s="1942"/>
      <c r="AA79" s="1945">
        <f>unos!G70</f>
        <v>0</v>
      </c>
      <c r="AB79" s="1945"/>
      <c r="AC79" s="1945"/>
      <c r="AD79" s="1945"/>
      <c r="AE79" s="1945"/>
      <c r="AF79" s="1945"/>
      <c r="AG79" s="1945"/>
      <c r="AH79" s="1946"/>
    </row>
    <row r="80" spans="1:34" ht="15" customHeight="1">
      <c r="A80" s="1957" t="s">
        <v>2257</v>
      </c>
      <c r="B80" s="1958"/>
      <c r="C80" s="1949" t="s">
        <v>2900</v>
      </c>
      <c r="D80" s="1949"/>
      <c r="E80" s="1949"/>
      <c r="F80" s="1949"/>
      <c r="G80" s="1949"/>
      <c r="H80" s="1949"/>
      <c r="I80" s="1949"/>
      <c r="J80" s="1949"/>
      <c r="K80" s="1949"/>
      <c r="L80" s="1949"/>
      <c r="M80" s="1949"/>
      <c r="N80" s="1949"/>
      <c r="O80" s="1949"/>
      <c r="P80" s="1949"/>
      <c r="Q80" s="1949"/>
      <c r="R80" s="1949"/>
      <c r="S80" s="1949"/>
      <c r="T80" s="1949"/>
      <c r="U80" s="1949"/>
      <c r="V80" s="1949"/>
      <c r="W80" s="1949"/>
      <c r="X80" s="1942" t="s">
        <v>878</v>
      </c>
      <c r="Y80" s="1942"/>
      <c r="Z80" s="1942"/>
      <c r="AA80" s="1945">
        <f>SUM(AA81:AH89)</f>
        <v>0</v>
      </c>
      <c r="AB80" s="1945"/>
      <c r="AC80" s="1945"/>
      <c r="AD80" s="1945"/>
      <c r="AE80" s="1945"/>
      <c r="AF80" s="1945"/>
      <c r="AG80" s="1945"/>
      <c r="AH80" s="1946"/>
    </row>
    <row r="81" spans="1:34" ht="15" customHeight="1">
      <c r="A81" s="1957" t="s">
        <v>1172</v>
      </c>
      <c r="B81" s="1958"/>
      <c r="C81" s="1949" t="s">
        <v>1839</v>
      </c>
      <c r="D81" s="1949"/>
      <c r="E81" s="1949"/>
      <c r="F81" s="1949"/>
      <c r="G81" s="1949"/>
      <c r="H81" s="1949"/>
      <c r="I81" s="1949"/>
      <c r="J81" s="1949"/>
      <c r="K81" s="1949"/>
      <c r="L81" s="1949"/>
      <c r="M81" s="1949"/>
      <c r="N81" s="1949"/>
      <c r="O81" s="1949"/>
      <c r="P81" s="1949"/>
      <c r="Q81" s="1949"/>
      <c r="R81" s="1949"/>
      <c r="S81" s="1949"/>
      <c r="T81" s="1949"/>
      <c r="U81" s="1949"/>
      <c r="V81" s="1949"/>
      <c r="W81" s="1949"/>
      <c r="X81" s="1942" t="s">
        <v>334</v>
      </c>
      <c r="Y81" s="1942"/>
      <c r="Z81" s="1942"/>
      <c r="AA81" s="1945">
        <f>unos!G71</f>
        <v>0</v>
      </c>
      <c r="AB81" s="1945"/>
      <c r="AC81" s="1945"/>
      <c r="AD81" s="1945"/>
      <c r="AE81" s="1945"/>
      <c r="AF81" s="1945"/>
      <c r="AG81" s="1945"/>
      <c r="AH81" s="1946"/>
    </row>
    <row r="82" spans="1:34" ht="15" customHeight="1">
      <c r="A82" s="1957" t="s">
        <v>363</v>
      </c>
      <c r="B82" s="1958"/>
      <c r="C82" s="1979" t="s">
        <v>1840</v>
      </c>
      <c r="D82" s="1949"/>
      <c r="E82" s="1949"/>
      <c r="F82" s="1949"/>
      <c r="G82" s="1949"/>
      <c r="H82" s="1949"/>
      <c r="I82" s="1949"/>
      <c r="J82" s="1949"/>
      <c r="K82" s="1949"/>
      <c r="L82" s="1949"/>
      <c r="M82" s="1949"/>
      <c r="N82" s="1949"/>
      <c r="O82" s="1949"/>
      <c r="P82" s="1949"/>
      <c r="Q82" s="1949"/>
      <c r="R82" s="1949"/>
      <c r="S82" s="1949"/>
      <c r="T82" s="1949"/>
      <c r="U82" s="1949"/>
      <c r="V82" s="1949"/>
      <c r="W82" s="1949"/>
      <c r="X82" s="1942" t="s">
        <v>2200</v>
      </c>
      <c r="Y82" s="1942"/>
      <c r="Z82" s="1942"/>
      <c r="AA82" s="1945">
        <f>unos!G72</f>
        <v>0</v>
      </c>
      <c r="AB82" s="1945"/>
      <c r="AC82" s="1945"/>
      <c r="AD82" s="1945"/>
      <c r="AE82" s="1945"/>
      <c r="AF82" s="1945"/>
      <c r="AG82" s="1945"/>
      <c r="AH82" s="1946"/>
    </row>
    <row r="83" spans="1:34" ht="15" customHeight="1">
      <c r="A83" s="1957" t="s">
        <v>364</v>
      </c>
      <c r="B83" s="1958"/>
      <c r="C83" s="1979" t="s">
        <v>1841</v>
      </c>
      <c r="D83" s="1949"/>
      <c r="E83" s="1949"/>
      <c r="F83" s="1949"/>
      <c r="G83" s="1949"/>
      <c r="H83" s="1949"/>
      <c r="I83" s="1949"/>
      <c r="J83" s="1949"/>
      <c r="K83" s="1949"/>
      <c r="L83" s="1949"/>
      <c r="M83" s="1949"/>
      <c r="N83" s="1949"/>
      <c r="O83" s="1949"/>
      <c r="P83" s="1949"/>
      <c r="Q83" s="1949"/>
      <c r="R83" s="1949"/>
      <c r="S83" s="1949"/>
      <c r="T83" s="1949"/>
      <c r="U83" s="1949"/>
      <c r="V83" s="1949"/>
      <c r="W83" s="1949"/>
      <c r="X83" s="1942" t="s">
        <v>2201</v>
      </c>
      <c r="Y83" s="1942"/>
      <c r="Z83" s="1942"/>
      <c r="AA83" s="1945">
        <f>unos!G73</f>
        <v>0</v>
      </c>
      <c r="AB83" s="1945"/>
      <c r="AC83" s="1945"/>
      <c r="AD83" s="1945"/>
      <c r="AE83" s="1945"/>
      <c r="AF83" s="1945"/>
      <c r="AG83" s="1945"/>
      <c r="AH83" s="1946"/>
    </row>
    <row r="84" spans="1:34" ht="15" customHeight="1">
      <c r="A84" s="1957" t="s">
        <v>365</v>
      </c>
      <c r="B84" s="1958"/>
      <c r="C84" s="1979" t="s">
        <v>1842</v>
      </c>
      <c r="D84" s="1949"/>
      <c r="E84" s="1949"/>
      <c r="F84" s="1949"/>
      <c r="G84" s="1949"/>
      <c r="H84" s="1949"/>
      <c r="I84" s="1949"/>
      <c r="J84" s="1949"/>
      <c r="K84" s="1949"/>
      <c r="L84" s="1949"/>
      <c r="M84" s="1949"/>
      <c r="N84" s="1949"/>
      <c r="O84" s="1949"/>
      <c r="P84" s="1949"/>
      <c r="Q84" s="1949"/>
      <c r="R84" s="1949"/>
      <c r="S84" s="1949"/>
      <c r="T84" s="1949"/>
      <c r="U84" s="1949"/>
      <c r="V84" s="1949"/>
      <c r="W84" s="1949"/>
      <c r="X84" s="1942" t="s">
        <v>1726</v>
      </c>
      <c r="Y84" s="1942"/>
      <c r="Z84" s="1942"/>
      <c r="AA84" s="1945">
        <f>unos!G74</f>
        <v>0</v>
      </c>
      <c r="AB84" s="1945"/>
      <c r="AC84" s="1945"/>
      <c r="AD84" s="1945"/>
      <c r="AE84" s="1945"/>
      <c r="AF84" s="1945"/>
      <c r="AG84" s="1945"/>
      <c r="AH84" s="1946"/>
    </row>
    <row r="85" spans="1:34" ht="15" customHeight="1">
      <c r="A85" s="1957" t="s">
        <v>366</v>
      </c>
      <c r="B85" s="1958"/>
      <c r="C85" s="1979" t="s">
        <v>1843</v>
      </c>
      <c r="D85" s="1949"/>
      <c r="E85" s="1949"/>
      <c r="F85" s="1949"/>
      <c r="G85" s="1949"/>
      <c r="H85" s="1949"/>
      <c r="I85" s="1949"/>
      <c r="J85" s="1949"/>
      <c r="K85" s="1949"/>
      <c r="L85" s="1949"/>
      <c r="M85" s="1949"/>
      <c r="N85" s="1949"/>
      <c r="O85" s="1949"/>
      <c r="P85" s="1949"/>
      <c r="Q85" s="1949"/>
      <c r="R85" s="1949"/>
      <c r="S85" s="1949"/>
      <c r="T85" s="1949"/>
      <c r="U85" s="1949"/>
      <c r="V85" s="1949"/>
      <c r="W85" s="1949"/>
      <c r="X85" s="1942" t="s">
        <v>1727</v>
      </c>
      <c r="Y85" s="1942"/>
      <c r="Z85" s="1942"/>
      <c r="AA85" s="1945">
        <f>unos!G75</f>
        <v>0</v>
      </c>
      <c r="AB85" s="1945"/>
      <c r="AC85" s="1945"/>
      <c r="AD85" s="1945"/>
      <c r="AE85" s="1945"/>
      <c r="AF85" s="1945"/>
      <c r="AG85" s="1945"/>
      <c r="AH85" s="1946"/>
    </row>
    <row r="86" spans="1:34" ht="15" customHeight="1">
      <c r="A86" s="1957" t="s">
        <v>367</v>
      </c>
      <c r="B86" s="1958"/>
      <c r="C86" s="1979" t="s">
        <v>1844</v>
      </c>
      <c r="D86" s="1949"/>
      <c r="E86" s="1949"/>
      <c r="F86" s="1949"/>
      <c r="G86" s="1949"/>
      <c r="H86" s="1949"/>
      <c r="I86" s="1949"/>
      <c r="J86" s="1949"/>
      <c r="K86" s="1949"/>
      <c r="L86" s="1949"/>
      <c r="M86" s="1949"/>
      <c r="N86" s="1949"/>
      <c r="O86" s="1949"/>
      <c r="P86" s="1949"/>
      <c r="Q86" s="1949"/>
      <c r="R86" s="1949"/>
      <c r="S86" s="1949"/>
      <c r="T86" s="1949"/>
      <c r="U86" s="1949"/>
      <c r="V86" s="1949"/>
      <c r="W86" s="1949"/>
      <c r="X86" s="1942" t="s">
        <v>1728</v>
      </c>
      <c r="Y86" s="1942"/>
      <c r="Z86" s="1942"/>
      <c r="AA86" s="1945">
        <f>unos!G76</f>
        <v>0</v>
      </c>
      <c r="AB86" s="1945"/>
      <c r="AC86" s="1945"/>
      <c r="AD86" s="1945"/>
      <c r="AE86" s="1945"/>
      <c r="AF86" s="1945"/>
      <c r="AG86" s="1945"/>
      <c r="AH86" s="1946"/>
    </row>
    <row r="87" spans="1:34" ht="15" customHeight="1">
      <c r="A87" s="1957" t="s">
        <v>368</v>
      </c>
      <c r="B87" s="1958"/>
      <c r="C87" s="1979" t="s">
        <v>1845</v>
      </c>
      <c r="D87" s="1949"/>
      <c r="E87" s="1949"/>
      <c r="F87" s="1949"/>
      <c r="G87" s="1949"/>
      <c r="H87" s="1949"/>
      <c r="I87" s="1949"/>
      <c r="J87" s="1949"/>
      <c r="K87" s="1949"/>
      <c r="L87" s="1949"/>
      <c r="M87" s="1949"/>
      <c r="N87" s="1949"/>
      <c r="O87" s="1949"/>
      <c r="P87" s="1949"/>
      <c r="Q87" s="1949"/>
      <c r="R87" s="1949"/>
      <c r="S87" s="1949"/>
      <c r="T87" s="1949"/>
      <c r="U87" s="1949"/>
      <c r="V87" s="1949"/>
      <c r="W87" s="1949"/>
      <c r="X87" s="1942" t="s">
        <v>1729</v>
      </c>
      <c r="Y87" s="1942"/>
      <c r="Z87" s="1942"/>
      <c r="AA87" s="1945">
        <f>unos!G77</f>
        <v>0</v>
      </c>
      <c r="AB87" s="1945"/>
      <c r="AC87" s="1945"/>
      <c r="AD87" s="1945"/>
      <c r="AE87" s="1945"/>
      <c r="AF87" s="1945"/>
      <c r="AG87" s="1945"/>
      <c r="AH87" s="1946"/>
    </row>
    <row r="88" spans="1:34" ht="15" customHeight="1">
      <c r="A88" s="1957" t="s">
        <v>369</v>
      </c>
      <c r="B88" s="1958"/>
      <c r="C88" s="1979" t="s">
        <v>1846</v>
      </c>
      <c r="D88" s="1949"/>
      <c r="E88" s="1949"/>
      <c r="F88" s="1949"/>
      <c r="G88" s="1949"/>
      <c r="H88" s="1949"/>
      <c r="I88" s="1949"/>
      <c r="J88" s="1949"/>
      <c r="K88" s="1949"/>
      <c r="L88" s="1949"/>
      <c r="M88" s="1949"/>
      <c r="N88" s="1949"/>
      <c r="O88" s="1949"/>
      <c r="P88" s="1949"/>
      <c r="Q88" s="1949"/>
      <c r="R88" s="1949"/>
      <c r="S88" s="1949"/>
      <c r="T88" s="1949"/>
      <c r="U88" s="1949"/>
      <c r="V88" s="1949"/>
      <c r="W88" s="1949"/>
      <c r="X88" s="1942" t="s">
        <v>1730</v>
      </c>
      <c r="Y88" s="1942"/>
      <c r="Z88" s="1942"/>
      <c r="AA88" s="1945">
        <f>unos!G78</f>
        <v>0</v>
      </c>
      <c r="AB88" s="1945"/>
      <c r="AC88" s="1945"/>
      <c r="AD88" s="1945"/>
      <c r="AE88" s="1945"/>
      <c r="AF88" s="1945"/>
      <c r="AG88" s="1945"/>
      <c r="AH88" s="1946"/>
    </row>
    <row r="89" spans="1:34" ht="15" customHeight="1">
      <c r="A89" s="1957" t="s">
        <v>370</v>
      </c>
      <c r="B89" s="1958"/>
      <c r="C89" s="1979" t="s">
        <v>1847</v>
      </c>
      <c r="D89" s="1949"/>
      <c r="E89" s="1949"/>
      <c r="F89" s="1949"/>
      <c r="G89" s="1949"/>
      <c r="H89" s="1949"/>
      <c r="I89" s="1949"/>
      <c r="J89" s="1949"/>
      <c r="K89" s="1949"/>
      <c r="L89" s="1949"/>
      <c r="M89" s="1949"/>
      <c r="N89" s="1949"/>
      <c r="O89" s="1949"/>
      <c r="P89" s="1949"/>
      <c r="Q89" s="1949"/>
      <c r="R89" s="1949"/>
      <c r="S89" s="1949"/>
      <c r="T89" s="1949"/>
      <c r="U89" s="1949"/>
      <c r="V89" s="1949"/>
      <c r="W89" s="1949"/>
      <c r="X89" s="1942" t="s">
        <v>1731</v>
      </c>
      <c r="Y89" s="1942"/>
      <c r="Z89" s="1942"/>
      <c r="AA89" s="1945">
        <f>unos!G79</f>
        <v>0</v>
      </c>
      <c r="AB89" s="1945"/>
      <c r="AC89" s="1945"/>
      <c r="AD89" s="1945"/>
      <c r="AE89" s="1945"/>
      <c r="AF89" s="1945"/>
      <c r="AG89" s="1945"/>
      <c r="AH89" s="1946"/>
    </row>
    <row r="90" spans="1:34" ht="15" customHeight="1">
      <c r="A90" s="1957" t="s">
        <v>372</v>
      </c>
      <c r="B90" s="1958"/>
      <c r="C90" s="1949" t="s">
        <v>2901</v>
      </c>
      <c r="D90" s="1949"/>
      <c r="E90" s="1949"/>
      <c r="F90" s="1949"/>
      <c r="G90" s="1949"/>
      <c r="H90" s="1949"/>
      <c r="I90" s="1949"/>
      <c r="J90" s="1949"/>
      <c r="K90" s="1949"/>
      <c r="L90" s="1949"/>
      <c r="M90" s="1949"/>
      <c r="N90" s="1949"/>
      <c r="O90" s="1949"/>
      <c r="P90" s="1949"/>
      <c r="Q90" s="1949"/>
      <c r="R90" s="1949"/>
      <c r="S90" s="1949"/>
      <c r="T90" s="1949"/>
      <c r="U90" s="1949"/>
      <c r="V90" s="1949"/>
      <c r="W90" s="1949"/>
      <c r="X90" s="1942" t="s">
        <v>2508</v>
      </c>
      <c r="Y90" s="1942"/>
      <c r="Z90" s="1942"/>
      <c r="AA90" s="1945">
        <f>SUM(AA91:AA92)</f>
        <v>0</v>
      </c>
      <c r="AB90" s="1945"/>
      <c r="AC90" s="1945"/>
      <c r="AD90" s="1945"/>
      <c r="AE90" s="1945"/>
      <c r="AF90" s="1945"/>
      <c r="AG90" s="1945"/>
      <c r="AH90" s="1946"/>
    </row>
    <row r="91" spans="1:34" ht="15" customHeight="1">
      <c r="A91" s="1957" t="s">
        <v>373</v>
      </c>
      <c r="B91" s="1958"/>
      <c r="C91" s="1949" t="s">
        <v>2003</v>
      </c>
      <c r="D91" s="1949"/>
      <c r="E91" s="1949"/>
      <c r="F91" s="1949"/>
      <c r="G91" s="1949"/>
      <c r="H91" s="1949"/>
      <c r="I91" s="1949"/>
      <c r="J91" s="1949"/>
      <c r="K91" s="1949"/>
      <c r="L91" s="1949"/>
      <c r="M91" s="1949"/>
      <c r="N91" s="1949"/>
      <c r="O91" s="1949"/>
      <c r="P91" s="1949"/>
      <c r="Q91" s="1949"/>
      <c r="R91" s="1949"/>
      <c r="S91" s="1949"/>
      <c r="T91" s="1949"/>
      <c r="U91" s="1949"/>
      <c r="V91" s="1949"/>
      <c r="W91" s="1949"/>
      <c r="X91" s="1942" t="s">
        <v>2903</v>
      </c>
      <c r="Y91" s="1942"/>
      <c r="Z91" s="1942"/>
      <c r="AA91" s="1945">
        <f>SUM(unos!G80:G82)</f>
        <v>0</v>
      </c>
      <c r="AB91" s="1945"/>
      <c r="AC91" s="1945"/>
      <c r="AD91" s="1945"/>
      <c r="AE91" s="1945"/>
      <c r="AF91" s="1945"/>
      <c r="AG91" s="1945"/>
      <c r="AH91" s="1946"/>
    </row>
    <row r="92" spans="1:34" ht="15" customHeight="1">
      <c r="A92" s="1957" t="s">
        <v>375</v>
      </c>
      <c r="B92" s="1958"/>
      <c r="C92" s="1949" t="s">
        <v>2902</v>
      </c>
      <c r="D92" s="1949"/>
      <c r="E92" s="1949"/>
      <c r="F92" s="1949"/>
      <c r="G92" s="1949"/>
      <c r="H92" s="1949"/>
      <c r="I92" s="1949"/>
      <c r="J92" s="1949"/>
      <c r="K92" s="1949"/>
      <c r="L92" s="1949"/>
      <c r="M92" s="1949"/>
      <c r="N92" s="1949"/>
      <c r="O92" s="1949"/>
      <c r="P92" s="1949"/>
      <c r="Q92" s="1949"/>
      <c r="R92" s="1949"/>
      <c r="S92" s="1949"/>
      <c r="T92" s="1949"/>
      <c r="U92" s="1949"/>
      <c r="V92" s="1949"/>
      <c r="W92" s="1949"/>
      <c r="X92" s="1942" t="s">
        <v>2904</v>
      </c>
      <c r="Y92" s="1942"/>
      <c r="Z92" s="1942"/>
      <c r="AA92" s="1945">
        <f>SUM(unos!G83:G89)</f>
        <v>0</v>
      </c>
      <c r="AB92" s="1945"/>
      <c r="AC92" s="1945"/>
      <c r="AD92" s="1945"/>
      <c r="AE92" s="1945"/>
      <c r="AF92" s="1945"/>
      <c r="AG92" s="1945"/>
      <c r="AH92" s="1946"/>
    </row>
    <row r="93" spans="1:34" ht="15" customHeight="1">
      <c r="A93" s="1957" t="s">
        <v>1225</v>
      </c>
      <c r="B93" s="1958"/>
      <c r="C93" s="1949" t="s">
        <v>2905</v>
      </c>
      <c r="D93" s="1949"/>
      <c r="E93" s="1949"/>
      <c r="F93" s="1949"/>
      <c r="G93" s="1949"/>
      <c r="H93" s="1949"/>
      <c r="I93" s="1949"/>
      <c r="J93" s="1949"/>
      <c r="K93" s="1949"/>
      <c r="L93" s="1949"/>
      <c r="M93" s="1949"/>
      <c r="N93" s="1949"/>
      <c r="O93" s="1949"/>
      <c r="P93" s="1949"/>
      <c r="Q93" s="1949"/>
      <c r="R93" s="1949"/>
      <c r="S93" s="1949"/>
      <c r="T93" s="1949"/>
      <c r="U93" s="1949"/>
      <c r="V93" s="1949"/>
      <c r="W93" s="1949"/>
      <c r="X93" s="1942" t="s">
        <v>1184</v>
      </c>
      <c r="Y93" s="1942"/>
      <c r="Z93" s="1942"/>
      <c r="AA93" s="1945">
        <f>SUM(AA94:AH101)</f>
        <v>0</v>
      </c>
      <c r="AB93" s="1945"/>
      <c r="AC93" s="1945"/>
      <c r="AD93" s="1945"/>
      <c r="AE93" s="1945"/>
      <c r="AF93" s="1945"/>
      <c r="AG93" s="1945"/>
      <c r="AH93" s="1946"/>
    </row>
    <row r="94" spans="1:34" ht="15" customHeight="1">
      <c r="A94" s="1957" t="s">
        <v>1226</v>
      </c>
      <c r="B94" s="1958"/>
      <c r="C94" s="1979" t="s">
        <v>108</v>
      </c>
      <c r="D94" s="1949"/>
      <c r="E94" s="1949"/>
      <c r="F94" s="1949"/>
      <c r="G94" s="1949"/>
      <c r="H94" s="1949"/>
      <c r="I94" s="1949"/>
      <c r="J94" s="1949"/>
      <c r="K94" s="1949"/>
      <c r="L94" s="1949"/>
      <c r="M94" s="1949"/>
      <c r="N94" s="1949"/>
      <c r="O94" s="1949"/>
      <c r="P94" s="1949"/>
      <c r="Q94" s="1949"/>
      <c r="R94" s="1949"/>
      <c r="S94" s="1949"/>
      <c r="T94" s="1949"/>
      <c r="U94" s="1949"/>
      <c r="V94" s="1949"/>
      <c r="W94" s="1949"/>
      <c r="X94" s="1942" t="s">
        <v>1739</v>
      </c>
      <c r="Y94" s="1942"/>
      <c r="Z94" s="1942"/>
      <c r="AA94" s="1945">
        <f>unos!G90</f>
        <v>0</v>
      </c>
      <c r="AB94" s="1945"/>
      <c r="AC94" s="1945"/>
      <c r="AD94" s="1945"/>
      <c r="AE94" s="1945"/>
      <c r="AF94" s="1945"/>
      <c r="AG94" s="1945"/>
      <c r="AH94" s="1946"/>
    </row>
    <row r="95" spans="1:34" ht="15" customHeight="1">
      <c r="A95" s="1957" t="s">
        <v>1227</v>
      </c>
      <c r="B95" s="1958"/>
      <c r="C95" s="1979" t="s">
        <v>2253</v>
      </c>
      <c r="D95" s="1949"/>
      <c r="E95" s="1949"/>
      <c r="F95" s="1949"/>
      <c r="G95" s="1949"/>
      <c r="H95" s="1949"/>
      <c r="I95" s="1949"/>
      <c r="J95" s="1949"/>
      <c r="K95" s="1949"/>
      <c r="L95" s="1949"/>
      <c r="M95" s="1949"/>
      <c r="N95" s="1949"/>
      <c r="O95" s="1949"/>
      <c r="P95" s="1949"/>
      <c r="Q95" s="1949"/>
      <c r="R95" s="1949"/>
      <c r="S95" s="1949"/>
      <c r="T95" s="1949"/>
      <c r="U95" s="1949"/>
      <c r="V95" s="1949"/>
      <c r="W95" s="1949"/>
      <c r="X95" s="1942" t="s">
        <v>1740</v>
      </c>
      <c r="Y95" s="1942"/>
      <c r="Z95" s="1942"/>
      <c r="AA95" s="1945">
        <f>unos!G91</f>
        <v>0</v>
      </c>
      <c r="AB95" s="1945"/>
      <c r="AC95" s="1945"/>
      <c r="AD95" s="1945"/>
      <c r="AE95" s="1945"/>
      <c r="AF95" s="1945"/>
      <c r="AG95" s="1945"/>
      <c r="AH95" s="1946"/>
    </row>
    <row r="96" spans="1:34" ht="15" customHeight="1">
      <c r="A96" s="1957" t="s">
        <v>1228</v>
      </c>
      <c r="B96" s="1958"/>
      <c r="C96" s="1979" t="s">
        <v>109</v>
      </c>
      <c r="D96" s="1949"/>
      <c r="E96" s="1949"/>
      <c r="F96" s="1949"/>
      <c r="G96" s="1949"/>
      <c r="H96" s="1949"/>
      <c r="I96" s="1949"/>
      <c r="J96" s="1949"/>
      <c r="K96" s="1949"/>
      <c r="L96" s="1949"/>
      <c r="M96" s="1949"/>
      <c r="N96" s="1949"/>
      <c r="O96" s="1949"/>
      <c r="P96" s="1949"/>
      <c r="Q96" s="1949"/>
      <c r="R96" s="1949"/>
      <c r="S96" s="1949"/>
      <c r="T96" s="1949"/>
      <c r="U96" s="1949"/>
      <c r="V96" s="1949"/>
      <c r="W96" s="1949"/>
      <c r="X96" s="1942" t="s">
        <v>1741</v>
      </c>
      <c r="Y96" s="1942"/>
      <c r="Z96" s="1942"/>
      <c r="AA96" s="1945">
        <f>unos!G92</f>
        <v>0</v>
      </c>
      <c r="AB96" s="1945"/>
      <c r="AC96" s="1945"/>
      <c r="AD96" s="1945"/>
      <c r="AE96" s="1945"/>
      <c r="AF96" s="1945"/>
      <c r="AG96" s="1945"/>
      <c r="AH96" s="1946"/>
    </row>
    <row r="97" spans="1:34" ht="15" customHeight="1">
      <c r="A97" s="1957" t="s">
        <v>1229</v>
      </c>
      <c r="B97" s="1958"/>
      <c r="C97" s="1979" t="s">
        <v>110</v>
      </c>
      <c r="D97" s="1949"/>
      <c r="E97" s="1949"/>
      <c r="F97" s="1949"/>
      <c r="G97" s="1949"/>
      <c r="H97" s="1949"/>
      <c r="I97" s="1949"/>
      <c r="J97" s="1949"/>
      <c r="K97" s="1949"/>
      <c r="L97" s="1949"/>
      <c r="M97" s="1949"/>
      <c r="N97" s="1949"/>
      <c r="O97" s="1949"/>
      <c r="P97" s="1949"/>
      <c r="Q97" s="1949"/>
      <c r="R97" s="1949"/>
      <c r="S97" s="1949"/>
      <c r="T97" s="1949"/>
      <c r="U97" s="1949"/>
      <c r="V97" s="1949"/>
      <c r="W97" s="1949"/>
      <c r="X97" s="1942" t="s">
        <v>1742</v>
      </c>
      <c r="Y97" s="1942"/>
      <c r="Z97" s="1942"/>
      <c r="AA97" s="1945">
        <f>unos!G93</f>
        <v>0</v>
      </c>
      <c r="AB97" s="1945"/>
      <c r="AC97" s="1945"/>
      <c r="AD97" s="1945"/>
      <c r="AE97" s="1945"/>
      <c r="AF97" s="1945"/>
      <c r="AG97" s="1945"/>
      <c r="AH97" s="1946"/>
    </row>
    <row r="98" spans="1:34" ht="15" customHeight="1">
      <c r="A98" s="1957" t="s">
        <v>1230</v>
      </c>
      <c r="B98" s="1958"/>
      <c r="C98" s="1979" t="s">
        <v>111</v>
      </c>
      <c r="D98" s="1949"/>
      <c r="E98" s="1949"/>
      <c r="F98" s="1949"/>
      <c r="G98" s="1949"/>
      <c r="H98" s="1949"/>
      <c r="I98" s="1949"/>
      <c r="J98" s="1949"/>
      <c r="K98" s="1949"/>
      <c r="L98" s="1949"/>
      <c r="M98" s="1949"/>
      <c r="N98" s="1949"/>
      <c r="O98" s="1949"/>
      <c r="P98" s="1949"/>
      <c r="Q98" s="1949"/>
      <c r="R98" s="1949"/>
      <c r="S98" s="1949"/>
      <c r="T98" s="1949"/>
      <c r="U98" s="1949"/>
      <c r="V98" s="1949"/>
      <c r="W98" s="1949"/>
      <c r="X98" s="1942" t="s">
        <v>1743</v>
      </c>
      <c r="Y98" s="1942"/>
      <c r="Z98" s="1942"/>
      <c r="AA98" s="1945">
        <f>unos!G94</f>
        <v>0</v>
      </c>
      <c r="AB98" s="1945"/>
      <c r="AC98" s="1945"/>
      <c r="AD98" s="1945"/>
      <c r="AE98" s="1945"/>
      <c r="AF98" s="1945"/>
      <c r="AG98" s="1945"/>
      <c r="AH98" s="1946"/>
    </row>
    <row r="99" spans="1:34" ht="15" customHeight="1">
      <c r="A99" s="1957" t="s">
        <v>279</v>
      </c>
      <c r="B99" s="1958"/>
      <c r="C99" s="1979" t="s">
        <v>112</v>
      </c>
      <c r="D99" s="1949"/>
      <c r="E99" s="1949"/>
      <c r="F99" s="1949"/>
      <c r="G99" s="1949"/>
      <c r="H99" s="1949"/>
      <c r="I99" s="1949"/>
      <c r="J99" s="1949"/>
      <c r="K99" s="1949"/>
      <c r="L99" s="1949"/>
      <c r="M99" s="1949"/>
      <c r="N99" s="1949"/>
      <c r="O99" s="1949"/>
      <c r="P99" s="1949"/>
      <c r="Q99" s="1949"/>
      <c r="R99" s="1949"/>
      <c r="S99" s="1949"/>
      <c r="T99" s="1949"/>
      <c r="U99" s="1949"/>
      <c r="V99" s="1949"/>
      <c r="W99" s="1949"/>
      <c r="X99" s="1942" t="s">
        <v>1744</v>
      </c>
      <c r="Y99" s="1942"/>
      <c r="Z99" s="1942"/>
      <c r="AA99" s="1945">
        <f>unos!G95</f>
        <v>0</v>
      </c>
      <c r="AB99" s="1945"/>
      <c r="AC99" s="1945"/>
      <c r="AD99" s="1945"/>
      <c r="AE99" s="1945"/>
      <c r="AF99" s="1945"/>
      <c r="AG99" s="1945"/>
      <c r="AH99" s="1946"/>
    </row>
    <row r="100" spans="1:34" ht="15" customHeight="1">
      <c r="A100" s="1957" t="s">
        <v>280</v>
      </c>
      <c r="B100" s="1958"/>
      <c r="C100" s="1979" t="s">
        <v>113</v>
      </c>
      <c r="D100" s="1949"/>
      <c r="E100" s="1949"/>
      <c r="F100" s="1949"/>
      <c r="G100" s="1949"/>
      <c r="H100" s="1949"/>
      <c r="I100" s="1949"/>
      <c r="J100" s="1949"/>
      <c r="K100" s="1949"/>
      <c r="L100" s="1949"/>
      <c r="M100" s="1949"/>
      <c r="N100" s="1949"/>
      <c r="O100" s="1949"/>
      <c r="P100" s="1949"/>
      <c r="Q100" s="1949"/>
      <c r="R100" s="1949"/>
      <c r="S100" s="1949"/>
      <c r="T100" s="1949"/>
      <c r="U100" s="1949"/>
      <c r="V100" s="1949"/>
      <c r="W100" s="1949"/>
      <c r="X100" s="1942" t="s">
        <v>1745</v>
      </c>
      <c r="Y100" s="1942"/>
      <c r="Z100" s="1942"/>
      <c r="AA100" s="1945">
        <f>unos!G96</f>
        <v>0</v>
      </c>
      <c r="AB100" s="1945"/>
      <c r="AC100" s="1945"/>
      <c r="AD100" s="1945"/>
      <c r="AE100" s="1945"/>
      <c r="AF100" s="1945"/>
      <c r="AG100" s="1945"/>
      <c r="AH100" s="1946"/>
    </row>
    <row r="101" spans="1:34" ht="25.5" customHeight="1">
      <c r="A101" s="1957" t="s">
        <v>526</v>
      </c>
      <c r="B101" s="1958"/>
      <c r="C101" s="1980" t="s">
        <v>2906</v>
      </c>
      <c r="D101" s="1961"/>
      <c r="E101" s="1961"/>
      <c r="F101" s="1961"/>
      <c r="G101" s="1961"/>
      <c r="H101" s="1961"/>
      <c r="I101" s="1961"/>
      <c r="J101" s="1961"/>
      <c r="K101" s="1961"/>
      <c r="L101" s="1961"/>
      <c r="M101" s="1961"/>
      <c r="N101" s="1961"/>
      <c r="O101" s="1961"/>
      <c r="P101" s="1961"/>
      <c r="Q101" s="1961"/>
      <c r="R101" s="1961"/>
      <c r="S101" s="1961"/>
      <c r="T101" s="1961"/>
      <c r="U101" s="1961"/>
      <c r="V101" s="1961"/>
      <c r="W101" s="1962"/>
      <c r="X101" s="1942" t="s">
        <v>1746</v>
      </c>
      <c r="Y101" s="1942"/>
      <c r="Z101" s="1942"/>
      <c r="AA101" s="1945">
        <f>unos!G97</f>
        <v>0</v>
      </c>
      <c r="AB101" s="1945"/>
      <c r="AC101" s="1945"/>
      <c r="AD101" s="1945"/>
      <c r="AE101" s="1945"/>
      <c r="AF101" s="1945"/>
      <c r="AG101" s="1945"/>
      <c r="AH101" s="1946"/>
    </row>
    <row r="102" spans="1:34" ht="16.5" customHeight="1">
      <c r="A102" s="1957" t="s">
        <v>527</v>
      </c>
      <c r="B102" s="1958"/>
      <c r="C102" s="1949" t="s">
        <v>2907</v>
      </c>
      <c r="D102" s="1949"/>
      <c r="E102" s="1949"/>
      <c r="F102" s="1949"/>
      <c r="G102" s="1949"/>
      <c r="H102" s="1949"/>
      <c r="I102" s="1949"/>
      <c r="J102" s="1949"/>
      <c r="K102" s="1949"/>
      <c r="L102" s="1949"/>
      <c r="M102" s="1949"/>
      <c r="N102" s="1949"/>
      <c r="O102" s="1949"/>
      <c r="P102" s="1949"/>
      <c r="Q102" s="1949"/>
      <c r="R102" s="1949"/>
      <c r="S102" s="1949"/>
      <c r="T102" s="1949"/>
      <c r="U102" s="1949"/>
      <c r="V102" s="1949"/>
      <c r="W102" s="1949"/>
      <c r="X102" s="1942" t="s">
        <v>2829</v>
      </c>
      <c r="Y102" s="1942"/>
      <c r="Z102" s="1942"/>
      <c r="AA102" s="1945">
        <f>UNOS1!G83</f>
        <v>0</v>
      </c>
      <c r="AB102" s="1945"/>
      <c r="AC102" s="1945"/>
      <c r="AD102" s="1945"/>
      <c r="AE102" s="1945"/>
      <c r="AF102" s="1945"/>
      <c r="AG102" s="1945"/>
      <c r="AH102" s="1946"/>
    </row>
    <row r="103" spans="1:34" ht="16.5" customHeight="1">
      <c r="A103" s="1957" t="s">
        <v>2908</v>
      </c>
      <c r="B103" s="1958"/>
      <c r="C103" s="1949" t="s">
        <v>2909</v>
      </c>
      <c r="D103" s="1949"/>
      <c r="E103" s="1949"/>
      <c r="F103" s="1949"/>
      <c r="G103" s="1949"/>
      <c r="H103" s="1949"/>
      <c r="I103" s="1949"/>
      <c r="J103" s="1949"/>
      <c r="K103" s="1949"/>
      <c r="L103" s="1949"/>
      <c r="M103" s="1949"/>
      <c r="N103" s="1949"/>
      <c r="O103" s="1949"/>
      <c r="P103" s="1949"/>
      <c r="Q103" s="1949"/>
      <c r="R103" s="1949"/>
      <c r="S103" s="1949"/>
      <c r="T103" s="1949"/>
      <c r="U103" s="1949"/>
      <c r="V103" s="1949"/>
      <c r="W103" s="1949"/>
      <c r="X103" s="1942" t="s">
        <v>879</v>
      </c>
      <c r="Y103" s="1942"/>
      <c r="Z103" s="1942"/>
      <c r="AA103" s="1945">
        <f>SUM(unos!G98:G102)</f>
        <v>0</v>
      </c>
      <c r="AB103" s="1945"/>
      <c r="AC103" s="1945"/>
      <c r="AD103" s="1945"/>
      <c r="AE103" s="1945"/>
      <c r="AF103" s="1945"/>
      <c r="AG103" s="1945"/>
      <c r="AH103" s="1946"/>
    </row>
    <row r="104" spans="1:34" ht="25.5" customHeight="1">
      <c r="A104" s="1957" t="s">
        <v>2910</v>
      </c>
      <c r="B104" s="1958"/>
      <c r="C104" s="1960" t="s">
        <v>2911</v>
      </c>
      <c r="D104" s="1961"/>
      <c r="E104" s="1961"/>
      <c r="F104" s="1961"/>
      <c r="G104" s="1961"/>
      <c r="H104" s="1961"/>
      <c r="I104" s="1961"/>
      <c r="J104" s="1961"/>
      <c r="K104" s="1961"/>
      <c r="L104" s="1961"/>
      <c r="M104" s="1961"/>
      <c r="N104" s="1961"/>
      <c r="O104" s="1961"/>
      <c r="P104" s="1961"/>
      <c r="Q104" s="1961"/>
      <c r="R104" s="1961"/>
      <c r="S104" s="1961"/>
      <c r="T104" s="1961"/>
      <c r="U104" s="1961"/>
      <c r="V104" s="1961"/>
      <c r="W104" s="1962"/>
      <c r="X104" s="1942" t="s">
        <v>2912</v>
      </c>
      <c r="Y104" s="1942"/>
      <c r="Z104" s="1942"/>
      <c r="AA104" s="1945">
        <f>SUM(unos!G103:G112)</f>
        <v>0</v>
      </c>
      <c r="AB104" s="1945"/>
      <c r="AC104" s="1945"/>
      <c r="AD104" s="1945"/>
      <c r="AE104" s="1945"/>
      <c r="AF104" s="1945"/>
      <c r="AG104" s="1945"/>
      <c r="AH104" s="1946"/>
    </row>
    <row r="105" spans="1:34" ht="16.5" customHeight="1">
      <c r="A105" s="1947" t="s">
        <v>2913</v>
      </c>
      <c r="B105" s="1948"/>
      <c r="C105" s="1949" t="s">
        <v>2914</v>
      </c>
      <c r="D105" s="1949"/>
      <c r="E105" s="1949"/>
      <c r="F105" s="1949"/>
      <c r="G105" s="1949"/>
      <c r="H105" s="1949"/>
      <c r="I105" s="1949"/>
      <c r="J105" s="1949"/>
      <c r="K105" s="1949"/>
      <c r="L105" s="1949"/>
      <c r="M105" s="1949"/>
      <c r="N105" s="1949"/>
      <c r="O105" s="1949"/>
      <c r="P105" s="1949"/>
      <c r="Q105" s="1949"/>
      <c r="R105" s="1949"/>
      <c r="S105" s="1949"/>
      <c r="T105" s="1949"/>
      <c r="U105" s="1949"/>
      <c r="V105" s="1949"/>
      <c r="W105" s="1949"/>
      <c r="X105" s="1942" t="s">
        <v>1757</v>
      </c>
      <c r="Y105" s="1942"/>
      <c r="Z105" s="1942"/>
      <c r="AA105" s="1945">
        <f>unos!G108</f>
        <v>0</v>
      </c>
      <c r="AB105" s="1945"/>
      <c r="AC105" s="1945"/>
      <c r="AD105" s="1945"/>
      <c r="AE105" s="1945"/>
      <c r="AF105" s="1945"/>
      <c r="AG105" s="1945"/>
      <c r="AH105" s="1946"/>
    </row>
    <row r="106" spans="1:34" ht="16.5" customHeight="1">
      <c r="A106" s="1947" t="s">
        <v>2915</v>
      </c>
      <c r="B106" s="1948"/>
      <c r="C106" s="1949" t="s">
        <v>2922</v>
      </c>
      <c r="D106" s="1949"/>
      <c r="E106" s="1949"/>
      <c r="F106" s="1949"/>
      <c r="G106" s="1949"/>
      <c r="H106" s="1949"/>
      <c r="I106" s="1949"/>
      <c r="J106" s="1949"/>
      <c r="K106" s="1949"/>
      <c r="L106" s="1949"/>
      <c r="M106" s="1949"/>
      <c r="N106" s="1949"/>
      <c r="O106" s="1949"/>
      <c r="P106" s="1949"/>
      <c r="Q106" s="1949"/>
      <c r="R106" s="1949"/>
      <c r="S106" s="1949"/>
      <c r="T106" s="1949"/>
      <c r="U106" s="1949"/>
      <c r="V106" s="1949"/>
      <c r="W106" s="1949"/>
      <c r="X106" s="1942" t="s">
        <v>2830</v>
      </c>
      <c r="Y106" s="1942"/>
      <c r="Z106" s="1942"/>
      <c r="AA106" s="1945">
        <f>UNOS1!G84</f>
        <v>0</v>
      </c>
      <c r="AB106" s="1945"/>
      <c r="AC106" s="1945"/>
      <c r="AD106" s="1945"/>
      <c r="AE106" s="1945"/>
      <c r="AF106" s="1945"/>
      <c r="AG106" s="1945"/>
      <c r="AH106" s="1946"/>
    </row>
    <row r="107" spans="1:34" ht="25.5" customHeight="1">
      <c r="A107" s="1947" t="s">
        <v>2916</v>
      </c>
      <c r="B107" s="1948"/>
      <c r="C107" s="1960" t="s">
        <v>2923</v>
      </c>
      <c r="D107" s="1961"/>
      <c r="E107" s="1961"/>
      <c r="F107" s="1961"/>
      <c r="G107" s="1961"/>
      <c r="H107" s="1961"/>
      <c r="I107" s="1961"/>
      <c r="J107" s="1961"/>
      <c r="K107" s="1961"/>
      <c r="L107" s="1961"/>
      <c r="M107" s="1961"/>
      <c r="N107" s="1961"/>
      <c r="O107" s="1961"/>
      <c r="P107" s="1961"/>
      <c r="Q107" s="1961"/>
      <c r="R107" s="1961"/>
      <c r="S107" s="1961"/>
      <c r="T107" s="1961"/>
      <c r="U107" s="1961"/>
      <c r="V107" s="1961"/>
      <c r="W107" s="1962"/>
      <c r="X107" s="1942" t="s">
        <v>2924</v>
      </c>
      <c r="Y107" s="1942"/>
      <c r="Z107" s="1942"/>
      <c r="AA107" s="1945">
        <f>SUM(unos!G113:G121)</f>
        <v>0</v>
      </c>
      <c r="AB107" s="1945"/>
      <c r="AC107" s="1945"/>
      <c r="AD107" s="1945"/>
      <c r="AE107" s="1945"/>
      <c r="AF107" s="1945"/>
      <c r="AG107" s="1945"/>
      <c r="AH107" s="1946"/>
    </row>
    <row r="108" spans="1:34" ht="16.5" customHeight="1">
      <c r="A108" s="1947" t="s">
        <v>2917</v>
      </c>
      <c r="B108" s="1948"/>
      <c r="C108" s="1949" t="s">
        <v>2925</v>
      </c>
      <c r="D108" s="1949"/>
      <c r="E108" s="1949"/>
      <c r="F108" s="1949"/>
      <c r="G108" s="1949"/>
      <c r="H108" s="1949"/>
      <c r="I108" s="1949"/>
      <c r="J108" s="1949"/>
      <c r="K108" s="1949"/>
      <c r="L108" s="1949"/>
      <c r="M108" s="1949"/>
      <c r="N108" s="1949"/>
      <c r="O108" s="1949"/>
      <c r="P108" s="1949"/>
      <c r="Q108" s="1949"/>
      <c r="R108" s="1949"/>
      <c r="S108" s="1949"/>
      <c r="T108" s="1949"/>
      <c r="U108" s="1949"/>
      <c r="V108" s="1949"/>
      <c r="W108" s="1949"/>
      <c r="X108" s="1942" t="s">
        <v>1767</v>
      </c>
      <c r="Y108" s="1942"/>
      <c r="Z108" s="1942"/>
      <c r="AA108" s="1945">
        <f>unos!G118</f>
        <v>0</v>
      </c>
      <c r="AB108" s="1945"/>
      <c r="AC108" s="1945"/>
      <c r="AD108" s="1945"/>
      <c r="AE108" s="1945"/>
      <c r="AF108" s="1945"/>
      <c r="AG108" s="1945"/>
      <c r="AH108" s="1946"/>
    </row>
    <row r="109" spans="1:34" ht="16.5" customHeight="1">
      <c r="A109" s="1947" t="s">
        <v>2918</v>
      </c>
      <c r="B109" s="1948"/>
      <c r="C109" s="1949" t="s">
        <v>2926</v>
      </c>
      <c r="D109" s="1949"/>
      <c r="E109" s="1949"/>
      <c r="F109" s="1949"/>
      <c r="G109" s="1949"/>
      <c r="H109" s="1949"/>
      <c r="I109" s="1949"/>
      <c r="J109" s="1949"/>
      <c r="K109" s="1949"/>
      <c r="L109" s="1949"/>
      <c r="M109" s="1949"/>
      <c r="N109" s="1949"/>
      <c r="O109" s="1949"/>
      <c r="P109" s="1949"/>
      <c r="Q109" s="1949"/>
      <c r="R109" s="1949"/>
      <c r="S109" s="1949"/>
      <c r="T109" s="1949"/>
      <c r="U109" s="1949"/>
      <c r="V109" s="1949"/>
      <c r="W109" s="1949"/>
      <c r="X109" s="1942" t="s">
        <v>1771</v>
      </c>
      <c r="Y109" s="1942"/>
      <c r="Z109" s="1942"/>
      <c r="AA109" s="1945">
        <f>unos!G122</f>
        <v>0</v>
      </c>
      <c r="AB109" s="1945"/>
      <c r="AC109" s="1945"/>
      <c r="AD109" s="1945"/>
      <c r="AE109" s="1945"/>
      <c r="AF109" s="1945"/>
      <c r="AG109" s="1945"/>
      <c r="AH109" s="1946"/>
    </row>
    <row r="110" spans="1:34" ht="16.5" customHeight="1">
      <c r="A110" s="1947" t="s">
        <v>2919</v>
      </c>
      <c r="B110" s="1948"/>
      <c r="C110" s="1949" t="s">
        <v>2927</v>
      </c>
      <c r="D110" s="1949"/>
      <c r="E110" s="1949"/>
      <c r="F110" s="1949"/>
      <c r="G110" s="1949"/>
      <c r="H110" s="1949"/>
      <c r="I110" s="1949"/>
      <c r="J110" s="1949"/>
      <c r="K110" s="1949"/>
      <c r="L110" s="1949"/>
      <c r="M110" s="1949"/>
      <c r="N110" s="1949"/>
      <c r="O110" s="1949"/>
      <c r="P110" s="1949"/>
      <c r="Q110" s="1949"/>
      <c r="R110" s="1949"/>
      <c r="S110" s="1949"/>
      <c r="T110" s="1949"/>
      <c r="U110" s="1949"/>
      <c r="V110" s="1949"/>
      <c r="W110" s="1949"/>
      <c r="X110" s="1942" t="s">
        <v>1772</v>
      </c>
      <c r="Y110" s="1942"/>
      <c r="Z110" s="1942"/>
      <c r="AA110" s="1945">
        <f>unos!G123</f>
        <v>0</v>
      </c>
      <c r="AB110" s="1945"/>
      <c r="AC110" s="1945"/>
      <c r="AD110" s="1945"/>
      <c r="AE110" s="1945"/>
      <c r="AF110" s="1945"/>
      <c r="AG110" s="1945"/>
      <c r="AH110" s="1946"/>
    </row>
    <row r="111" spans="1:34" ht="16.5" customHeight="1">
      <c r="A111" s="1957" t="s">
        <v>2920</v>
      </c>
      <c r="B111" s="1958"/>
      <c r="C111" s="1949" t="s">
        <v>2928</v>
      </c>
      <c r="D111" s="1949"/>
      <c r="E111" s="1949"/>
      <c r="F111" s="1949"/>
      <c r="G111" s="1949"/>
      <c r="H111" s="1949"/>
      <c r="I111" s="1949"/>
      <c r="J111" s="1949"/>
      <c r="K111" s="1949"/>
      <c r="L111" s="1949"/>
      <c r="M111" s="1949"/>
      <c r="N111" s="1949"/>
      <c r="O111" s="1949"/>
      <c r="P111" s="1949"/>
      <c r="Q111" s="1949"/>
      <c r="R111" s="1949"/>
      <c r="S111" s="1949"/>
      <c r="T111" s="1949"/>
      <c r="U111" s="1949"/>
      <c r="V111" s="1949"/>
      <c r="W111" s="1949"/>
      <c r="X111" s="1942" t="s">
        <v>1773</v>
      </c>
      <c r="Y111" s="1942"/>
      <c r="Z111" s="1942"/>
      <c r="AA111" s="1945">
        <f>unos!G124</f>
        <v>0</v>
      </c>
      <c r="AB111" s="1945"/>
      <c r="AC111" s="1945"/>
      <c r="AD111" s="1945"/>
      <c r="AE111" s="1945"/>
      <c r="AF111" s="1945"/>
      <c r="AG111" s="1945"/>
      <c r="AH111" s="1946"/>
    </row>
    <row r="112" spans="1:34" ht="16.5" customHeight="1" thickBot="1">
      <c r="A112" s="2016" t="s">
        <v>2921</v>
      </c>
      <c r="B112" s="2017"/>
      <c r="C112" s="1959" t="s">
        <v>2720</v>
      </c>
      <c r="D112" s="1959"/>
      <c r="E112" s="1959"/>
      <c r="F112" s="1959"/>
      <c r="G112" s="1959"/>
      <c r="H112" s="1959"/>
      <c r="I112" s="1959"/>
      <c r="J112" s="1959"/>
      <c r="K112" s="1959"/>
      <c r="L112" s="1959"/>
      <c r="M112" s="1959"/>
      <c r="N112" s="1959"/>
      <c r="O112" s="1959"/>
      <c r="P112" s="1959"/>
      <c r="Q112" s="1959"/>
      <c r="R112" s="1959"/>
      <c r="S112" s="1959"/>
      <c r="T112" s="1959"/>
      <c r="U112" s="1959"/>
      <c r="V112" s="1959"/>
      <c r="W112" s="1959"/>
      <c r="X112" s="1963" t="s">
        <v>1774</v>
      </c>
      <c r="Y112" s="1963"/>
      <c r="Z112" s="1963"/>
      <c r="AA112" s="1964">
        <f>unos!G125</f>
        <v>0</v>
      </c>
      <c r="AB112" s="1964"/>
      <c r="AC112" s="1964"/>
      <c r="AD112" s="1964"/>
      <c r="AE112" s="1964"/>
      <c r="AF112" s="1964"/>
      <c r="AG112" s="1964"/>
      <c r="AH112" s="1965"/>
    </row>
    <row r="113" spans="1:34" s="23" customFormat="1" ht="11.25">
      <c r="A113" s="43" t="s">
        <v>282</v>
      </c>
      <c r="B113" s="43" t="s">
        <v>288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43"/>
      <c r="Y113" s="43"/>
      <c r="Z113" s="43"/>
      <c r="AA113" s="18"/>
      <c r="AB113" s="18"/>
      <c r="AC113" s="18"/>
      <c r="AD113" s="18"/>
      <c r="AE113" s="18"/>
      <c r="AF113" s="18"/>
      <c r="AG113" s="18"/>
      <c r="AH113" s="1265" t="s">
        <v>2929</v>
      </c>
    </row>
    <row r="114" spans="1:34" ht="18" customHeight="1">
      <c r="A114" s="47" t="s">
        <v>504</v>
      </c>
      <c r="B114" s="2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22"/>
      <c r="Y114" s="37"/>
      <c r="Z114" s="37"/>
      <c r="AA114" s="38"/>
      <c r="AB114" s="38"/>
      <c r="AC114" s="38"/>
      <c r="AD114" s="23" t="s">
        <v>2270</v>
      </c>
      <c r="AE114" s="38"/>
      <c r="AF114" s="39"/>
      <c r="AG114" s="38"/>
      <c r="AH114" s="38"/>
    </row>
    <row r="115" spans="1:34" ht="15" customHeight="1">
      <c r="A115" s="1966" t="s">
        <v>2271</v>
      </c>
      <c r="B115" s="1966"/>
      <c r="C115" s="1967" t="s">
        <v>2272</v>
      </c>
      <c r="D115" s="1968"/>
      <c r="E115" s="1968"/>
      <c r="F115" s="1968"/>
      <c r="G115" s="1968"/>
      <c r="H115" s="1968"/>
      <c r="I115" s="1968"/>
      <c r="J115" s="1968"/>
      <c r="K115" s="1968"/>
      <c r="L115" s="1968"/>
      <c r="M115" s="1968"/>
      <c r="N115" s="1968"/>
      <c r="O115" s="1968"/>
      <c r="P115" s="1968"/>
      <c r="Q115" s="1968"/>
      <c r="R115" s="1968"/>
      <c r="S115" s="1968"/>
      <c r="T115" s="1968"/>
      <c r="U115" s="1968"/>
      <c r="V115" s="1968"/>
      <c r="W115" s="1969"/>
      <c r="X115" s="1973" t="s">
        <v>2273</v>
      </c>
      <c r="Y115" s="1974"/>
      <c r="Z115" s="1975"/>
      <c r="AA115" s="1939" t="s">
        <v>281</v>
      </c>
      <c r="AB115" s="1939"/>
      <c r="AC115" s="1939"/>
      <c r="AD115" s="1939"/>
      <c r="AE115" s="1939"/>
      <c r="AF115" s="1939"/>
      <c r="AG115" s="1939"/>
      <c r="AH115" s="1939"/>
    </row>
    <row r="116" spans="1:34" ht="15" customHeight="1">
      <c r="A116" s="1658" t="s">
        <v>1492</v>
      </c>
      <c r="B116" s="1658"/>
      <c r="C116" s="1970"/>
      <c r="D116" s="1971"/>
      <c r="E116" s="1971"/>
      <c r="F116" s="1971"/>
      <c r="G116" s="1971"/>
      <c r="H116" s="1971"/>
      <c r="I116" s="1971"/>
      <c r="J116" s="1971"/>
      <c r="K116" s="1971"/>
      <c r="L116" s="1971"/>
      <c r="M116" s="1971"/>
      <c r="N116" s="1971"/>
      <c r="O116" s="1971"/>
      <c r="P116" s="1971"/>
      <c r="Q116" s="1971"/>
      <c r="R116" s="1971"/>
      <c r="S116" s="1971"/>
      <c r="T116" s="1971"/>
      <c r="U116" s="1971"/>
      <c r="V116" s="1971"/>
      <c r="W116" s="1972"/>
      <c r="X116" s="1976"/>
      <c r="Y116" s="1977"/>
      <c r="Z116" s="1978"/>
      <c r="AA116" s="1939" t="str">
        <f>ObracunDoDatuma&amp;" "&amp;ObracunGodina-1</f>
        <v>31.12. 2010</v>
      </c>
      <c r="AB116" s="1939"/>
      <c r="AC116" s="1939"/>
      <c r="AD116" s="1939"/>
      <c r="AE116" s="1939" t="str">
        <f>ObracunDoDatuma&amp;" "&amp;ObracunGodina</f>
        <v>31.12. 2011</v>
      </c>
      <c r="AF116" s="1939"/>
      <c r="AG116" s="1939"/>
      <c r="AH116" s="1939"/>
    </row>
    <row r="117" spans="1:34" ht="12.75" customHeight="1">
      <c r="A117" s="1628" t="s">
        <v>522</v>
      </c>
      <c r="B117" s="1628"/>
      <c r="C117" s="1939">
        <v>2</v>
      </c>
      <c r="D117" s="1939"/>
      <c r="E117" s="1939"/>
      <c r="F117" s="1939"/>
      <c r="G117" s="1939"/>
      <c r="H117" s="1939"/>
      <c r="I117" s="1939"/>
      <c r="J117" s="1939"/>
      <c r="K117" s="1939"/>
      <c r="L117" s="1939"/>
      <c r="M117" s="1939"/>
      <c r="N117" s="1939"/>
      <c r="O117" s="1939"/>
      <c r="P117" s="1939"/>
      <c r="Q117" s="1939"/>
      <c r="R117" s="1939"/>
      <c r="S117" s="1939"/>
      <c r="T117" s="1939"/>
      <c r="U117" s="1939"/>
      <c r="V117" s="1939"/>
      <c r="W117" s="1939"/>
      <c r="X117" s="1628" t="s">
        <v>329</v>
      </c>
      <c r="Y117" s="1628"/>
      <c r="Z117" s="1628"/>
      <c r="AA117" s="1939">
        <v>4</v>
      </c>
      <c r="AB117" s="1939"/>
      <c r="AC117" s="1939"/>
      <c r="AD117" s="1939"/>
      <c r="AE117" s="1939">
        <v>5</v>
      </c>
      <c r="AF117" s="1939"/>
      <c r="AG117" s="1939"/>
      <c r="AH117" s="1939"/>
    </row>
    <row r="118" spans="1:34" ht="18" customHeight="1">
      <c r="A118" s="1628" t="s">
        <v>673</v>
      </c>
      <c r="B118" s="1628"/>
      <c r="C118" s="1943" t="s">
        <v>506</v>
      </c>
      <c r="D118" s="1943"/>
      <c r="E118" s="1943"/>
      <c r="F118" s="1943"/>
      <c r="G118" s="1943"/>
      <c r="H118" s="1943"/>
      <c r="I118" s="1943"/>
      <c r="J118" s="1943"/>
      <c r="K118" s="1943"/>
      <c r="L118" s="1943"/>
      <c r="M118" s="1943"/>
      <c r="N118" s="1943"/>
      <c r="O118" s="1943"/>
      <c r="P118" s="1943"/>
      <c r="Q118" s="1943"/>
      <c r="R118" s="1943"/>
      <c r="S118" s="1943"/>
      <c r="T118" s="1943"/>
      <c r="U118" s="1943"/>
      <c r="V118" s="1943"/>
      <c r="W118" s="1943"/>
      <c r="X118" s="1944" t="s">
        <v>1095</v>
      </c>
      <c r="Y118" s="1944"/>
      <c r="Z118" s="1944"/>
      <c r="AA118" s="1936">
        <f>'bilans-stanja'!AU66</f>
        <v>0</v>
      </c>
      <c r="AB118" s="1936"/>
      <c r="AC118" s="1936"/>
      <c r="AD118" s="1936"/>
      <c r="AE118" s="1936">
        <f>'bilans-stanja'!AN66</f>
        <v>0</v>
      </c>
      <c r="AF118" s="1936"/>
      <c r="AG118" s="1936"/>
      <c r="AH118" s="1936"/>
    </row>
    <row r="119" spans="1:34" ht="18" customHeight="1">
      <c r="A119" s="1628" t="s">
        <v>674</v>
      </c>
      <c r="B119" s="1628"/>
      <c r="C119" s="1943" t="s">
        <v>507</v>
      </c>
      <c r="D119" s="1943"/>
      <c r="E119" s="1943"/>
      <c r="F119" s="1943"/>
      <c r="G119" s="1943"/>
      <c r="H119" s="1943"/>
      <c r="I119" s="1943"/>
      <c r="J119" s="1943"/>
      <c r="K119" s="1943"/>
      <c r="L119" s="1943"/>
      <c r="M119" s="1943"/>
      <c r="N119" s="1943"/>
      <c r="O119" s="1943"/>
      <c r="P119" s="1943"/>
      <c r="Q119" s="1943"/>
      <c r="R119" s="1943"/>
      <c r="S119" s="1943"/>
      <c r="T119" s="1943"/>
      <c r="U119" s="1943"/>
      <c r="V119" s="1943"/>
      <c r="W119" s="1943"/>
      <c r="X119" s="1950" t="s">
        <v>439</v>
      </c>
      <c r="Y119" s="1950"/>
      <c r="Z119" s="1950"/>
      <c r="AA119" s="1936">
        <f>'bilans-stanja'!AU67</f>
        <v>0</v>
      </c>
      <c r="AB119" s="1936"/>
      <c r="AC119" s="1936"/>
      <c r="AD119" s="1936"/>
      <c r="AE119" s="1936">
        <f>'bilans-stanja'!AN67</f>
        <v>0</v>
      </c>
      <c r="AF119" s="1936"/>
      <c r="AG119" s="1936"/>
      <c r="AH119" s="1936"/>
    </row>
    <row r="120" spans="1:34" ht="18" customHeight="1">
      <c r="A120" s="1628" t="s">
        <v>675</v>
      </c>
      <c r="B120" s="1628"/>
      <c r="C120" s="1943" t="s">
        <v>2583</v>
      </c>
      <c r="D120" s="1943"/>
      <c r="E120" s="1943"/>
      <c r="F120" s="1943"/>
      <c r="G120" s="1943"/>
      <c r="H120" s="1943"/>
      <c r="I120" s="1943"/>
      <c r="J120" s="1943"/>
      <c r="K120" s="1943"/>
      <c r="L120" s="1943"/>
      <c r="M120" s="1943"/>
      <c r="N120" s="1943"/>
      <c r="O120" s="1943"/>
      <c r="P120" s="1943"/>
      <c r="Q120" s="1943"/>
      <c r="R120" s="1943"/>
      <c r="S120" s="1943"/>
      <c r="T120" s="1943"/>
      <c r="U120" s="1943"/>
      <c r="V120" s="1943"/>
      <c r="W120" s="1943"/>
      <c r="X120" s="1950" t="s">
        <v>440</v>
      </c>
      <c r="Y120" s="1950"/>
      <c r="Z120" s="1950"/>
      <c r="AA120" s="1936">
        <f>'bilans-stanja'!AU68</f>
        <v>0</v>
      </c>
      <c r="AB120" s="1936"/>
      <c r="AC120" s="1936"/>
      <c r="AD120" s="1936"/>
      <c r="AE120" s="1936">
        <f>'bilans-stanja'!AN68</f>
        <v>0</v>
      </c>
      <c r="AF120" s="1936"/>
      <c r="AG120" s="1936"/>
      <c r="AH120" s="1936"/>
    </row>
    <row r="121" spans="1:34" ht="18" customHeight="1">
      <c r="A121" s="1628" t="s">
        <v>676</v>
      </c>
      <c r="B121" s="1628"/>
      <c r="C121" s="1943" t="s">
        <v>508</v>
      </c>
      <c r="D121" s="1943"/>
      <c r="E121" s="1943"/>
      <c r="F121" s="1943"/>
      <c r="G121" s="1943"/>
      <c r="H121" s="1943"/>
      <c r="I121" s="1943"/>
      <c r="J121" s="1943"/>
      <c r="K121" s="1943"/>
      <c r="L121" s="1943"/>
      <c r="M121" s="1943"/>
      <c r="N121" s="1943"/>
      <c r="O121" s="1943"/>
      <c r="P121" s="1943"/>
      <c r="Q121" s="1943"/>
      <c r="R121" s="1943"/>
      <c r="S121" s="1943"/>
      <c r="T121" s="1943"/>
      <c r="U121" s="1943"/>
      <c r="V121" s="1943"/>
      <c r="W121" s="1943"/>
      <c r="X121" s="1944" t="s">
        <v>1096</v>
      </c>
      <c r="Y121" s="1944"/>
      <c r="Z121" s="1944"/>
      <c r="AA121" s="1936">
        <f>'bilans-stanja'!AU69</f>
        <v>0</v>
      </c>
      <c r="AB121" s="1936"/>
      <c r="AC121" s="1936"/>
      <c r="AD121" s="1936"/>
      <c r="AE121" s="1936">
        <f>'bilans-stanja'!AN69</f>
        <v>0</v>
      </c>
      <c r="AF121" s="1936"/>
      <c r="AG121" s="1936"/>
      <c r="AH121" s="1936"/>
    </row>
    <row r="122" spans="1:34" ht="18" customHeight="1">
      <c r="A122" s="1628" t="s">
        <v>677</v>
      </c>
      <c r="B122" s="1628"/>
      <c r="C122" s="1943" t="s">
        <v>2930</v>
      </c>
      <c r="D122" s="1943"/>
      <c r="E122" s="1943"/>
      <c r="F122" s="1943"/>
      <c r="G122" s="1943"/>
      <c r="H122" s="1943"/>
      <c r="I122" s="1943"/>
      <c r="J122" s="1943"/>
      <c r="K122" s="1943"/>
      <c r="L122" s="1943"/>
      <c r="M122" s="1943"/>
      <c r="N122" s="1943"/>
      <c r="O122" s="1943"/>
      <c r="P122" s="1943"/>
      <c r="Q122" s="1943"/>
      <c r="R122" s="1943"/>
      <c r="S122" s="1943"/>
      <c r="T122" s="1943"/>
      <c r="U122" s="1943"/>
      <c r="V122" s="1943"/>
      <c r="W122" s="1943"/>
      <c r="X122" s="1944" t="s">
        <v>1097</v>
      </c>
      <c r="Y122" s="1944"/>
      <c r="Z122" s="1944"/>
      <c r="AA122" s="1936">
        <f>'bilans-stanja'!AU70</f>
        <v>0</v>
      </c>
      <c r="AB122" s="1936"/>
      <c r="AC122" s="1936"/>
      <c r="AD122" s="1936"/>
      <c r="AE122" s="1936">
        <f>'bilans-stanja'!AN70</f>
        <v>0</v>
      </c>
      <c r="AF122" s="1936"/>
      <c r="AG122" s="1936"/>
      <c r="AH122" s="1936"/>
    </row>
    <row r="123" spans="1:34">
      <c r="A123" s="37"/>
      <c r="B123" s="37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37"/>
      <c r="Y123" s="37"/>
      <c r="Z123" s="37"/>
      <c r="AA123" s="38"/>
      <c r="AB123" s="38"/>
      <c r="AC123" s="38"/>
      <c r="AD123" s="38"/>
      <c r="AE123" s="38"/>
      <c r="AF123" s="38"/>
      <c r="AG123" s="38"/>
      <c r="AH123" s="38"/>
    </row>
    <row r="124" spans="1:34" ht="14.25">
      <c r="A124" s="47" t="s">
        <v>446</v>
      </c>
      <c r="B124" s="2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48"/>
      <c r="X124" s="37"/>
      <c r="Y124" s="37"/>
      <c r="Z124" s="37"/>
      <c r="AA124" s="38"/>
      <c r="AB124" s="38"/>
      <c r="AC124" s="38"/>
      <c r="AD124" s="38"/>
      <c r="AE124" s="38"/>
      <c r="AF124" s="38"/>
      <c r="AG124" s="38"/>
      <c r="AH124" s="38"/>
    </row>
    <row r="125" spans="1:34" s="42" customFormat="1" ht="15">
      <c r="A125" s="1954" t="s">
        <v>2271</v>
      </c>
      <c r="B125" s="1954"/>
      <c r="C125" s="1955" t="s">
        <v>2272</v>
      </c>
      <c r="D125" s="1955"/>
      <c r="E125" s="1955"/>
      <c r="F125" s="1955"/>
      <c r="G125" s="1955"/>
      <c r="H125" s="1955"/>
      <c r="I125" s="1955"/>
      <c r="J125" s="1955"/>
      <c r="K125" s="1955"/>
      <c r="L125" s="1955"/>
      <c r="M125" s="1955"/>
      <c r="N125" s="1955"/>
      <c r="O125" s="1955"/>
      <c r="P125" s="1955"/>
      <c r="Q125" s="1955"/>
      <c r="R125" s="1955"/>
      <c r="S125" s="1955"/>
      <c r="T125" s="1955"/>
      <c r="U125" s="1955"/>
      <c r="V125" s="1955"/>
      <c r="W125" s="1955"/>
      <c r="X125" s="1955" t="s">
        <v>2273</v>
      </c>
      <c r="Y125" s="1955"/>
      <c r="Z125" s="1955"/>
      <c r="AA125" s="1955" t="s">
        <v>1491</v>
      </c>
      <c r="AB125" s="1955"/>
      <c r="AC125" s="1955"/>
      <c r="AD125" s="1955"/>
      <c r="AE125" s="1955"/>
      <c r="AF125" s="1955"/>
      <c r="AG125" s="1955"/>
      <c r="AH125" s="1955"/>
    </row>
    <row r="126" spans="1:34" ht="12.75" customHeight="1">
      <c r="A126" s="1956" t="s">
        <v>1492</v>
      </c>
      <c r="B126" s="1956"/>
      <c r="C126" s="1955"/>
      <c r="D126" s="1955"/>
      <c r="E126" s="1955"/>
      <c r="F126" s="1955"/>
      <c r="G126" s="1955"/>
      <c r="H126" s="1955"/>
      <c r="I126" s="1955"/>
      <c r="J126" s="1955"/>
      <c r="K126" s="1955"/>
      <c r="L126" s="1955"/>
      <c r="M126" s="1955"/>
      <c r="N126" s="1955"/>
      <c r="O126" s="1955"/>
      <c r="P126" s="1955"/>
      <c r="Q126" s="1955"/>
      <c r="R126" s="1955"/>
      <c r="S126" s="1955"/>
      <c r="T126" s="1955"/>
      <c r="U126" s="1955"/>
      <c r="V126" s="1955"/>
      <c r="W126" s="1955"/>
      <c r="X126" s="1955"/>
      <c r="Y126" s="1955"/>
      <c r="Z126" s="1955"/>
      <c r="AA126" s="1955"/>
      <c r="AB126" s="1955"/>
      <c r="AC126" s="1955"/>
      <c r="AD126" s="1955"/>
      <c r="AE126" s="1955"/>
      <c r="AF126" s="1955"/>
      <c r="AG126" s="1955"/>
      <c r="AH126" s="1955"/>
    </row>
    <row r="127" spans="1:34">
      <c r="A127" s="1628" t="s">
        <v>522</v>
      </c>
      <c r="B127" s="1628"/>
      <c r="C127" s="1939">
        <v>2</v>
      </c>
      <c r="D127" s="1939"/>
      <c r="E127" s="1939"/>
      <c r="F127" s="1939"/>
      <c r="G127" s="1939"/>
      <c r="H127" s="1939"/>
      <c r="I127" s="1939"/>
      <c r="J127" s="1939"/>
      <c r="K127" s="1939"/>
      <c r="L127" s="1939"/>
      <c r="M127" s="1939"/>
      <c r="N127" s="1939"/>
      <c r="O127" s="1939"/>
      <c r="P127" s="1939"/>
      <c r="Q127" s="1939"/>
      <c r="R127" s="1939"/>
      <c r="S127" s="1939"/>
      <c r="T127" s="1939"/>
      <c r="U127" s="1939"/>
      <c r="V127" s="1939"/>
      <c r="W127" s="1939"/>
      <c r="X127" s="1628" t="s">
        <v>329</v>
      </c>
      <c r="Y127" s="1628"/>
      <c r="Z127" s="1628"/>
      <c r="AA127" s="1939">
        <v>4</v>
      </c>
      <c r="AB127" s="1939"/>
      <c r="AC127" s="1939"/>
      <c r="AD127" s="1939"/>
      <c r="AE127" s="1939"/>
      <c r="AF127" s="1939"/>
      <c r="AG127" s="1939"/>
      <c r="AH127" s="1939"/>
    </row>
    <row r="128" spans="1:34" ht="18" customHeight="1">
      <c r="A128" s="1628" t="s">
        <v>673</v>
      </c>
      <c r="B128" s="1628"/>
      <c r="C128" s="1943" t="s">
        <v>2931</v>
      </c>
      <c r="D128" s="1943"/>
      <c r="E128" s="1943"/>
      <c r="F128" s="1943"/>
      <c r="G128" s="1943"/>
      <c r="H128" s="1943"/>
      <c r="I128" s="1943"/>
      <c r="J128" s="1943"/>
      <c r="K128" s="1943"/>
      <c r="L128" s="1943"/>
      <c r="M128" s="1943"/>
      <c r="N128" s="1943"/>
      <c r="O128" s="1943"/>
      <c r="P128" s="1943"/>
      <c r="Q128" s="1943"/>
      <c r="R128" s="1943"/>
      <c r="S128" s="1943"/>
      <c r="T128" s="1943"/>
      <c r="U128" s="1943"/>
      <c r="V128" s="1943"/>
      <c r="W128" s="1943"/>
      <c r="X128" s="1628" t="s">
        <v>2831</v>
      </c>
      <c r="Y128" s="1628"/>
      <c r="Z128" s="1628"/>
      <c r="AA128" s="1933">
        <f>UNOS1!G87</f>
        <v>0</v>
      </c>
      <c r="AB128" s="1933"/>
      <c r="AC128" s="1933"/>
      <c r="AD128" s="1933"/>
      <c r="AE128" s="1933"/>
      <c r="AF128" s="1933"/>
      <c r="AG128" s="1933"/>
      <c r="AH128" s="1933"/>
    </row>
    <row r="129" spans="1:34" ht="18" customHeight="1">
      <c r="A129" s="1628" t="s">
        <v>674</v>
      </c>
      <c r="B129" s="1628"/>
      <c r="C129" s="1943" t="s">
        <v>2932</v>
      </c>
      <c r="D129" s="1943"/>
      <c r="E129" s="1943"/>
      <c r="F129" s="1943"/>
      <c r="G129" s="1943"/>
      <c r="H129" s="1943"/>
      <c r="I129" s="1943"/>
      <c r="J129" s="1943"/>
      <c r="K129" s="1943"/>
      <c r="L129" s="1943"/>
      <c r="M129" s="1943"/>
      <c r="N129" s="1943"/>
      <c r="O129" s="1943"/>
      <c r="P129" s="1943"/>
      <c r="Q129" s="1943"/>
      <c r="R129" s="1943"/>
      <c r="S129" s="1943"/>
      <c r="T129" s="1943"/>
      <c r="U129" s="1943"/>
      <c r="V129" s="1943"/>
      <c r="W129" s="1943"/>
      <c r="X129" s="1628" t="s">
        <v>2832</v>
      </c>
      <c r="Y129" s="1628"/>
      <c r="Z129" s="1628"/>
      <c r="AA129" s="1933">
        <f>UNOS1!G90</f>
        <v>0</v>
      </c>
      <c r="AB129" s="1933"/>
      <c r="AC129" s="1933"/>
      <c r="AD129" s="1933"/>
      <c r="AE129" s="1933"/>
      <c r="AF129" s="1933"/>
      <c r="AG129" s="1933"/>
      <c r="AH129" s="1933"/>
    </row>
    <row r="130" spans="1:34" ht="18" customHeight="1">
      <c r="A130" s="1628" t="s">
        <v>675</v>
      </c>
      <c r="B130" s="1628"/>
      <c r="C130" s="1943" t="s">
        <v>856</v>
      </c>
      <c r="D130" s="1943"/>
      <c r="E130" s="1943"/>
      <c r="F130" s="1943"/>
      <c r="G130" s="1943"/>
      <c r="H130" s="1943"/>
      <c r="I130" s="1943"/>
      <c r="J130" s="1943"/>
      <c r="K130" s="1943"/>
      <c r="L130" s="1943"/>
      <c r="M130" s="1943"/>
      <c r="N130" s="1943"/>
      <c r="O130" s="1943"/>
      <c r="P130" s="1943"/>
      <c r="Q130" s="1943"/>
      <c r="R130" s="1943"/>
      <c r="S130" s="1943"/>
      <c r="T130" s="1943"/>
      <c r="U130" s="1943"/>
      <c r="V130" s="1943"/>
      <c r="W130" s="1943"/>
      <c r="X130" s="1628" t="s">
        <v>2401</v>
      </c>
      <c r="Y130" s="1628"/>
      <c r="Z130" s="1628"/>
      <c r="AA130" s="1933">
        <f>UNOS1!G93</f>
        <v>0</v>
      </c>
      <c r="AB130" s="1933"/>
      <c r="AC130" s="1933"/>
      <c r="AD130" s="1933"/>
      <c r="AE130" s="1933"/>
      <c r="AF130" s="1933"/>
      <c r="AG130" s="1933"/>
      <c r="AH130" s="1933"/>
    </row>
    <row r="131" spans="1:34" ht="18" customHeight="1">
      <c r="A131" s="1628" t="s">
        <v>676</v>
      </c>
      <c r="B131" s="1628"/>
      <c r="C131" s="1943" t="s">
        <v>2125</v>
      </c>
      <c r="D131" s="1943"/>
      <c r="E131" s="1943"/>
      <c r="F131" s="1943"/>
      <c r="G131" s="1943"/>
      <c r="H131" s="1943"/>
      <c r="I131" s="1943"/>
      <c r="J131" s="1943"/>
      <c r="K131" s="1943"/>
      <c r="L131" s="1943"/>
      <c r="M131" s="1943"/>
      <c r="N131" s="1943"/>
      <c r="O131" s="1943"/>
      <c r="P131" s="1943"/>
      <c r="Q131" s="1943"/>
      <c r="R131" s="1943"/>
      <c r="S131" s="1943"/>
      <c r="T131" s="1943"/>
      <c r="U131" s="1943"/>
      <c r="V131" s="1943"/>
      <c r="W131" s="1943"/>
      <c r="X131" s="1628" t="s">
        <v>854</v>
      </c>
      <c r="Y131" s="1628"/>
      <c r="Z131" s="1628"/>
      <c r="AA131" s="1933">
        <f>UNOS1!G95</f>
        <v>0</v>
      </c>
      <c r="AB131" s="1933"/>
      <c r="AC131" s="1933"/>
      <c r="AD131" s="1933"/>
      <c r="AE131" s="1933"/>
      <c r="AF131" s="1933"/>
      <c r="AG131" s="1933"/>
      <c r="AH131" s="1933"/>
    </row>
    <row r="132" spans="1:34" ht="18" customHeight="1">
      <c r="A132" s="1628" t="s">
        <v>677</v>
      </c>
      <c r="B132" s="1628"/>
      <c r="C132" s="1943" t="s">
        <v>336</v>
      </c>
      <c r="D132" s="1943"/>
      <c r="E132" s="1943"/>
      <c r="F132" s="1943"/>
      <c r="G132" s="1943"/>
      <c r="H132" s="1943"/>
      <c r="I132" s="1943"/>
      <c r="J132" s="1943"/>
      <c r="K132" s="1943"/>
      <c r="L132" s="1943"/>
      <c r="M132" s="1943"/>
      <c r="N132" s="1943"/>
      <c r="O132" s="1943"/>
      <c r="P132" s="1943"/>
      <c r="Q132" s="1943"/>
      <c r="R132" s="1943"/>
      <c r="S132" s="1943"/>
      <c r="T132" s="1943"/>
      <c r="U132" s="1943"/>
      <c r="V132" s="1943"/>
      <c r="W132" s="1943"/>
      <c r="X132" s="1628" t="s">
        <v>855</v>
      </c>
      <c r="Y132" s="1628"/>
      <c r="Z132" s="1628"/>
      <c r="AA132" s="1933">
        <f>UNOS1!G97</f>
        <v>0</v>
      </c>
      <c r="AB132" s="1933"/>
      <c r="AC132" s="1933"/>
      <c r="AD132" s="1933"/>
      <c r="AE132" s="1933"/>
      <c r="AF132" s="1933"/>
      <c r="AG132" s="1933"/>
      <c r="AH132" s="1933"/>
    </row>
    <row r="133" spans="1:34" ht="9.75" customHeight="1">
      <c r="A133" s="37"/>
      <c r="B133" s="37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37"/>
      <c r="Y133" s="37"/>
      <c r="Z133" s="37"/>
      <c r="AA133" s="38"/>
      <c r="AB133" s="38"/>
      <c r="AC133" s="38"/>
      <c r="AD133" s="38"/>
      <c r="AE133" s="38"/>
      <c r="AF133" s="38"/>
      <c r="AG133" s="38"/>
      <c r="AH133" s="38"/>
    </row>
    <row r="134" spans="1:34" ht="18" customHeight="1">
      <c r="A134" s="1628" t="s">
        <v>678</v>
      </c>
      <c r="B134" s="1628"/>
      <c r="C134" s="1943" t="s">
        <v>289</v>
      </c>
      <c r="D134" s="1943"/>
      <c r="E134" s="1943"/>
      <c r="F134" s="1943"/>
      <c r="G134" s="1943"/>
      <c r="H134" s="1943"/>
      <c r="I134" s="1943"/>
      <c r="J134" s="1943"/>
      <c r="K134" s="1943"/>
      <c r="L134" s="1943"/>
      <c r="M134" s="1943"/>
      <c r="N134" s="1943"/>
      <c r="O134" s="1943"/>
      <c r="P134" s="1943"/>
      <c r="Q134" s="1943"/>
      <c r="R134" s="1943"/>
      <c r="S134" s="1943"/>
      <c r="T134" s="1943"/>
      <c r="U134" s="1943"/>
      <c r="V134" s="1943"/>
      <c r="W134" s="1943"/>
      <c r="X134" s="1953">
        <f>unos!G161</f>
        <v>0</v>
      </c>
      <c r="Y134" s="1953"/>
      <c r="Z134" s="1953"/>
      <c r="AA134" s="38"/>
      <c r="AB134" s="38"/>
      <c r="AC134" s="38"/>
      <c r="AD134" s="38"/>
      <c r="AE134" s="38"/>
      <c r="AF134" s="38"/>
      <c r="AG134" s="38"/>
      <c r="AH134" s="38"/>
    </row>
    <row r="135" spans="1:34" ht="18" customHeight="1">
      <c r="A135" s="1628" t="s">
        <v>679</v>
      </c>
      <c r="B135" s="1628"/>
      <c r="C135" s="1943" t="s">
        <v>290</v>
      </c>
      <c r="D135" s="1943"/>
      <c r="E135" s="1943"/>
      <c r="F135" s="1943"/>
      <c r="G135" s="1943"/>
      <c r="H135" s="1943"/>
      <c r="I135" s="1943"/>
      <c r="J135" s="1943"/>
      <c r="K135" s="1943"/>
      <c r="L135" s="1943"/>
      <c r="M135" s="1943"/>
      <c r="N135" s="1943"/>
      <c r="O135" s="1943"/>
      <c r="P135" s="1943"/>
      <c r="Q135" s="1943"/>
      <c r="R135" s="1943"/>
      <c r="S135" s="1943"/>
      <c r="T135" s="1943"/>
      <c r="U135" s="1943"/>
      <c r="V135" s="1943"/>
      <c r="W135" s="1943"/>
      <c r="X135" s="1953">
        <f>unos!G162</f>
        <v>0</v>
      </c>
      <c r="Y135" s="1953"/>
      <c r="Z135" s="1953"/>
      <c r="AA135" s="38"/>
      <c r="AB135" s="38"/>
      <c r="AC135" s="38"/>
      <c r="AD135" s="38"/>
      <c r="AE135" s="38"/>
      <c r="AF135" s="38"/>
      <c r="AG135" s="38"/>
      <c r="AH135" s="38"/>
    </row>
    <row r="136" spans="1:34">
      <c r="A136" s="37"/>
      <c r="B136" s="37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37"/>
      <c r="Y136" s="37"/>
      <c r="Z136" s="37"/>
      <c r="AA136" s="38"/>
      <c r="AB136" s="38"/>
      <c r="AC136" s="38"/>
      <c r="AD136" s="38"/>
      <c r="AE136" s="38"/>
      <c r="AF136" s="38"/>
      <c r="AG136" s="38"/>
      <c r="AH136" s="38"/>
    </row>
    <row r="137" spans="1:34" s="23" customFormat="1">
      <c r="A137" s="43" t="s">
        <v>283</v>
      </c>
      <c r="B137" s="22" t="s">
        <v>2936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43"/>
      <c r="Y137" s="43"/>
      <c r="Z137" s="43"/>
      <c r="AA137" s="18"/>
      <c r="AB137" s="18"/>
      <c r="AC137" s="18"/>
      <c r="AD137" s="18"/>
      <c r="AE137" s="18"/>
      <c r="AF137" s="18"/>
      <c r="AG137" s="18"/>
      <c r="AH137" s="18"/>
    </row>
    <row r="138" spans="1:34" s="23" customFormat="1" ht="4.5" customHeight="1"/>
    <row r="139" spans="1:34">
      <c r="A139" s="2" t="s">
        <v>1807</v>
      </c>
      <c r="B139" s="2" t="s">
        <v>2937</v>
      </c>
      <c r="C139" s="391"/>
      <c r="D139" s="391"/>
      <c r="E139" s="391"/>
      <c r="F139" s="391"/>
      <c r="G139" s="391"/>
      <c r="H139" s="391"/>
    </row>
    <row r="140" spans="1:34">
      <c r="A140" s="2" t="s">
        <v>284</v>
      </c>
      <c r="B140" s="2" t="s">
        <v>2625</v>
      </c>
      <c r="C140" s="391"/>
      <c r="D140" s="391"/>
      <c r="E140" s="391"/>
      <c r="F140" s="391"/>
      <c r="G140" s="391"/>
      <c r="H140" s="391"/>
    </row>
    <row r="141" spans="1:34">
      <c r="B141" s="2" t="s">
        <v>2626</v>
      </c>
      <c r="C141" s="391"/>
      <c r="D141" s="391"/>
      <c r="E141" s="391"/>
      <c r="F141" s="391"/>
      <c r="G141" s="391"/>
      <c r="H141" s="391"/>
    </row>
    <row r="142" spans="1:34">
      <c r="A142" s="2" t="s">
        <v>1476</v>
      </c>
      <c r="B142" s="2" t="s">
        <v>2629</v>
      </c>
      <c r="C142" s="391"/>
      <c r="D142" s="391"/>
      <c r="E142" s="391"/>
      <c r="F142" s="391"/>
      <c r="G142" s="391"/>
      <c r="H142" s="391"/>
    </row>
    <row r="143" spans="1:34">
      <c r="B143" s="2" t="s">
        <v>2630</v>
      </c>
      <c r="C143" s="391"/>
      <c r="D143" s="391"/>
      <c r="E143" s="391"/>
      <c r="F143" s="391"/>
      <c r="G143" s="391"/>
      <c r="H143" s="391"/>
    </row>
    <row r="144" spans="1:34" ht="6.75" customHeight="1">
      <c r="C144" s="391"/>
      <c r="D144" s="391"/>
      <c r="E144" s="391"/>
      <c r="F144" s="391"/>
      <c r="G144" s="391"/>
      <c r="H144" s="391"/>
    </row>
    <row r="145" spans="1:1">
      <c r="A145" s="49" t="s">
        <v>2304</v>
      </c>
    </row>
    <row r="146" spans="1:1" ht="4.5" customHeight="1"/>
    <row r="147" spans="1:1">
      <c r="A147" s="2" t="s">
        <v>167</v>
      </c>
    </row>
    <row r="148" spans="1:1">
      <c r="A148" s="2" t="s">
        <v>2230</v>
      </c>
    </row>
    <row r="149" spans="1:1">
      <c r="A149" s="2" t="s">
        <v>2636</v>
      </c>
    </row>
    <row r="150" spans="1:1">
      <c r="A150" s="2" t="s">
        <v>1093</v>
      </c>
    </row>
    <row r="151" spans="1:1">
      <c r="A151" s="2" t="s">
        <v>1094</v>
      </c>
    </row>
    <row r="152" spans="1:1">
      <c r="A152" s="2" t="s">
        <v>242</v>
      </c>
    </row>
    <row r="153" spans="1:1" ht="7.5" customHeight="1"/>
    <row r="154" spans="1:1">
      <c r="A154" s="49" t="s">
        <v>243</v>
      </c>
    </row>
    <row r="155" spans="1:1" ht="6.75" customHeight="1"/>
    <row r="156" spans="1:1">
      <c r="A156" s="2" t="s">
        <v>166</v>
      </c>
    </row>
    <row r="157" spans="1:1">
      <c r="A157" s="2" t="s">
        <v>2941</v>
      </c>
    </row>
    <row r="158" spans="1:1">
      <c r="A158" s="308" t="s">
        <v>2938</v>
      </c>
    </row>
    <row r="159" spans="1:1">
      <c r="A159" s="308" t="s">
        <v>2939</v>
      </c>
    </row>
    <row r="160" spans="1:1">
      <c r="A160" s="308" t="s">
        <v>2940</v>
      </c>
    </row>
    <row r="161" spans="1:34">
      <c r="A161" s="2" t="s">
        <v>2942</v>
      </c>
    </row>
    <row r="162" spans="1:34">
      <c r="A162" s="2" t="s">
        <v>470</v>
      </c>
    </row>
    <row r="163" spans="1:34">
      <c r="A163" s="2" t="s">
        <v>2298</v>
      </c>
    </row>
    <row r="164" spans="1:34">
      <c r="A164" s="2" t="s">
        <v>2299</v>
      </c>
    </row>
    <row r="165" spans="1:34" ht="6.75" customHeight="1"/>
    <row r="166" spans="1:34">
      <c r="A166" s="2" t="s">
        <v>2300</v>
      </c>
    </row>
    <row r="167" spans="1:34" ht="6" customHeight="1"/>
    <row r="169" spans="1:34">
      <c r="A169" s="2013">
        <f t="shared" ref="A169:I169" si="0">RacunovodjaIme</f>
        <v>0</v>
      </c>
      <c r="B169" s="2013">
        <f t="shared" si="0"/>
        <v>0</v>
      </c>
      <c r="C169" s="2013">
        <f t="shared" si="0"/>
        <v>0</v>
      </c>
      <c r="D169" s="2013">
        <f t="shared" si="0"/>
        <v>0</v>
      </c>
      <c r="E169" s="2013">
        <f t="shared" si="0"/>
        <v>0</v>
      </c>
      <c r="F169" s="2013">
        <f t="shared" si="0"/>
        <v>0</v>
      </c>
      <c r="G169" s="2013">
        <f t="shared" si="0"/>
        <v>0</v>
      </c>
      <c r="H169" s="2013">
        <f t="shared" si="0"/>
        <v>0</v>
      </c>
      <c r="I169" s="2013">
        <f t="shared" si="0"/>
        <v>0</v>
      </c>
      <c r="Z169" s="2015">
        <f t="shared" ref="Z169:AF169" si="1">FirmaDirekor</f>
        <v>0</v>
      </c>
      <c r="AA169" s="2015">
        <f t="shared" si="1"/>
        <v>0</v>
      </c>
      <c r="AB169" s="2015">
        <f t="shared" si="1"/>
        <v>0</v>
      </c>
      <c r="AC169" s="2015">
        <f t="shared" si="1"/>
        <v>0</v>
      </c>
      <c r="AD169" s="2015">
        <f t="shared" si="1"/>
        <v>0</v>
      </c>
      <c r="AE169" s="2015">
        <f t="shared" si="1"/>
        <v>0</v>
      </c>
      <c r="AF169" s="2015">
        <f t="shared" si="1"/>
        <v>0</v>
      </c>
    </row>
    <row r="170" spans="1:34">
      <c r="A170" s="2012" t="s">
        <v>161</v>
      </c>
      <c r="B170" s="2012"/>
      <c r="C170" s="2012"/>
      <c r="D170" s="2012"/>
      <c r="E170" s="2012"/>
      <c r="F170" s="2012"/>
      <c r="G170" s="2012"/>
      <c r="H170" s="2012"/>
      <c r="I170" s="2012"/>
      <c r="N170" s="2014">
        <f>RacunovodjaTelefon</f>
        <v>0</v>
      </c>
      <c r="O170" s="2014"/>
      <c r="P170" s="2014"/>
      <c r="Q170" s="2014"/>
      <c r="R170" s="2014"/>
      <c r="S170" s="2014"/>
      <c r="Z170" s="1912" t="s">
        <v>163</v>
      </c>
      <c r="AA170" s="1912"/>
      <c r="AB170" s="1912"/>
      <c r="AC170" s="1912"/>
      <c r="AD170" s="1912"/>
      <c r="AE170" s="1912"/>
      <c r="AF170" s="1912"/>
    </row>
    <row r="171" spans="1:34">
      <c r="O171" s="2012" t="s">
        <v>162</v>
      </c>
      <c r="P171" s="2012"/>
      <c r="Q171" s="2012"/>
    </row>
    <row r="175" spans="1:34">
      <c r="AH175" s="6" t="s">
        <v>848</v>
      </c>
    </row>
  </sheetData>
  <mergeCells count="383">
    <mergeCell ref="A170:I170"/>
    <mergeCell ref="A169:I169"/>
    <mergeCell ref="N170:S170"/>
    <mergeCell ref="Z169:AF169"/>
    <mergeCell ref="O171:Q171"/>
    <mergeCell ref="Z170:AF170"/>
    <mergeCell ref="A70:B70"/>
    <mergeCell ref="C70:W70"/>
    <mergeCell ref="X70:Z70"/>
    <mergeCell ref="AA70:AH70"/>
    <mergeCell ref="A71:B71"/>
    <mergeCell ref="C71:W71"/>
    <mergeCell ref="X71:Z71"/>
    <mergeCell ref="AA71:AH71"/>
    <mergeCell ref="AA127:AH127"/>
    <mergeCell ref="A127:B127"/>
    <mergeCell ref="C127:W127"/>
    <mergeCell ref="X127:Z127"/>
    <mergeCell ref="C100:W100"/>
    <mergeCell ref="X100:Z100"/>
    <mergeCell ref="AA100:AH100"/>
    <mergeCell ref="AA104:AH104"/>
    <mergeCell ref="AA115:AH115"/>
    <mergeCell ref="A112:B112"/>
    <mergeCell ref="AA64:AH64"/>
    <mergeCell ref="X89:Z89"/>
    <mergeCell ref="X99:Z99"/>
    <mergeCell ref="AA99:AH99"/>
    <mergeCell ref="C65:W65"/>
    <mergeCell ref="X51:Z51"/>
    <mergeCell ref="A52:B52"/>
    <mergeCell ref="AA51:AH51"/>
    <mergeCell ref="X50:Z50"/>
    <mergeCell ref="X87:Z87"/>
    <mergeCell ref="X88:Z88"/>
    <mergeCell ref="X65:Z66"/>
    <mergeCell ref="AA65:AH66"/>
    <mergeCell ref="C66:W66"/>
    <mergeCell ref="A67:B67"/>
    <mergeCell ref="C67:W67"/>
    <mergeCell ref="X67:Z67"/>
    <mergeCell ref="AA67:AH67"/>
    <mergeCell ref="A65:B66"/>
    <mergeCell ref="A64:B64"/>
    <mergeCell ref="C64:W64"/>
    <mergeCell ref="X64:Z64"/>
    <mergeCell ref="A72:B72"/>
    <mergeCell ref="C72:W72"/>
    <mergeCell ref="X110:Z110"/>
    <mergeCell ref="AA111:AH111"/>
    <mergeCell ref="A6:AH6"/>
    <mergeCell ref="P7:R7"/>
    <mergeCell ref="A40:B40"/>
    <mergeCell ref="X40:Z40"/>
    <mergeCell ref="AA40:AH40"/>
    <mergeCell ref="A26:B26"/>
    <mergeCell ref="X26:Z26"/>
    <mergeCell ref="AA26:AH26"/>
    <mergeCell ref="A25:B25"/>
    <mergeCell ref="C25:W25"/>
    <mergeCell ref="X25:Z25"/>
    <mergeCell ref="AA25:AH25"/>
    <mergeCell ref="A23:B23"/>
    <mergeCell ref="AA103:AH103"/>
    <mergeCell ref="C104:W104"/>
    <mergeCell ref="X104:Z104"/>
    <mergeCell ref="AA102:AH102"/>
    <mergeCell ref="X102:Z102"/>
    <mergeCell ref="A103:B103"/>
    <mergeCell ref="C103:W103"/>
    <mergeCell ref="X103:Z103"/>
    <mergeCell ref="A100:B100"/>
    <mergeCell ref="C23:W24"/>
    <mergeCell ref="X23:Z24"/>
    <mergeCell ref="AA23:AH24"/>
    <mergeCell ref="A24:B24"/>
    <mergeCell ref="A29:B29"/>
    <mergeCell ref="X29:Z29"/>
    <mergeCell ref="AA29:AH29"/>
    <mergeCell ref="A28:B28"/>
    <mergeCell ref="X28:Z28"/>
    <mergeCell ref="AA28:AH28"/>
    <mergeCell ref="A27:B27"/>
    <mergeCell ref="X27:Z27"/>
    <mergeCell ref="AA27:AH27"/>
    <mergeCell ref="C26:W26"/>
    <mergeCell ref="A31:B31"/>
    <mergeCell ref="X31:Z31"/>
    <mergeCell ref="AA31:AH31"/>
    <mergeCell ref="A30:B30"/>
    <mergeCell ref="X30:Z30"/>
    <mergeCell ref="AA30:AH30"/>
    <mergeCell ref="X32:Z32"/>
    <mergeCell ref="AA32:AH32"/>
    <mergeCell ref="X33:Z33"/>
    <mergeCell ref="AA33:AH33"/>
    <mergeCell ref="A32:B32"/>
    <mergeCell ref="A33:B33"/>
    <mergeCell ref="A36:B36"/>
    <mergeCell ref="X36:Z36"/>
    <mergeCell ref="AA36:AH36"/>
    <mergeCell ref="A35:B35"/>
    <mergeCell ref="X35:Z35"/>
    <mergeCell ref="AA35:AH35"/>
    <mergeCell ref="A34:B34"/>
    <mergeCell ref="X34:Z34"/>
    <mergeCell ref="AA34:AH34"/>
    <mergeCell ref="A39:B39"/>
    <mergeCell ref="X39:Z39"/>
    <mergeCell ref="AA39:AH39"/>
    <mergeCell ref="A38:B38"/>
    <mergeCell ref="X38:Z38"/>
    <mergeCell ref="AA38:AH38"/>
    <mergeCell ref="A37:B37"/>
    <mergeCell ref="X37:Z37"/>
    <mergeCell ref="AA37:AH37"/>
    <mergeCell ref="C37:W37"/>
    <mergeCell ref="AA41:AH41"/>
    <mergeCell ref="A44:B44"/>
    <mergeCell ref="X44:Z44"/>
    <mergeCell ref="AA44:AH44"/>
    <mergeCell ref="A43:B43"/>
    <mergeCell ref="X43:Z43"/>
    <mergeCell ref="AA43:AH43"/>
    <mergeCell ref="A42:B42"/>
    <mergeCell ref="X42:Z42"/>
    <mergeCell ref="AA42:AH42"/>
    <mergeCell ref="A41:B41"/>
    <mergeCell ref="X41:Z41"/>
    <mergeCell ref="A45:B45"/>
    <mergeCell ref="X45:Z45"/>
    <mergeCell ref="AA45:AH45"/>
    <mergeCell ref="X48:Z48"/>
    <mergeCell ref="AA48:AH48"/>
    <mergeCell ref="A48:B48"/>
    <mergeCell ref="A47:B47"/>
    <mergeCell ref="X47:Z47"/>
    <mergeCell ref="AA47:AH47"/>
    <mergeCell ref="A46:B46"/>
    <mergeCell ref="X46:Z46"/>
    <mergeCell ref="AA46:AH46"/>
    <mergeCell ref="A49:B49"/>
    <mergeCell ref="X49:Z49"/>
    <mergeCell ref="AA49:AH49"/>
    <mergeCell ref="A62:B62"/>
    <mergeCell ref="C62:W63"/>
    <mergeCell ref="X62:Z63"/>
    <mergeCell ref="AA62:AH63"/>
    <mergeCell ref="A63:B63"/>
    <mergeCell ref="AA50:AH50"/>
    <mergeCell ref="A51:B51"/>
    <mergeCell ref="A50:B50"/>
    <mergeCell ref="X52:Z52"/>
    <mergeCell ref="AA52:AH52"/>
    <mergeCell ref="C49:W49"/>
    <mergeCell ref="C51:W51"/>
    <mergeCell ref="A53:B53"/>
    <mergeCell ref="X53:Z53"/>
    <mergeCell ref="AA53:AH53"/>
    <mergeCell ref="A54:B54"/>
    <mergeCell ref="X54:Z54"/>
    <mergeCell ref="AA54:AH54"/>
    <mergeCell ref="X72:Z72"/>
    <mergeCell ref="AA72:AH72"/>
    <mergeCell ref="A68:B68"/>
    <mergeCell ref="C68:W68"/>
    <mergeCell ref="X68:Z68"/>
    <mergeCell ref="AA68:AH68"/>
    <mergeCell ref="A69:B69"/>
    <mergeCell ref="C69:W69"/>
    <mergeCell ref="X69:Z69"/>
    <mergeCell ref="AA69:AH69"/>
    <mergeCell ref="A74:B74"/>
    <mergeCell ref="C74:W74"/>
    <mergeCell ref="X74:Z74"/>
    <mergeCell ref="AA74:AH74"/>
    <mergeCell ref="A75:B75"/>
    <mergeCell ref="C75:W75"/>
    <mergeCell ref="X75:Z75"/>
    <mergeCell ref="AA75:AH75"/>
    <mergeCell ref="A73:B73"/>
    <mergeCell ref="C73:W73"/>
    <mergeCell ref="X73:Z73"/>
    <mergeCell ref="AA73:AH73"/>
    <mergeCell ref="A78:B78"/>
    <mergeCell ref="C78:W78"/>
    <mergeCell ref="X78:Z78"/>
    <mergeCell ref="AA78:AH78"/>
    <mergeCell ref="A79:B79"/>
    <mergeCell ref="C79:W79"/>
    <mergeCell ref="X79:Z79"/>
    <mergeCell ref="AA79:AH79"/>
    <mergeCell ref="A76:B76"/>
    <mergeCell ref="C76:W76"/>
    <mergeCell ref="X76:Z76"/>
    <mergeCell ref="AA76:AH76"/>
    <mergeCell ref="A77:B77"/>
    <mergeCell ref="C77:W77"/>
    <mergeCell ref="X77:Z77"/>
    <mergeCell ref="AA77:AH77"/>
    <mergeCell ref="A82:B82"/>
    <mergeCell ref="C82:W82"/>
    <mergeCell ref="X82:Z82"/>
    <mergeCell ref="AA82:AH82"/>
    <mergeCell ref="A83:B83"/>
    <mergeCell ref="C83:W83"/>
    <mergeCell ref="X83:Z83"/>
    <mergeCell ref="AA83:AH83"/>
    <mergeCell ref="A80:B80"/>
    <mergeCell ref="C80:W80"/>
    <mergeCell ref="X80:Z80"/>
    <mergeCell ref="AA80:AH80"/>
    <mergeCell ref="A81:B81"/>
    <mergeCell ref="C81:W81"/>
    <mergeCell ref="X81:Z81"/>
    <mergeCell ref="AA81:AH81"/>
    <mergeCell ref="A84:B84"/>
    <mergeCell ref="C84:W84"/>
    <mergeCell ref="X84:Z84"/>
    <mergeCell ref="A87:B87"/>
    <mergeCell ref="A88:B88"/>
    <mergeCell ref="AA84:AH84"/>
    <mergeCell ref="A85:B85"/>
    <mergeCell ref="C85:W85"/>
    <mergeCell ref="X85:Z85"/>
    <mergeCell ref="AA85:AH85"/>
    <mergeCell ref="AA87:AH87"/>
    <mergeCell ref="A86:B86"/>
    <mergeCell ref="C86:W86"/>
    <mergeCell ref="X86:Z86"/>
    <mergeCell ref="AA86:AH86"/>
    <mergeCell ref="C87:W87"/>
    <mergeCell ref="A90:B90"/>
    <mergeCell ref="C90:W90"/>
    <mergeCell ref="X90:Z90"/>
    <mergeCell ref="A89:B89"/>
    <mergeCell ref="C89:W89"/>
    <mergeCell ref="C88:W88"/>
    <mergeCell ref="AA89:AH89"/>
    <mergeCell ref="AA88:AH88"/>
    <mergeCell ref="A93:B93"/>
    <mergeCell ref="C93:W93"/>
    <mergeCell ref="X93:Z93"/>
    <mergeCell ref="AA93:AH93"/>
    <mergeCell ref="A92:B92"/>
    <mergeCell ref="C92:W92"/>
    <mergeCell ref="X92:Z92"/>
    <mergeCell ref="AA92:AH92"/>
    <mergeCell ref="AA90:AH90"/>
    <mergeCell ref="A91:B91"/>
    <mergeCell ref="C91:W91"/>
    <mergeCell ref="X91:Z91"/>
    <mergeCell ref="AA91:AH91"/>
    <mergeCell ref="A96:B96"/>
    <mergeCell ref="C96:W96"/>
    <mergeCell ref="X96:Z96"/>
    <mergeCell ref="AA96:AH96"/>
    <mergeCell ref="A97:B97"/>
    <mergeCell ref="C97:W97"/>
    <mergeCell ref="X97:Z97"/>
    <mergeCell ref="AA97:AH97"/>
    <mergeCell ref="A94:B94"/>
    <mergeCell ref="C94:W94"/>
    <mergeCell ref="X94:Z94"/>
    <mergeCell ref="AA94:AH94"/>
    <mergeCell ref="A95:B95"/>
    <mergeCell ref="C95:W95"/>
    <mergeCell ref="X95:Z95"/>
    <mergeCell ref="AA95:AH95"/>
    <mergeCell ref="X112:Z112"/>
    <mergeCell ref="AA112:AH112"/>
    <mergeCell ref="A115:B115"/>
    <mergeCell ref="C115:W116"/>
    <mergeCell ref="X115:Z116"/>
    <mergeCell ref="A98:B98"/>
    <mergeCell ref="C98:W98"/>
    <mergeCell ref="X98:Z98"/>
    <mergeCell ref="AA98:AH98"/>
    <mergeCell ref="A101:B101"/>
    <mergeCell ref="C101:W101"/>
    <mergeCell ref="X101:Z101"/>
    <mergeCell ref="AA101:AH101"/>
    <mergeCell ref="A99:B99"/>
    <mergeCell ref="C99:W99"/>
    <mergeCell ref="A105:B105"/>
    <mergeCell ref="C105:W105"/>
    <mergeCell ref="A104:B104"/>
    <mergeCell ref="AA105:AH105"/>
    <mergeCell ref="AA110:AH110"/>
    <mergeCell ref="X106:Z106"/>
    <mergeCell ref="X105:Z105"/>
    <mergeCell ref="AA106:AH106"/>
    <mergeCell ref="A111:B111"/>
    <mergeCell ref="A118:B118"/>
    <mergeCell ref="A102:B102"/>
    <mergeCell ref="C102:W102"/>
    <mergeCell ref="A110:B110"/>
    <mergeCell ref="C110:W110"/>
    <mergeCell ref="A116:B116"/>
    <mergeCell ref="A117:B117"/>
    <mergeCell ref="C118:W118"/>
    <mergeCell ref="C112:W112"/>
    <mergeCell ref="A106:B106"/>
    <mergeCell ref="C106:W106"/>
    <mergeCell ref="A107:B107"/>
    <mergeCell ref="C107:W107"/>
    <mergeCell ref="C111:W111"/>
    <mergeCell ref="AA120:AD120"/>
    <mergeCell ref="X118:Z118"/>
    <mergeCell ref="AA118:AD118"/>
    <mergeCell ref="AE119:AH119"/>
    <mergeCell ref="AE118:AH118"/>
    <mergeCell ref="AE117:AH117"/>
    <mergeCell ref="C117:W117"/>
    <mergeCell ref="AA117:AD117"/>
    <mergeCell ref="AE116:AH116"/>
    <mergeCell ref="AA116:AD116"/>
    <mergeCell ref="X117:Z117"/>
    <mergeCell ref="A129:B129"/>
    <mergeCell ref="C129:W129"/>
    <mergeCell ref="X129:Z129"/>
    <mergeCell ref="A130:B130"/>
    <mergeCell ref="C130:W130"/>
    <mergeCell ref="X130:Z130"/>
    <mergeCell ref="AA130:AH130"/>
    <mergeCell ref="AE121:AH121"/>
    <mergeCell ref="A125:B125"/>
    <mergeCell ref="C125:W126"/>
    <mergeCell ref="X125:Z126"/>
    <mergeCell ref="AA125:AH126"/>
    <mergeCell ref="A126:B126"/>
    <mergeCell ref="A121:B121"/>
    <mergeCell ref="C121:W121"/>
    <mergeCell ref="X121:Z121"/>
    <mergeCell ref="AA121:AD121"/>
    <mergeCell ref="Z16:AH16"/>
    <mergeCell ref="W14:AH14"/>
    <mergeCell ref="F16:U16"/>
    <mergeCell ref="F14:Q14"/>
    <mergeCell ref="K10:AH10"/>
    <mergeCell ref="A135:B135"/>
    <mergeCell ref="C135:W135"/>
    <mergeCell ref="X135:Z135"/>
    <mergeCell ref="A134:B134"/>
    <mergeCell ref="C134:W134"/>
    <mergeCell ref="X134:Z134"/>
    <mergeCell ref="C131:W131"/>
    <mergeCell ref="X131:Z131"/>
    <mergeCell ref="AA131:AH131"/>
    <mergeCell ref="A132:B132"/>
    <mergeCell ref="C132:W132"/>
    <mergeCell ref="X132:Z132"/>
    <mergeCell ref="AA132:AH132"/>
    <mergeCell ref="A131:B131"/>
    <mergeCell ref="AA129:AH129"/>
    <mergeCell ref="A128:B128"/>
    <mergeCell ref="C128:W128"/>
    <mergeCell ref="X128:Z128"/>
    <mergeCell ref="AA128:AH128"/>
    <mergeCell ref="X111:Z111"/>
    <mergeCell ref="A122:B122"/>
    <mergeCell ref="C122:W122"/>
    <mergeCell ref="X122:Z122"/>
    <mergeCell ref="AA122:AD122"/>
    <mergeCell ref="AE122:AH122"/>
    <mergeCell ref="X107:Z107"/>
    <mergeCell ref="AA107:AH107"/>
    <mergeCell ref="A108:B108"/>
    <mergeCell ref="C108:W108"/>
    <mergeCell ref="X108:Z108"/>
    <mergeCell ref="AA108:AH108"/>
    <mergeCell ref="A109:B109"/>
    <mergeCell ref="C109:W109"/>
    <mergeCell ref="X109:Z109"/>
    <mergeCell ref="AA109:AH109"/>
    <mergeCell ref="AE120:AH120"/>
    <mergeCell ref="A119:B119"/>
    <mergeCell ref="C119:W119"/>
    <mergeCell ref="X119:Z119"/>
    <mergeCell ref="AA119:AD119"/>
    <mergeCell ref="A120:B120"/>
    <mergeCell ref="C120:W120"/>
    <mergeCell ref="X120:Z120"/>
  </mergeCells>
  <phoneticPr fontId="0" type="noConversion"/>
  <printOptions horizontalCentered="1"/>
  <pageMargins left="0.74803149606299213" right="0.35433070866141736" top="0.49" bottom="0.3" header="0.37" footer="0.16"/>
  <pageSetup scale="90" orientation="portrait" r:id="rId1"/>
  <headerFooter alignWithMargins="0">
    <oddFooter>&amp;R Strana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BA76"/>
  <sheetViews>
    <sheetView showGridLines="0" zoomScaleSheetLayoutView="100" workbookViewId="0">
      <selection activeCell="AR52" sqref="AR52:BA52"/>
    </sheetView>
  </sheetViews>
  <sheetFormatPr defaultColWidth="2.7109375" defaultRowHeight="15.75" customHeight="1"/>
  <cols>
    <col min="1" max="16384" width="2.7109375" style="945"/>
  </cols>
  <sheetData>
    <row r="1" spans="1:53" s="942" customFormat="1" ht="15.75" customHeight="1">
      <c r="A1" s="941" t="s">
        <v>179</v>
      </c>
      <c r="AW1" s="989" t="s">
        <v>2801</v>
      </c>
    </row>
    <row r="2" spans="1:53" s="942" customFormat="1" ht="15.75" customHeight="1">
      <c r="A2" s="1719">
        <f>FirmaNaziv</f>
        <v>0</v>
      </c>
      <c r="B2" s="1719"/>
      <c r="C2" s="1719"/>
      <c r="D2" s="1719"/>
      <c r="E2" s="1719"/>
      <c r="F2" s="1719"/>
      <c r="G2" s="1719"/>
      <c r="H2" s="1719"/>
      <c r="I2" s="1719"/>
      <c r="J2" s="1719"/>
      <c r="K2" s="1719"/>
      <c r="L2" s="1719"/>
      <c r="M2" s="1719"/>
      <c r="N2" s="1719"/>
      <c r="O2" s="1719"/>
      <c r="P2" s="1719"/>
      <c r="Q2" s="1719"/>
      <c r="R2" s="1719"/>
      <c r="S2" s="1719"/>
      <c r="T2" s="1719"/>
      <c r="U2" s="1719"/>
      <c r="V2" s="1719"/>
      <c r="W2" s="1719"/>
    </row>
    <row r="3" spans="1:53" s="942" customFormat="1" ht="15.75" customHeight="1">
      <c r="A3" s="1824" t="s">
        <v>180</v>
      </c>
      <c r="B3" s="1824"/>
      <c r="C3" s="1824"/>
      <c r="D3" s="1824"/>
      <c r="E3" s="1824"/>
      <c r="F3" s="1824"/>
      <c r="G3" s="1824"/>
      <c r="H3" s="1824"/>
      <c r="I3" s="1824"/>
      <c r="J3" s="1824"/>
      <c r="K3" s="1824"/>
      <c r="L3" s="1824"/>
      <c r="M3" s="1824"/>
      <c r="N3" s="1824"/>
      <c r="O3" s="1824"/>
      <c r="P3" s="1824"/>
      <c r="Q3" s="1824"/>
      <c r="R3" s="1824"/>
      <c r="S3" s="1824"/>
      <c r="T3" s="1824"/>
      <c r="U3" s="1824"/>
      <c r="V3" s="1824"/>
      <c r="W3" s="1824"/>
      <c r="AO3" s="943" t="str">
        <f>MID(FirmaID,1,1)</f>
        <v/>
      </c>
      <c r="AP3" s="943" t="str">
        <f>MID(FirmaID,2,1)</f>
        <v/>
      </c>
      <c r="AQ3" s="943" t="str">
        <f>MID(FirmaID,3,1)</f>
        <v/>
      </c>
      <c r="AR3" s="943" t="str">
        <f>MID(FirmaID,4,1)</f>
        <v/>
      </c>
      <c r="AS3" s="943" t="str">
        <f>MID(FirmaID,5,1)</f>
        <v/>
      </c>
      <c r="AT3" s="943" t="str">
        <f>MID(FirmaID,6,1)</f>
        <v/>
      </c>
      <c r="AU3" s="943" t="str">
        <f>MID(FirmaID,7,1)</f>
        <v/>
      </c>
      <c r="AV3" s="943" t="str">
        <f>MID(FirmaID,8,1)</f>
        <v/>
      </c>
      <c r="AW3" s="943" t="str">
        <f>MID(FirmaID,9,1)</f>
        <v/>
      </c>
      <c r="AX3" s="943" t="str">
        <f>MID(FirmaID,10,1)</f>
        <v/>
      </c>
      <c r="AY3" s="943" t="str">
        <f>MID(FirmaID,11,1)</f>
        <v/>
      </c>
      <c r="AZ3" s="943" t="str">
        <f>MID(FirmaID,12,1)</f>
        <v/>
      </c>
      <c r="BA3" s="943" t="str">
        <f>MID(FirmaID,13,1)</f>
        <v/>
      </c>
    </row>
    <row r="4" spans="1:53" s="942" customFormat="1" ht="15.75" customHeight="1">
      <c r="A4" s="1721" t="str">
        <f>FirmaSjediste &amp; ", " &amp; FirmaAdresa</f>
        <v xml:space="preserve">, </v>
      </c>
      <c r="B4" s="1721"/>
      <c r="C4" s="1721"/>
      <c r="D4" s="1721"/>
      <c r="E4" s="1721"/>
      <c r="F4" s="1721"/>
      <c r="G4" s="1721"/>
      <c r="H4" s="1721"/>
      <c r="I4" s="1721"/>
      <c r="J4" s="1721"/>
      <c r="K4" s="1721"/>
      <c r="L4" s="1721"/>
      <c r="M4" s="1721"/>
      <c r="N4" s="1721"/>
      <c r="O4" s="1721"/>
      <c r="P4" s="1721"/>
      <c r="Q4" s="1721"/>
      <c r="R4" s="1721"/>
      <c r="S4" s="1721"/>
      <c r="T4" s="1721"/>
      <c r="U4" s="1721"/>
      <c r="V4" s="1721"/>
      <c r="W4" s="1721"/>
      <c r="BA4" s="944" t="s">
        <v>498</v>
      </c>
    </row>
    <row r="5" spans="1:53" s="942" customFormat="1" ht="15.75" customHeight="1">
      <c r="A5" s="1824" t="s">
        <v>159</v>
      </c>
      <c r="B5" s="1824"/>
      <c r="C5" s="1824"/>
      <c r="D5" s="1824"/>
      <c r="E5" s="1824"/>
      <c r="F5" s="1824"/>
      <c r="G5" s="1824"/>
      <c r="H5" s="1824"/>
      <c r="I5" s="1824"/>
      <c r="J5" s="1824"/>
      <c r="K5" s="1824"/>
      <c r="L5" s="1824"/>
      <c r="M5" s="1824"/>
      <c r="N5" s="1824"/>
      <c r="O5" s="1824"/>
      <c r="P5" s="1824"/>
      <c r="Q5" s="1824"/>
      <c r="R5" s="1824"/>
      <c r="S5" s="1824"/>
      <c r="T5" s="1824"/>
      <c r="U5" s="1824"/>
      <c r="V5" s="1824"/>
      <c r="W5" s="1824"/>
      <c r="AP5" s="943" t="str">
        <f>MID(FirmaPDV,1,1)</f>
        <v/>
      </c>
      <c r="AQ5" s="943" t="str">
        <f>MID(FirmaPDV,2,1)</f>
        <v/>
      </c>
      <c r="AR5" s="943" t="str">
        <f>MID(FirmaPDV,3,1)</f>
        <v/>
      </c>
      <c r="AS5" s="943" t="str">
        <f>MID(FirmaPDV,4,1)</f>
        <v/>
      </c>
      <c r="AT5" s="943" t="str">
        <f>MID(FirmaPDV,5,1)</f>
        <v/>
      </c>
      <c r="AU5" s="943" t="str">
        <f>MID(FirmaPDV,6,1)</f>
        <v/>
      </c>
      <c r="AV5" s="943" t="str">
        <f>MID(FirmaPDV,7,1)</f>
        <v/>
      </c>
      <c r="AW5" s="943" t="str">
        <f>MID(FirmaPDV,8,1)</f>
        <v/>
      </c>
      <c r="AX5" s="943" t="str">
        <f>MID(FirmaPDV,9,1)</f>
        <v/>
      </c>
      <c r="AY5" s="943" t="str">
        <f>MID(FirmaPDV,10,1)</f>
        <v/>
      </c>
      <c r="AZ5" s="943" t="str">
        <f>MID(FirmaPDV,11,1)</f>
        <v/>
      </c>
      <c r="BA5" s="943" t="str">
        <f>MID(FirmaPDV,12,1)</f>
        <v/>
      </c>
    </row>
    <row r="6" spans="1:53" s="942" customFormat="1" ht="15.75" customHeight="1">
      <c r="A6" s="1823">
        <f>FirmaDjeNaziv</f>
        <v>0</v>
      </c>
      <c r="B6" s="1823"/>
      <c r="C6" s="1823"/>
      <c r="D6" s="1823"/>
      <c r="E6" s="1823"/>
      <c r="F6" s="1823"/>
      <c r="G6" s="1823"/>
      <c r="H6" s="1823"/>
      <c r="I6" s="1823"/>
      <c r="J6" s="1823"/>
      <c r="K6" s="1823"/>
      <c r="L6" s="1823"/>
      <c r="M6" s="1823"/>
      <c r="N6" s="1823"/>
      <c r="O6" s="1823"/>
      <c r="P6" s="1823"/>
      <c r="Q6" s="1823"/>
      <c r="R6" s="1823"/>
      <c r="S6" s="1823"/>
      <c r="T6" s="1823"/>
      <c r="U6" s="1823"/>
      <c r="V6" s="1823"/>
      <c r="W6" s="1823"/>
      <c r="BA6" s="944" t="s">
        <v>2267</v>
      </c>
    </row>
    <row r="7" spans="1:53" s="942" customFormat="1" ht="15.75" customHeight="1">
      <c r="A7" s="1824" t="s">
        <v>1496</v>
      </c>
      <c r="B7" s="1824"/>
      <c r="C7" s="1824"/>
      <c r="D7" s="1824"/>
      <c r="E7" s="1824"/>
      <c r="F7" s="1824"/>
      <c r="G7" s="1824"/>
      <c r="H7" s="1824"/>
      <c r="I7" s="1824"/>
      <c r="J7" s="1824"/>
      <c r="K7" s="1824"/>
      <c r="L7" s="1824"/>
      <c r="M7" s="1824"/>
      <c r="N7" s="1824"/>
      <c r="O7" s="1824"/>
      <c r="P7" s="1824"/>
      <c r="Q7" s="1824"/>
      <c r="R7" s="1824"/>
      <c r="S7" s="1824"/>
      <c r="T7" s="1824"/>
      <c r="U7" s="1824"/>
      <c r="V7" s="1824"/>
      <c r="W7" s="1824"/>
      <c r="AW7" s="943" t="str">
        <f>MID(FirmaDjeSifra,1,1)</f>
        <v/>
      </c>
      <c r="AX7" s="943" t="str">
        <f>MID(FirmaDjeSifra,2,1)</f>
        <v/>
      </c>
      <c r="AY7" s="943" t="str">
        <f>MID(FirmaDjeSifra,3,1)</f>
        <v/>
      </c>
      <c r="AZ7" s="943" t="str">
        <f>MID(FirmaDjeSifra,4,1)</f>
        <v/>
      </c>
      <c r="BA7" s="943" t="str">
        <f>MID(FirmaDjeSifra,5,1)</f>
        <v/>
      </c>
    </row>
    <row r="8" spans="1:53" s="942" customFormat="1" ht="12.75" customHeight="1">
      <c r="BA8" s="944" t="s">
        <v>1452</v>
      </c>
    </row>
    <row r="9" spans="1:53" s="942" customFormat="1" ht="15.75" customHeight="1">
      <c r="AY9" s="943" t="str">
        <f>MID(FirmaOpcina,1,1)</f>
        <v/>
      </c>
      <c r="AZ9" s="943" t="str">
        <f>MID(FirmaOpcina,2,1)</f>
        <v/>
      </c>
      <c r="BA9" s="943" t="str">
        <f>MID(FirmaOpcina,3,1)</f>
        <v/>
      </c>
    </row>
    <row r="10" spans="1:53" s="942" customFormat="1" ht="13.5" customHeight="1">
      <c r="BA10" s="944" t="s">
        <v>158</v>
      </c>
    </row>
    <row r="11" spans="1:53" s="942" customFormat="1" ht="14.25" customHeight="1">
      <c r="A11" s="941" t="s">
        <v>1564</v>
      </c>
    </row>
    <row r="12" spans="1:53" s="942" customFormat="1" ht="5.25" customHeight="1"/>
    <row r="13" spans="1:53" ht="15.75" customHeight="1">
      <c r="A13" s="1826">
        <f>FirmaBanka1</f>
        <v>0</v>
      </c>
      <c r="B13" s="1826"/>
      <c r="C13" s="1826"/>
      <c r="D13" s="1826"/>
      <c r="E13" s="1826"/>
      <c r="F13" s="1826"/>
      <c r="G13" s="1826"/>
      <c r="H13" s="1826"/>
      <c r="I13" s="1826"/>
      <c r="J13" s="1826"/>
      <c r="K13" s="1826"/>
      <c r="L13" s="1826"/>
      <c r="M13" s="1826"/>
      <c r="N13" s="1826"/>
      <c r="O13" s="1826"/>
      <c r="P13" s="1826"/>
      <c r="S13" s="1826">
        <f>FirmaBanka2</f>
        <v>0</v>
      </c>
      <c r="T13" s="1826"/>
      <c r="U13" s="1826"/>
      <c r="V13" s="1826"/>
      <c r="W13" s="1826"/>
      <c r="X13" s="1826"/>
      <c r="Y13" s="1826"/>
      <c r="Z13" s="1826"/>
      <c r="AA13" s="1826"/>
      <c r="AB13" s="1826"/>
      <c r="AC13" s="1826"/>
      <c r="AD13" s="1826"/>
      <c r="AE13" s="1826"/>
      <c r="AF13" s="1826"/>
      <c r="AG13" s="1826"/>
      <c r="AH13" s="1826"/>
      <c r="AK13" s="1826">
        <f>FirmaBanka3</f>
        <v>0</v>
      </c>
      <c r="AL13" s="1826"/>
      <c r="AM13" s="1826"/>
      <c r="AN13" s="1826"/>
      <c r="AO13" s="1826"/>
      <c r="AP13" s="1826"/>
      <c r="AQ13" s="1826"/>
      <c r="AR13" s="1826"/>
      <c r="AS13" s="1826"/>
      <c r="AT13" s="1826"/>
      <c r="AU13" s="1826"/>
      <c r="AV13" s="1826"/>
      <c r="AW13" s="1826"/>
      <c r="AX13" s="1826"/>
      <c r="AY13" s="1826"/>
      <c r="AZ13" s="1826"/>
    </row>
    <row r="14" spans="1:53" ht="11.25" customHeight="1">
      <c r="A14" s="1827" t="s">
        <v>160</v>
      </c>
      <c r="B14" s="1827"/>
      <c r="C14" s="1827"/>
      <c r="D14" s="1827"/>
      <c r="E14" s="1827"/>
      <c r="F14" s="1827"/>
      <c r="G14" s="1827"/>
      <c r="H14" s="1827"/>
      <c r="I14" s="1827"/>
      <c r="J14" s="1827"/>
      <c r="K14" s="1827"/>
      <c r="L14" s="1827"/>
      <c r="M14" s="1827"/>
      <c r="N14" s="1827"/>
      <c r="O14" s="1827"/>
      <c r="P14" s="1827"/>
      <c r="S14" s="1827" t="s">
        <v>160</v>
      </c>
      <c r="T14" s="1827"/>
      <c r="U14" s="1827"/>
      <c r="V14" s="1827"/>
      <c r="W14" s="1827"/>
      <c r="X14" s="1827"/>
      <c r="Y14" s="1827"/>
      <c r="Z14" s="1827"/>
      <c r="AA14" s="1827"/>
      <c r="AB14" s="1827"/>
      <c r="AC14" s="1827"/>
      <c r="AD14" s="1827"/>
      <c r="AE14" s="1827"/>
      <c r="AF14" s="1827"/>
      <c r="AG14" s="1827"/>
      <c r="AH14" s="1827"/>
      <c r="AK14" s="1827" t="s">
        <v>160</v>
      </c>
      <c r="AL14" s="1827"/>
      <c r="AM14" s="1827"/>
      <c r="AN14" s="1827"/>
      <c r="AO14" s="1827"/>
      <c r="AP14" s="1827"/>
      <c r="AQ14" s="1827"/>
      <c r="AR14" s="1827"/>
      <c r="AS14" s="1827"/>
      <c r="AT14" s="1827"/>
      <c r="AU14" s="1827"/>
      <c r="AV14" s="1827"/>
      <c r="AW14" s="1827"/>
      <c r="AX14" s="1827"/>
      <c r="AY14" s="1827"/>
      <c r="AZ14" s="1827"/>
    </row>
    <row r="15" spans="1:53" ht="15.75" customHeight="1">
      <c r="A15" s="943" t="str">
        <f>MID(FirmaRacun1,1,1)</f>
        <v/>
      </c>
      <c r="B15" s="943" t="str">
        <f>MID(FirmaRacun1,2,1)</f>
        <v/>
      </c>
      <c r="C15" s="943" t="str">
        <f>MID(FirmaRacun1,3,1)</f>
        <v/>
      </c>
      <c r="D15" s="943" t="str">
        <f>MID(FirmaRacun1,4,1)</f>
        <v/>
      </c>
      <c r="E15" s="943" t="str">
        <f>MID(FirmaRacun1,5,1)</f>
        <v/>
      </c>
      <c r="F15" s="943" t="str">
        <f>MID(FirmaRacun1,6,1)</f>
        <v/>
      </c>
      <c r="G15" s="943" t="str">
        <f>MID(FirmaRacun1,7,1)</f>
        <v/>
      </c>
      <c r="H15" s="943" t="str">
        <f>MID(FirmaRacun1,8,1)</f>
        <v/>
      </c>
      <c r="I15" s="943" t="str">
        <f>MID(FirmaRacun1,9,1)</f>
        <v/>
      </c>
      <c r="J15" s="943" t="str">
        <f>MID(FirmaRacun1,10,1)</f>
        <v/>
      </c>
      <c r="K15" s="943" t="str">
        <f>MID(FirmaRacun1,11,1)</f>
        <v/>
      </c>
      <c r="L15" s="943" t="str">
        <f>MID(FirmaRacun1,12,1)</f>
        <v/>
      </c>
      <c r="M15" s="943" t="str">
        <f>MID(FirmaRacun1,13,1)</f>
        <v/>
      </c>
      <c r="N15" s="943" t="str">
        <f>MID(FirmaRacun1,14,1)</f>
        <v/>
      </c>
      <c r="O15" s="943" t="str">
        <f>MID(FirmaRacun1,15,1)</f>
        <v/>
      </c>
      <c r="P15" s="943" t="str">
        <f>MID(FirmaRacun1,16,1)</f>
        <v/>
      </c>
      <c r="S15" s="943" t="str">
        <f>MID(FirmaRacun2,1,1)</f>
        <v/>
      </c>
      <c r="T15" s="943" t="str">
        <f>MID(FirmaRacun2,2,1)</f>
        <v/>
      </c>
      <c r="U15" s="943" t="str">
        <f>MID(FirmaRacun2,3,1)</f>
        <v/>
      </c>
      <c r="V15" s="943" t="str">
        <f>MID(FirmaRacun2,4,1)</f>
        <v/>
      </c>
      <c r="W15" s="943" t="str">
        <f>MID(FirmaRacun2,5,1)</f>
        <v/>
      </c>
      <c r="X15" s="943" t="str">
        <f>MID(FirmaRacun2,6,1)</f>
        <v/>
      </c>
      <c r="Y15" s="943" t="str">
        <f>MID(FirmaRacun2,7,1)</f>
        <v/>
      </c>
      <c r="Z15" s="943" t="str">
        <f>MID(FirmaRacun2,8,1)</f>
        <v/>
      </c>
      <c r="AA15" s="943" t="str">
        <f>MID(FirmaRacun2,9,1)</f>
        <v/>
      </c>
      <c r="AB15" s="943" t="str">
        <f>MID(FirmaRacun2,10,1)</f>
        <v/>
      </c>
      <c r="AC15" s="943" t="str">
        <f>MID(FirmaRacun2,11,1)</f>
        <v/>
      </c>
      <c r="AD15" s="943" t="str">
        <f>MID(FirmaRacun2,12,1)</f>
        <v/>
      </c>
      <c r="AE15" s="943" t="str">
        <f>MID(FirmaRacun2,13,1)</f>
        <v/>
      </c>
      <c r="AF15" s="943" t="str">
        <f>MID(FirmaRacun2,14,1)</f>
        <v/>
      </c>
      <c r="AG15" s="943" t="str">
        <f>MID(FirmaRacun2,15,1)</f>
        <v/>
      </c>
      <c r="AH15" s="943" t="str">
        <f>MID(FirmaRacun2,16,1)</f>
        <v/>
      </c>
      <c r="AK15" s="943" t="str">
        <f>MID(FirmaRacun3,1,1)</f>
        <v/>
      </c>
      <c r="AL15" s="943" t="str">
        <f>MID(FirmaRacun3,2,1)</f>
        <v/>
      </c>
      <c r="AM15" s="943" t="str">
        <f>MID(FirmaRacun3,3,1)</f>
        <v/>
      </c>
      <c r="AN15" s="943" t="str">
        <f>MID(FirmaRacun3,4,1)</f>
        <v/>
      </c>
      <c r="AO15" s="943" t="str">
        <f>MID(FirmaRacun3,5,1)</f>
        <v/>
      </c>
      <c r="AP15" s="943" t="str">
        <f>MID(FirmaRacun3,6,1)</f>
        <v/>
      </c>
      <c r="AQ15" s="943" t="str">
        <f>MID(FirmaRacun3,7,1)</f>
        <v/>
      </c>
      <c r="AR15" s="943" t="str">
        <f>MID(FirmaRacun3,8,1)</f>
        <v/>
      </c>
      <c r="AS15" s="943" t="str">
        <f>MID(FirmaRacun3,9,1)</f>
        <v/>
      </c>
      <c r="AT15" s="943" t="str">
        <f>MID(FirmaRacun3,10,1)</f>
        <v/>
      </c>
      <c r="AU15" s="943" t="str">
        <f>MID(FirmaRacun3,11,1)</f>
        <v/>
      </c>
      <c r="AV15" s="943" t="str">
        <f>MID(FirmaRacun3,12,1)</f>
        <v/>
      </c>
      <c r="AW15" s="943" t="str">
        <f>MID(FirmaRacun3,13,1)</f>
        <v/>
      </c>
      <c r="AX15" s="943" t="str">
        <f>MID(FirmaRacun3,14,1)</f>
        <v/>
      </c>
      <c r="AY15" s="943" t="str">
        <f>MID(FirmaRacun3,15,1)</f>
        <v/>
      </c>
      <c r="AZ15" s="943" t="str">
        <f>MID(FirmaRacun3,16,1)</f>
        <v/>
      </c>
    </row>
    <row r="17" spans="1:53" ht="15.75" customHeight="1">
      <c r="K17" s="2046" t="s">
        <v>2802</v>
      </c>
      <c r="L17" s="2046"/>
      <c r="M17" s="2046"/>
      <c r="N17" s="2046"/>
      <c r="O17" s="2046"/>
      <c r="P17" s="2046"/>
      <c r="Q17" s="2046"/>
      <c r="R17" s="2046"/>
      <c r="S17" s="2046"/>
      <c r="T17" s="2046"/>
      <c r="U17" s="2046"/>
      <c r="V17" s="2046"/>
      <c r="W17" s="2046"/>
      <c r="X17" s="2046"/>
      <c r="Y17" s="2046"/>
      <c r="Z17" s="2046"/>
      <c r="AA17" s="2046"/>
      <c r="AB17" s="2046"/>
      <c r="AC17" s="2046"/>
      <c r="AD17" s="2046"/>
      <c r="AE17" s="2046"/>
      <c r="AF17" s="2046"/>
      <c r="AG17" s="2046"/>
      <c r="AH17" s="2046"/>
      <c r="AI17" s="2046"/>
      <c r="AJ17" s="2046"/>
      <c r="AK17" s="2046"/>
      <c r="AL17" s="2046"/>
      <c r="AN17" s="1829" t="s">
        <v>1562</v>
      </c>
      <c r="AO17" s="1830"/>
      <c r="AP17" s="1830"/>
      <c r="AQ17" s="1830"/>
      <c r="AR17" s="1830"/>
      <c r="AS17" s="1830"/>
      <c r="AT17" s="1830"/>
      <c r="AU17" s="1830"/>
      <c r="AV17" s="1830"/>
      <c r="AW17" s="1830"/>
      <c r="AX17" s="1830"/>
      <c r="AY17" s="1830"/>
      <c r="AZ17" s="1830"/>
      <c r="BA17" s="1831"/>
    </row>
    <row r="18" spans="1:53" ht="15.75" customHeight="1">
      <c r="K18" s="2046"/>
      <c r="L18" s="2046"/>
      <c r="M18" s="2046"/>
      <c r="N18" s="2046"/>
      <c r="O18" s="2046"/>
      <c r="P18" s="2046"/>
      <c r="Q18" s="2046"/>
      <c r="R18" s="2046"/>
      <c r="S18" s="2046"/>
      <c r="T18" s="2046"/>
      <c r="U18" s="2046"/>
      <c r="V18" s="2046"/>
      <c r="W18" s="2046"/>
      <c r="X18" s="2046"/>
      <c r="Y18" s="2046"/>
      <c r="Z18" s="2046"/>
      <c r="AA18" s="2046"/>
      <c r="AB18" s="2046"/>
      <c r="AC18" s="2046"/>
      <c r="AD18" s="2046"/>
      <c r="AE18" s="2046"/>
      <c r="AF18" s="2046"/>
      <c r="AG18" s="2046"/>
      <c r="AH18" s="2046"/>
      <c r="AI18" s="2046"/>
      <c r="AJ18" s="2046"/>
      <c r="AK18" s="2046"/>
      <c r="AL18" s="2046"/>
      <c r="AN18" s="1832"/>
      <c r="AO18" s="1833"/>
      <c r="AP18" s="1833"/>
      <c r="AQ18" s="1833"/>
      <c r="AR18" s="1833"/>
      <c r="AS18" s="1833"/>
      <c r="AT18" s="1833"/>
      <c r="AU18" s="1833"/>
      <c r="AV18" s="1833"/>
      <c r="AW18" s="1833"/>
      <c r="AX18" s="1833"/>
      <c r="AY18" s="1833"/>
      <c r="AZ18" s="1833"/>
      <c r="BA18" s="1834"/>
    </row>
    <row r="19" spans="1:53" ht="9" customHeight="1">
      <c r="A19" s="1825"/>
      <c r="B19" s="1825"/>
      <c r="C19" s="1825"/>
      <c r="D19" s="1825"/>
      <c r="E19" s="1825"/>
      <c r="F19" s="1825"/>
      <c r="G19" s="1825"/>
      <c r="H19" s="1825"/>
      <c r="I19" s="1825"/>
      <c r="J19" s="1825"/>
      <c r="K19" s="1825"/>
      <c r="L19" s="1825"/>
      <c r="M19" s="1825"/>
      <c r="N19" s="1825"/>
      <c r="O19" s="1825"/>
      <c r="P19" s="1825"/>
      <c r="Q19" s="1825"/>
      <c r="R19" s="1825"/>
      <c r="S19" s="1825"/>
      <c r="T19" s="1825"/>
      <c r="U19" s="1825"/>
      <c r="V19" s="1825"/>
      <c r="W19" s="1825"/>
      <c r="X19" s="1825"/>
      <c r="Y19" s="1825"/>
      <c r="Z19" s="1825"/>
      <c r="AA19" s="1825"/>
      <c r="AB19" s="1825"/>
      <c r="AC19" s="1825"/>
      <c r="AD19" s="1825"/>
      <c r="AE19" s="1825"/>
      <c r="AF19" s="1825"/>
      <c r="AG19" s="1825"/>
      <c r="AH19" s="1825"/>
      <c r="AI19" s="1825"/>
      <c r="AJ19" s="1825"/>
      <c r="AK19" s="1825"/>
      <c r="AL19" s="1825"/>
      <c r="AM19" s="1825"/>
      <c r="AN19" s="1825"/>
      <c r="AO19" s="1825"/>
      <c r="AP19" s="1825"/>
      <c r="AQ19" s="1825"/>
      <c r="AR19" s="1825"/>
      <c r="AS19" s="1825"/>
      <c r="AT19" s="1825"/>
      <c r="AU19" s="1825"/>
      <c r="AV19" s="1825"/>
      <c r="AW19" s="1825"/>
      <c r="AX19" s="1825"/>
      <c r="AY19" s="1825"/>
      <c r="AZ19" s="1825"/>
      <c r="BA19" s="1825"/>
    </row>
    <row r="20" spans="1:53" ht="15.75" customHeight="1">
      <c r="R20" s="1034" t="s">
        <v>545</v>
      </c>
      <c r="S20" s="1786" t="str">
        <f>ObracunOdDatuma</f>
        <v>1.1.</v>
      </c>
      <c r="T20" s="1786"/>
      <c r="U20" s="1786"/>
      <c r="V20" s="1786"/>
      <c r="W20" s="1786"/>
      <c r="X20" s="1786"/>
      <c r="Y20" s="1786"/>
      <c r="Z20" s="1784" t="s">
        <v>546</v>
      </c>
      <c r="AA20" s="1784"/>
      <c r="AB20" s="1786" t="str">
        <f>ObracunDoDatuma</f>
        <v>31.12.</v>
      </c>
      <c r="AC20" s="1786"/>
      <c r="AD20" s="1786"/>
      <c r="AE20" s="1786"/>
      <c r="AF20" s="1786"/>
      <c r="AG20" s="1786"/>
      <c r="AH20" s="1786"/>
      <c r="AI20" s="1733" t="str">
        <f>ObracunGodina</f>
        <v>2011</v>
      </c>
      <c r="AJ20" s="1733"/>
      <c r="AK20" s="1733"/>
      <c r="AL20" s="1733"/>
      <c r="AM20" s="946" t="s">
        <v>2268</v>
      </c>
    </row>
    <row r="21" spans="1:53" ht="6" customHeight="1"/>
    <row r="22" spans="1:53" s="947" customFormat="1" ht="8.25" customHeight="1" thickBot="1">
      <c r="A22" s="1738"/>
      <c r="B22" s="1738"/>
      <c r="C22" s="1738"/>
      <c r="D22" s="1738"/>
      <c r="E22" s="1771"/>
      <c r="F22" s="1771"/>
      <c r="G22" s="1771"/>
      <c r="H22" s="1771"/>
      <c r="I22" s="1771"/>
      <c r="J22" s="1771"/>
      <c r="K22" s="1771"/>
      <c r="L22" s="1771"/>
      <c r="M22" s="1771"/>
      <c r="N22" s="1771"/>
      <c r="O22" s="1771"/>
      <c r="P22" s="1771"/>
      <c r="Q22" s="1771"/>
      <c r="R22" s="1771"/>
      <c r="S22" s="1771"/>
      <c r="T22" s="1771"/>
      <c r="U22" s="1757"/>
      <c r="V22" s="1757"/>
      <c r="W22" s="1757"/>
      <c r="X22" s="1757"/>
      <c r="Y22" s="1757"/>
      <c r="Z22" s="1769"/>
      <c r="AA22" s="1769"/>
      <c r="AB22" s="1769"/>
      <c r="AC22" s="1769"/>
      <c r="AD22" s="1769"/>
      <c r="AE22" s="1769"/>
      <c r="AF22" s="1769"/>
      <c r="AG22" s="1769"/>
      <c r="AH22" s="1769"/>
      <c r="AI22" s="1769"/>
      <c r="AJ22" s="1769"/>
      <c r="AK22" s="1769"/>
      <c r="AL22" s="1769"/>
      <c r="AM22" s="1769"/>
      <c r="AN22" s="1769"/>
      <c r="AO22" s="1769"/>
      <c r="AP22" s="1769"/>
      <c r="AQ22" s="1769"/>
      <c r="AR22" s="1769"/>
      <c r="AS22" s="1769"/>
      <c r="AT22" s="1769"/>
      <c r="AU22" s="1769"/>
      <c r="AV22" s="1769"/>
      <c r="AW22" s="1769"/>
      <c r="AX22" s="1769"/>
      <c r="AY22" s="1769"/>
      <c r="AZ22" s="1769"/>
      <c r="BA22" s="1769"/>
    </row>
    <row r="23" spans="1:53" ht="19.5" customHeight="1">
      <c r="A23" s="1807" t="s">
        <v>2803</v>
      </c>
      <c r="B23" s="1808"/>
      <c r="C23" s="1808"/>
      <c r="D23" s="1808"/>
      <c r="E23" s="1811" t="s">
        <v>1569</v>
      </c>
      <c r="F23" s="1812"/>
      <c r="G23" s="1812"/>
      <c r="H23" s="1812"/>
      <c r="I23" s="1812"/>
      <c r="J23" s="1812"/>
      <c r="K23" s="1812"/>
      <c r="L23" s="1812"/>
      <c r="M23" s="1812"/>
      <c r="N23" s="1812"/>
      <c r="O23" s="1812"/>
      <c r="P23" s="1812"/>
      <c r="Q23" s="1812"/>
      <c r="R23" s="1812"/>
      <c r="S23" s="1812"/>
      <c r="T23" s="1812"/>
      <c r="U23" s="948"/>
      <c r="V23" s="948"/>
      <c r="W23" s="949"/>
      <c r="X23" s="949"/>
      <c r="Y23" s="949"/>
      <c r="Z23" s="950"/>
      <c r="AA23" s="951"/>
      <c r="AB23" s="2040" t="s">
        <v>2804</v>
      </c>
      <c r="AC23" s="2041"/>
      <c r="AD23" s="2041"/>
      <c r="AE23" s="2041"/>
      <c r="AF23" s="2041"/>
      <c r="AG23" s="2042"/>
      <c r="AH23" s="2037" t="s">
        <v>1257</v>
      </c>
      <c r="AI23" s="2038"/>
      <c r="AJ23" s="2038"/>
      <c r="AK23" s="2038"/>
      <c r="AL23" s="2038"/>
      <c r="AM23" s="2038"/>
      <c r="AN23" s="2038"/>
      <c r="AO23" s="2038"/>
      <c r="AP23" s="2038"/>
      <c r="AQ23" s="2038"/>
      <c r="AR23" s="2038"/>
      <c r="AS23" s="2038"/>
      <c r="AT23" s="2038"/>
      <c r="AU23" s="2038"/>
      <c r="AV23" s="2038"/>
      <c r="AW23" s="2038"/>
      <c r="AX23" s="2038"/>
      <c r="AY23" s="2038"/>
      <c r="AZ23" s="2038"/>
      <c r="BA23" s="2039"/>
    </row>
    <row r="24" spans="1:53" ht="20.25" customHeight="1" thickBot="1">
      <c r="A24" s="1809"/>
      <c r="B24" s="1810"/>
      <c r="C24" s="1810"/>
      <c r="D24" s="1810"/>
      <c r="E24" s="1813"/>
      <c r="F24" s="1814"/>
      <c r="G24" s="1814"/>
      <c r="H24" s="1814"/>
      <c r="I24" s="1814"/>
      <c r="J24" s="1814"/>
      <c r="K24" s="1814"/>
      <c r="L24" s="1814"/>
      <c r="M24" s="1814"/>
      <c r="N24" s="1814"/>
      <c r="O24" s="1814"/>
      <c r="P24" s="1814"/>
      <c r="Q24" s="1814"/>
      <c r="R24" s="1814"/>
      <c r="S24" s="1814"/>
      <c r="T24" s="1814"/>
      <c r="U24" s="952"/>
      <c r="V24" s="952"/>
      <c r="W24" s="953"/>
      <c r="X24" s="953"/>
      <c r="Y24" s="953"/>
      <c r="Z24" s="954"/>
      <c r="AA24" s="955"/>
      <c r="AB24" s="2043"/>
      <c r="AC24" s="2044"/>
      <c r="AD24" s="2044"/>
      <c r="AE24" s="2044"/>
      <c r="AF24" s="2044"/>
      <c r="AG24" s="2045"/>
      <c r="AH24" s="1804" t="s">
        <v>1040</v>
      </c>
      <c r="AI24" s="1805"/>
      <c r="AJ24" s="1805"/>
      <c r="AK24" s="1805"/>
      <c r="AL24" s="1805"/>
      <c r="AM24" s="1805"/>
      <c r="AN24" s="1805"/>
      <c r="AO24" s="1805"/>
      <c r="AP24" s="1805"/>
      <c r="AQ24" s="1822"/>
      <c r="AR24" s="1804" t="s">
        <v>1039</v>
      </c>
      <c r="AS24" s="1805"/>
      <c r="AT24" s="1805"/>
      <c r="AU24" s="1805"/>
      <c r="AV24" s="1805"/>
      <c r="AW24" s="1805"/>
      <c r="AX24" s="1805"/>
      <c r="AY24" s="1805"/>
      <c r="AZ24" s="1805"/>
      <c r="BA24" s="1806"/>
    </row>
    <row r="25" spans="1:53" ht="13.5" customHeight="1" thickBot="1">
      <c r="A25" s="1764" t="s">
        <v>522</v>
      </c>
      <c r="B25" s="1765"/>
      <c r="C25" s="1765"/>
      <c r="D25" s="1765"/>
      <c r="E25" s="1766">
        <v>2</v>
      </c>
      <c r="F25" s="1767"/>
      <c r="G25" s="1767"/>
      <c r="H25" s="1767"/>
      <c r="I25" s="1767"/>
      <c r="J25" s="1767"/>
      <c r="K25" s="1767"/>
      <c r="L25" s="1767"/>
      <c r="M25" s="1767"/>
      <c r="N25" s="1767"/>
      <c r="O25" s="1767"/>
      <c r="P25" s="1767"/>
      <c r="Q25" s="1767"/>
      <c r="R25" s="1767"/>
      <c r="S25" s="1767"/>
      <c r="T25" s="1767"/>
      <c r="U25" s="956"/>
      <c r="V25" s="956"/>
      <c r="W25" s="956"/>
      <c r="X25" s="956"/>
      <c r="Y25" s="956"/>
      <c r="Z25" s="956"/>
      <c r="AA25" s="957"/>
      <c r="AB25" s="1766">
        <v>3</v>
      </c>
      <c r="AC25" s="1767"/>
      <c r="AD25" s="1767"/>
      <c r="AE25" s="1767"/>
      <c r="AF25" s="1767"/>
      <c r="AG25" s="1768"/>
      <c r="AH25" s="1766">
        <v>4</v>
      </c>
      <c r="AI25" s="1767"/>
      <c r="AJ25" s="1767"/>
      <c r="AK25" s="1767"/>
      <c r="AL25" s="1767"/>
      <c r="AM25" s="1767"/>
      <c r="AN25" s="1767"/>
      <c r="AO25" s="1767"/>
      <c r="AP25" s="1767"/>
      <c r="AQ25" s="1768"/>
      <c r="AR25" s="1766">
        <v>5</v>
      </c>
      <c r="AS25" s="1767"/>
      <c r="AT25" s="1767"/>
      <c r="AU25" s="1767"/>
      <c r="AV25" s="1767"/>
      <c r="AW25" s="1767"/>
      <c r="AX25" s="1767"/>
      <c r="AY25" s="1767"/>
      <c r="AZ25" s="1767"/>
      <c r="BA25" s="1770"/>
    </row>
    <row r="26" spans="1:53" ht="12.75" customHeight="1">
      <c r="A26" s="2024" t="s">
        <v>522</v>
      </c>
      <c r="B26" s="2025"/>
      <c r="C26" s="2025"/>
      <c r="D26" s="2025"/>
      <c r="E26" s="1202" t="s">
        <v>1342</v>
      </c>
      <c r="F26" s="947"/>
      <c r="G26" s="1203"/>
      <c r="H26" s="1203"/>
      <c r="I26" s="1203"/>
      <c r="J26" s="1203"/>
      <c r="K26" s="1203"/>
      <c r="L26" s="1203"/>
      <c r="M26" s="1203"/>
      <c r="N26" s="1203"/>
      <c r="O26" s="1203"/>
      <c r="P26" s="1203"/>
      <c r="Q26" s="1203"/>
      <c r="R26" s="1203"/>
      <c r="S26" s="1203"/>
      <c r="T26" s="1203"/>
      <c r="U26" s="1203"/>
      <c r="V26" s="1203"/>
      <c r="W26" s="1203"/>
      <c r="X26" s="1203"/>
      <c r="Y26" s="1203"/>
      <c r="Z26" s="1204"/>
      <c r="AA26" s="1205"/>
      <c r="AB26" s="2026" t="s">
        <v>182</v>
      </c>
      <c r="AC26" s="2027"/>
      <c r="AD26" s="2027"/>
      <c r="AE26" s="2027"/>
      <c r="AF26" s="2027"/>
      <c r="AG26" s="2028"/>
      <c r="AH26" s="2029">
        <f>unos!G18</f>
        <v>0</v>
      </c>
      <c r="AI26" s="2030"/>
      <c r="AJ26" s="2030"/>
      <c r="AK26" s="2030"/>
      <c r="AL26" s="2030"/>
      <c r="AM26" s="2030"/>
      <c r="AN26" s="2030"/>
      <c r="AO26" s="2030"/>
      <c r="AP26" s="2030"/>
      <c r="AQ26" s="2031"/>
      <c r="AR26" s="2029">
        <f>unos!F18</f>
        <v>0</v>
      </c>
      <c r="AS26" s="2030"/>
      <c r="AT26" s="2030"/>
      <c r="AU26" s="2030"/>
      <c r="AV26" s="2030"/>
      <c r="AW26" s="2030"/>
      <c r="AX26" s="2030"/>
      <c r="AY26" s="2030"/>
      <c r="AZ26" s="2030"/>
      <c r="BA26" s="2035"/>
    </row>
    <row r="27" spans="1:53" ht="12.75" customHeight="1">
      <c r="A27" s="1795"/>
      <c r="B27" s="1796"/>
      <c r="C27" s="1796"/>
      <c r="D27" s="1796"/>
      <c r="E27" s="1206" t="s">
        <v>2805</v>
      </c>
      <c r="F27" s="961"/>
      <c r="G27" s="961"/>
      <c r="H27" s="961"/>
      <c r="I27" s="961"/>
      <c r="J27" s="961"/>
      <c r="K27" s="961"/>
      <c r="L27" s="961"/>
      <c r="M27" s="961"/>
      <c r="N27" s="961"/>
      <c r="O27" s="961"/>
      <c r="P27" s="961"/>
      <c r="Q27" s="961"/>
      <c r="R27" s="961"/>
      <c r="S27" s="961"/>
      <c r="T27" s="961"/>
      <c r="U27" s="961"/>
      <c r="V27" s="961"/>
      <c r="W27" s="961"/>
      <c r="X27" s="961"/>
      <c r="Y27" s="961"/>
      <c r="Z27" s="962"/>
      <c r="AA27" s="963"/>
      <c r="AB27" s="1797"/>
      <c r="AC27" s="1798"/>
      <c r="AD27" s="1798"/>
      <c r="AE27" s="1798"/>
      <c r="AF27" s="1798"/>
      <c r="AG27" s="1799"/>
      <c r="AH27" s="2032"/>
      <c r="AI27" s="2033"/>
      <c r="AJ27" s="2033"/>
      <c r="AK27" s="2033"/>
      <c r="AL27" s="2033"/>
      <c r="AM27" s="2033"/>
      <c r="AN27" s="2033"/>
      <c r="AO27" s="2033"/>
      <c r="AP27" s="2033"/>
      <c r="AQ27" s="2034"/>
      <c r="AR27" s="2032"/>
      <c r="AS27" s="2033"/>
      <c r="AT27" s="2033"/>
      <c r="AU27" s="2033"/>
      <c r="AV27" s="2033"/>
      <c r="AW27" s="2033"/>
      <c r="AX27" s="2033"/>
      <c r="AY27" s="2033"/>
      <c r="AZ27" s="2033"/>
      <c r="BA27" s="2036"/>
    </row>
    <row r="28" spans="1:53" ht="18" customHeight="1">
      <c r="A28" s="1736" t="s">
        <v>523</v>
      </c>
      <c r="B28" s="1737"/>
      <c r="C28" s="1737"/>
      <c r="D28" s="1737"/>
      <c r="E28" s="964" t="s">
        <v>2807</v>
      </c>
      <c r="F28" s="965"/>
      <c r="G28" s="965"/>
      <c r="H28" s="965"/>
      <c r="I28" s="965"/>
      <c r="J28" s="965"/>
      <c r="K28" s="965"/>
      <c r="L28" s="965"/>
      <c r="M28" s="965"/>
      <c r="N28" s="965"/>
      <c r="O28" s="965"/>
      <c r="P28" s="965"/>
      <c r="Q28" s="965"/>
      <c r="R28" s="965"/>
      <c r="S28" s="965"/>
      <c r="T28" s="965"/>
      <c r="U28" s="965"/>
      <c r="V28" s="965"/>
      <c r="W28" s="965"/>
      <c r="X28" s="965"/>
      <c r="Y28" s="965"/>
      <c r="Z28" s="966"/>
      <c r="AA28" s="967"/>
      <c r="AB28" s="1744" t="s">
        <v>2806</v>
      </c>
      <c r="AC28" s="1745"/>
      <c r="AD28" s="1745"/>
      <c r="AE28" s="1745"/>
      <c r="AF28" s="1745"/>
      <c r="AG28" s="1746"/>
      <c r="AH28" s="1748">
        <f>UNOS1!G67</f>
        <v>0</v>
      </c>
      <c r="AI28" s="1748"/>
      <c r="AJ28" s="1748"/>
      <c r="AK28" s="1748"/>
      <c r="AL28" s="1748"/>
      <c r="AM28" s="1748"/>
      <c r="AN28" s="1748"/>
      <c r="AO28" s="1748"/>
      <c r="AP28" s="1748"/>
      <c r="AQ28" s="1748"/>
      <c r="AR28" s="1748">
        <f>UNOS1!F67</f>
        <v>0</v>
      </c>
      <c r="AS28" s="1748"/>
      <c r="AT28" s="1748"/>
      <c r="AU28" s="1748"/>
      <c r="AV28" s="1748"/>
      <c r="AW28" s="1748"/>
      <c r="AX28" s="1748"/>
      <c r="AY28" s="1748"/>
      <c r="AZ28" s="1748"/>
      <c r="BA28" s="1756"/>
    </row>
    <row r="29" spans="1:53" ht="18" customHeight="1">
      <c r="A29" s="1736" t="s">
        <v>329</v>
      </c>
      <c r="B29" s="1737"/>
      <c r="C29" s="1737"/>
      <c r="D29" s="1737"/>
      <c r="E29" s="964" t="s">
        <v>2808</v>
      </c>
      <c r="F29" s="965"/>
      <c r="G29" s="965"/>
      <c r="H29" s="965"/>
      <c r="I29" s="965"/>
      <c r="J29" s="965"/>
      <c r="K29" s="965"/>
      <c r="L29" s="965"/>
      <c r="M29" s="965"/>
      <c r="N29" s="965"/>
      <c r="O29" s="965"/>
      <c r="P29" s="965"/>
      <c r="Q29" s="965"/>
      <c r="R29" s="965"/>
      <c r="S29" s="965"/>
      <c r="T29" s="965"/>
      <c r="U29" s="965"/>
      <c r="V29" s="965"/>
      <c r="W29" s="965"/>
      <c r="X29" s="965"/>
      <c r="Y29" s="965"/>
      <c r="Z29" s="966"/>
      <c r="AA29" s="967"/>
      <c r="AB29" s="1744" t="s">
        <v>2806</v>
      </c>
      <c r="AC29" s="1745"/>
      <c r="AD29" s="1745"/>
      <c r="AE29" s="1745"/>
      <c r="AF29" s="1745"/>
      <c r="AG29" s="1746"/>
      <c r="AH29" s="1748">
        <f>UNOS1!G68</f>
        <v>0</v>
      </c>
      <c r="AI29" s="1748"/>
      <c r="AJ29" s="1748"/>
      <c r="AK29" s="1748"/>
      <c r="AL29" s="1748"/>
      <c r="AM29" s="1748"/>
      <c r="AN29" s="1748"/>
      <c r="AO29" s="1748"/>
      <c r="AP29" s="1748"/>
      <c r="AQ29" s="1748"/>
      <c r="AR29" s="1748">
        <f>UNOS1!F68</f>
        <v>0</v>
      </c>
      <c r="AS29" s="1748"/>
      <c r="AT29" s="1748"/>
      <c r="AU29" s="1748"/>
      <c r="AV29" s="1748"/>
      <c r="AW29" s="1748"/>
      <c r="AX29" s="1748"/>
      <c r="AY29" s="1748"/>
      <c r="AZ29" s="1748"/>
      <c r="BA29" s="1756"/>
    </row>
    <row r="30" spans="1:53" ht="18" customHeight="1">
      <c r="A30" s="1736" t="s">
        <v>330</v>
      </c>
      <c r="B30" s="1737"/>
      <c r="C30" s="1737"/>
      <c r="D30" s="1737"/>
      <c r="E30" s="964" t="s">
        <v>2809</v>
      </c>
      <c r="F30" s="965"/>
      <c r="G30" s="965"/>
      <c r="H30" s="965"/>
      <c r="I30" s="965"/>
      <c r="J30" s="965"/>
      <c r="K30" s="965"/>
      <c r="L30" s="965"/>
      <c r="M30" s="965"/>
      <c r="N30" s="965"/>
      <c r="O30" s="965"/>
      <c r="P30" s="965"/>
      <c r="Q30" s="965"/>
      <c r="R30" s="965"/>
      <c r="S30" s="965"/>
      <c r="T30" s="965"/>
      <c r="U30" s="965"/>
      <c r="V30" s="965"/>
      <c r="W30" s="965"/>
      <c r="X30" s="965"/>
      <c r="Y30" s="965"/>
      <c r="Z30" s="966"/>
      <c r="AA30" s="967"/>
      <c r="AB30" s="1744" t="s">
        <v>183</v>
      </c>
      <c r="AC30" s="1745"/>
      <c r="AD30" s="1745"/>
      <c r="AE30" s="1745"/>
      <c r="AF30" s="1745"/>
      <c r="AG30" s="1746"/>
      <c r="AH30" s="1748">
        <f>unos!G19</f>
        <v>0</v>
      </c>
      <c r="AI30" s="1748"/>
      <c r="AJ30" s="1748"/>
      <c r="AK30" s="1748"/>
      <c r="AL30" s="1748"/>
      <c r="AM30" s="1748"/>
      <c r="AN30" s="1748"/>
      <c r="AO30" s="1748"/>
      <c r="AP30" s="1748"/>
      <c r="AQ30" s="1748"/>
      <c r="AR30" s="1748">
        <f>unos!F19</f>
        <v>0</v>
      </c>
      <c r="AS30" s="1748"/>
      <c r="AT30" s="1748"/>
      <c r="AU30" s="1748"/>
      <c r="AV30" s="1748"/>
      <c r="AW30" s="1748"/>
      <c r="AX30" s="1748"/>
      <c r="AY30" s="1748"/>
      <c r="AZ30" s="1748"/>
      <c r="BA30" s="1756"/>
    </row>
    <row r="31" spans="1:53" ht="18" customHeight="1">
      <c r="A31" s="1736" t="s">
        <v>1044</v>
      </c>
      <c r="B31" s="1737"/>
      <c r="C31" s="1737"/>
      <c r="D31" s="1737"/>
      <c r="E31" s="964" t="s">
        <v>2531</v>
      </c>
      <c r="F31" s="965"/>
      <c r="G31" s="965"/>
      <c r="H31" s="965"/>
      <c r="I31" s="965"/>
      <c r="J31" s="965"/>
      <c r="K31" s="965"/>
      <c r="L31" s="965"/>
      <c r="M31" s="965"/>
      <c r="N31" s="965"/>
      <c r="O31" s="965"/>
      <c r="P31" s="965"/>
      <c r="Q31" s="965"/>
      <c r="R31" s="965"/>
      <c r="S31" s="965"/>
      <c r="T31" s="965"/>
      <c r="U31" s="965"/>
      <c r="V31" s="965"/>
      <c r="W31" s="965"/>
      <c r="X31" s="965"/>
      <c r="Y31" s="965"/>
      <c r="Z31" s="966"/>
      <c r="AA31" s="967"/>
      <c r="AB31" s="1744" t="s">
        <v>2219</v>
      </c>
      <c r="AC31" s="1745"/>
      <c r="AD31" s="1745"/>
      <c r="AE31" s="1745"/>
      <c r="AF31" s="1745"/>
      <c r="AG31" s="1746"/>
      <c r="AH31" s="1748">
        <f>unos!G20</f>
        <v>0</v>
      </c>
      <c r="AI31" s="1748"/>
      <c r="AJ31" s="1748"/>
      <c r="AK31" s="1748"/>
      <c r="AL31" s="1748"/>
      <c r="AM31" s="1748"/>
      <c r="AN31" s="1748"/>
      <c r="AO31" s="1748"/>
      <c r="AP31" s="1748"/>
      <c r="AQ31" s="1748"/>
      <c r="AR31" s="1748">
        <f>unos!F20</f>
        <v>0</v>
      </c>
      <c r="AS31" s="1748"/>
      <c r="AT31" s="1748"/>
      <c r="AU31" s="1748"/>
      <c r="AV31" s="1748"/>
      <c r="AW31" s="1748"/>
      <c r="AX31" s="1748"/>
      <c r="AY31" s="1748"/>
      <c r="AZ31" s="1748"/>
      <c r="BA31" s="1756"/>
    </row>
    <row r="32" spans="1:53" ht="18" customHeight="1">
      <c r="A32" s="1736" t="s">
        <v>1045</v>
      </c>
      <c r="B32" s="1737"/>
      <c r="C32" s="1737"/>
      <c r="D32" s="1737"/>
      <c r="E32" s="964" t="s">
        <v>1344</v>
      </c>
      <c r="F32" s="965"/>
      <c r="G32" s="965"/>
      <c r="H32" s="965"/>
      <c r="I32" s="965"/>
      <c r="J32" s="965"/>
      <c r="K32" s="965"/>
      <c r="L32" s="965"/>
      <c r="M32" s="965"/>
      <c r="N32" s="965"/>
      <c r="O32" s="965"/>
      <c r="P32" s="965"/>
      <c r="Q32" s="965"/>
      <c r="R32" s="965"/>
      <c r="S32" s="965"/>
      <c r="T32" s="965"/>
      <c r="U32" s="965"/>
      <c r="V32" s="965"/>
      <c r="W32" s="965"/>
      <c r="X32" s="965"/>
      <c r="Y32" s="965"/>
      <c r="Z32" s="966"/>
      <c r="AA32" s="967"/>
      <c r="AB32" s="1744" t="s">
        <v>814</v>
      </c>
      <c r="AC32" s="1745"/>
      <c r="AD32" s="1745"/>
      <c r="AE32" s="1745"/>
      <c r="AF32" s="1745"/>
      <c r="AG32" s="1746"/>
      <c r="AH32" s="1748">
        <f>unos!G21</f>
        <v>0</v>
      </c>
      <c r="AI32" s="1748"/>
      <c r="AJ32" s="1748"/>
      <c r="AK32" s="1748"/>
      <c r="AL32" s="1748"/>
      <c r="AM32" s="1748"/>
      <c r="AN32" s="1748"/>
      <c r="AO32" s="1748"/>
      <c r="AP32" s="1748"/>
      <c r="AQ32" s="1748"/>
      <c r="AR32" s="1748">
        <f>unos!F21</f>
        <v>0</v>
      </c>
      <c r="AS32" s="1748"/>
      <c r="AT32" s="1748"/>
      <c r="AU32" s="1748"/>
      <c r="AV32" s="1748"/>
      <c r="AW32" s="1748"/>
      <c r="AX32" s="1748"/>
      <c r="AY32" s="1748"/>
      <c r="AZ32" s="1748"/>
      <c r="BA32" s="1756"/>
    </row>
    <row r="33" spans="1:53" ht="18" customHeight="1">
      <c r="A33" s="1736" t="s">
        <v>1046</v>
      </c>
      <c r="B33" s="1737"/>
      <c r="C33" s="1737"/>
      <c r="D33" s="1737"/>
      <c r="E33" s="964" t="s">
        <v>1345</v>
      </c>
      <c r="F33" s="965"/>
      <c r="G33" s="965"/>
      <c r="H33" s="965"/>
      <c r="I33" s="965"/>
      <c r="J33" s="965"/>
      <c r="K33" s="965"/>
      <c r="L33" s="965"/>
      <c r="M33" s="965"/>
      <c r="N33" s="965"/>
      <c r="O33" s="965"/>
      <c r="P33" s="965"/>
      <c r="Q33" s="965"/>
      <c r="R33" s="965"/>
      <c r="S33" s="965"/>
      <c r="T33" s="965"/>
      <c r="U33" s="965"/>
      <c r="V33" s="965"/>
      <c r="W33" s="965"/>
      <c r="X33" s="965"/>
      <c r="Y33" s="965"/>
      <c r="Z33" s="966"/>
      <c r="AA33" s="967"/>
      <c r="AB33" s="1744" t="s">
        <v>815</v>
      </c>
      <c r="AC33" s="1745"/>
      <c r="AD33" s="1745"/>
      <c r="AE33" s="1745"/>
      <c r="AF33" s="1745"/>
      <c r="AG33" s="1746"/>
      <c r="AH33" s="1748">
        <f>unos!G22</f>
        <v>0</v>
      </c>
      <c r="AI33" s="1748"/>
      <c r="AJ33" s="1748"/>
      <c r="AK33" s="1748"/>
      <c r="AL33" s="1748"/>
      <c r="AM33" s="1748"/>
      <c r="AN33" s="1748"/>
      <c r="AO33" s="1748"/>
      <c r="AP33" s="1748"/>
      <c r="AQ33" s="1748"/>
      <c r="AR33" s="1748">
        <f>unos!F22</f>
        <v>0</v>
      </c>
      <c r="AS33" s="1748"/>
      <c r="AT33" s="1748"/>
      <c r="AU33" s="1748"/>
      <c r="AV33" s="1748"/>
      <c r="AW33" s="1748"/>
      <c r="AX33" s="1748"/>
      <c r="AY33" s="1748"/>
      <c r="AZ33" s="1748"/>
      <c r="BA33" s="1756"/>
    </row>
    <row r="34" spans="1:53" ht="18" customHeight="1">
      <c r="A34" s="1736" t="s">
        <v>2728</v>
      </c>
      <c r="B34" s="1737"/>
      <c r="C34" s="1737"/>
      <c r="D34" s="1737"/>
      <c r="E34" s="964" t="s">
        <v>1346</v>
      </c>
      <c r="F34" s="965"/>
      <c r="G34" s="965"/>
      <c r="H34" s="965"/>
      <c r="I34" s="965"/>
      <c r="J34" s="965"/>
      <c r="K34" s="965"/>
      <c r="L34" s="965"/>
      <c r="M34" s="965"/>
      <c r="N34" s="965"/>
      <c r="O34" s="965"/>
      <c r="P34" s="965"/>
      <c r="Q34" s="965"/>
      <c r="R34" s="965"/>
      <c r="S34" s="965"/>
      <c r="T34" s="965"/>
      <c r="U34" s="965"/>
      <c r="V34" s="965"/>
      <c r="W34" s="965"/>
      <c r="X34" s="965"/>
      <c r="Y34" s="965"/>
      <c r="Z34" s="966"/>
      <c r="AA34" s="967"/>
      <c r="AB34" s="1744" t="s">
        <v>2009</v>
      </c>
      <c r="AC34" s="1745"/>
      <c r="AD34" s="1745"/>
      <c r="AE34" s="1745"/>
      <c r="AF34" s="1745"/>
      <c r="AG34" s="1746"/>
      <c r="AH34" s="1748">
        <f>unos!G23</f>
        <v>0</v>
      </c>
      <c r="AI34" s="1748"/>
      <c r="AJ34" s="1748"/>
      <c r="AK34" s="1748"/>
      <c r="AL34" s="1748"/>
      <c r="AM34" s="1748"/>
      <c r="AN34" s="1748"/>
      <c r="AO34" s="1748"/>
      <c r="AP34" s="1748"/>
      <c r="AQ34" s="1748"/>
      <c r="AR34" s="1748">
        <f>unos!F23</f>
        <v>0</v>
      </c>
      <c r="AS34" s="1748"/>
      <c r="AT34" s="1748"/>
      <c r="AU34" s="1748"/>
      <c r="AV34" s="1748"/>
      <c r="AW34" s="1748"/>
      <c r="AX34" s="1748"/>
      <c r="AY34" s="1748"/>
      <c r="AZ34" s="1748"/>
      <c r="BA34" s="1756"/>
    </row>
    <row r="35" spans="1:53" ht="18" customHeight="1">
      <c r="A35" s="1736" t="s">
        <v>1171</v>
      </c>
      <c r="B35" s="1737"/>
      <c r="C35" s="1737"/>
      <c r="D35" s="1737"/>
      <c r="E35" s="964" t="s">
        <v>1347</v>
      </c>
      <c r="F35" s="965"/>
      <c r="G35" s="965"/>
      <c r="H35" s="965"/>
      <c r="I35" s="965"/>
      <c r="J35" s="965"/>
      <c r="K35" s="965"/>
      <c r="L35" s="965"/>
      <c r="M35" s="965"/>
      <c r="N35" s="965"/>
      <c r="O35" s="965"/>
      <c r="P35" s="965"/>
      <c r="Q35" s="965"/>
      <c r="R35" s="965"/>
      <c r="S35" s="965"/>
      <c r="T35" s="965"/>
      <c r="U35" s="965"/>
      <c r="V35" s="965"/>
      <c r="W35" s="965"/>
      <c r="X35" s="965"/>
      <c r="Y35" s="965"/>
      <c r="Z35" s="966"/>
      <c r="AA35" s="967"/>
      <c r="AB35" s="1744" t="s">
        <v>2220</v>
      </c>
      <c r="AC35" s="1745"/>
      <c r="AD35" s="1745"/>
      <c r="AE35" s="1745"/>
      <c r="AF35" s="1745"/>
      <c r="AG35" s="1746"/>
      <c r="AH35" s="1748">
        <f>unos!G24</f>
        <v>0</v>
      </c>
      <c r="AI35" s="1748"/>
      <c r="AJ35" s="1748"/>
      <c r="AK35" s="1748"/>
      <c r="AL35" s="1748"/>
      <c r="AM35" s="1748"/>
      <c r="AN35" s="1748"/>
      <c r="AO35" s="1748"/>
      <c r="AP35" s="1748"/>
      <c r="AQ35" s="1748"/>
      <c r="AR35" s="1748">
        <f>unos!F24</f>
        <v>0</v>
      </c>
      <c r="AS35" s="1748"/>
      <c r="AT35" s="1748"/>
      <c r="AU35" s="1748"/>
      <c r="AV35" s="1748"/>
      <c r="AW35" s="1748"/>
      <c r="AX35" s="1748"/>
      <c r="AY35" s="1748"/>
      <c r="AZ35" s="1748"/>
      <c r="BA35" s="1756"/>
    </row>
    <row r="36" spans="1:53" ht="18" customHeight="1">
      <c r="A36" s="1736" t="s">
        <v>1095</v>
      </c>
      <c r="B36" s="1737"/>
      <c r="C36" s="1737"/>
      <c r="D36" s="1737"/>
      <c r="E36" s="964" t="s">
        <v>2810</v>
      </c>
      <c r="F36" s="965"/>
      <c r="G36" s="965"/>
      <c r="H36" s="965"/>
      <c r="I36" s="965"/>
      <c r="J36" s="965"/>
      <c r="K36" s="965"/>
      <c r="L36" s="965"/>
      <c r="M36" s="965"/>
      <c r="N36" s="965"/>
      <c r="O36" s="965"/>
      <c r="P36" s="965"/>
      <c r="Q36" s="965"/>
      <c r="R36" s="965"/>
      <c r="S36" s="965"/>
      <c r="T36" s="965"/>
      <c r="U36" s="965"/>
      <c r="V36" s="965"/>
      <c r="W36" s="965"/>
      <c r="X36" s="965"/>
      <c r="Y36" s="965"/>
      <c r="Z36" s="966"/>
      <c r="AA36" s="967"/>
      <c r="AB36" s="1744" t="s">
        <v>2812</v>
      </c>
      <c r="AC36" s="1745"/>
      <c r="AD36" s="1745"/>
      <c r="AE36" s="1745"/>
      <c r="AF36" s="1745"/>
      <c r="AG36" s="1746"/>
      <c r="AH36" s="1748">
        <f>UNOS1!G71</f>
        <v>0</v>
      </c>
      <c r="AI36" s="1748"/>
      <c r="AJ36" s="1748"/>
      <c r="AK36" s="1748"/>
      <c r="AL36" s="1748"/>
      <c r="AM36" s="1748"/>
      <c r="AN36" s="1748"/>
      <c r="AO36" s="1748"/>
      <c r="AP36" s="1748"/>
      <c r="AQ36" s="1748"/>
      <c r="AR36" s="1748">
        <f>UNOS1!F71</f>
        <v>0</v>
      </c>
      <c r="AS36" s="1748"/>
      <c r="AT36" s="1748"/>
      <c r="AU36" s="1748"/>
      <c r="AV36" s="1748"/>
      <c r="AW36" s="1748"/>
      <c r="AX36" s="1748"/>
      <c r="AY36" s="1748"/>
      <c r="AZ36" s="1748"/>
      <c r="BA36" s="1756"/>
    </row>
    <row r="37" spans="1:53" ht="18" customHeight="1">
      <c r="A37" s="1736" t="s">
        <v>439</v>
      </c>
      <c r="B37" s="1737"/>
      <c r="C37" s="1737"/>
      <c r="D37" s="1737"/>
      <c r="E37" s="964" t="s">
        <v>524</v>
      </c>
      <c r="F37" s="965"/>
      <c r="G37" s="965"/>
      <c r="H37" s="965"/>
      <c r="I37" s="965"/>
      <c r="J37" s="965"/>
      <c r="K37" s="965"/>
      <c r="L37" s="965"/>
      <c r="M37" s="965"/>
      <c r="N37" s="965"/>
      <c r="O37" s="965"/>
      <c r="P37" s="965"/>
      <c r="Q37" s="965"/>
      <c r="R37" s="965"/>
      <c r="S37" s="965"/>
      <c r="T37" s="965"/>
      <c r="U37" s="965"/>
      <c r="V37" s="965"/>
      <c r="W37" s="965"/>
      <c r="X37" s="965"/>
      <c r="Y37" s="965"/>
      <c r="Z37" s="966"/>
      <c r="AA37" s="967"/>
      <c r="AB37" s="1744" t="s">
        <v>2812</v>
      </c>
      <c r="AC37" s="1745"/>
      <c r="AD37" s="1745"/>
      <c r="AE37" s="1745"/>
      <c r="AF37" s="1745"/>
      <c r="AG37" s="1746"/>
      <c r="AH37" s="1748">
        <f>UNOS1!G72</f>
        <v>0</v>
      </c>
      <c r="AI37" s="1748"/>
      <c r="AJ37" s="1748"/>
      <c r="AK37" s="1748"/>
      <c r="AL37" s="1748"/>
      <c r="AM37" s="1748"/>
      <c r="AN37" s="1748"/>
      <c r="AO37" s="1748"/>
      <c r="AP37" s="1748"/>
      <c r="AQ37" s="1748"/>
      <c r="AR37" s="1748">
        <f>UNOS1!F72</f>
        <v>0</v>
      </c>
      <c r="AS37" s="1748"/>
      <c r="AT37" s="1748"/>
      <c r="AU37" s="1748"/>
      <c r="AV37" s="1748"/>
      <c r="AW37" s="1748"/>
      <c r="AX37" s="1748"/>
      <c r="AY37" s="1748"/>
      <c r="AZ37" s="1748"/>
      <c r="BA37" s="1756"/>
    </row>
    <row r="38" spans="1:53" ht="18" customHeight="1">
      <c r="A38" s="1736" t="s">
        <v>440</v>
      </c>
      <c r="B38" s="1737"/>
      <c r="C38" s="1737"/>
      <c r="D38" s="1737"/>
      <c r="E38" s="964" t="s">
        <v>2811</v>
      </c>
      <c r="F38" s="965"/>
      <c r="G38" s="965"/>
      <c r="H38" s="965"/>
      <c r="I38" s="965"/>
      <c r="J38" s="965"/>
      <c r="K38" s="965"/>
      <c r="L38" s="965"/>
      <c r="M38" s="965"/>
      <c r="N38" s="965"/>
      <c r="O38" s="965"/>
      <c r="P38" s="965"/>
      <c r="Q38" s="965"/>
      <c r="R38" s="965"/>
      <c r="S38" s="965"/>
      <c r="T38" s="965"/>
      <c r="U38" s="965"/>
      <c r="V38" s="965"/>
      <c r="W38" s="965"/>
      <c r="X38" s="965"/>
      <c r="Y38" s="965"/>
      <c r="Z38" s="966"/>
      <c r="AA38" s="967"/>
      <c r="AB38" s="1744" t="s">
        <v>2812</v>
      </c>
      <c r="AC38" s="1745"/>
      <c r="AD38" s="1745"/>
      <c r="AE38" s="1745"/>
      <c r="AF38" s="1745"/>
      <c r="AG38" s="1746"/>
      <c r="AH38" s="1748">
        <f>UNOS1!G73</f>
        <v>0</v>
      </c>
      <c r="AI38" s="1748"/>
      <c r="AJ38" s="1748"/>
      <c r="AK38" s="1748"/>
      <c r="AL38" s="1748"/>
      <c r="AM38" s="1748"/>
      <c r="AN38" s="1748"/>
      <c r="AO38" s="1748"/>
      <c r="AP38" s="1748"/>
      <c r="AQ38" s="1748"/>
      <c r="AR38" s="1748">
        <f>UNOS1!F73</f>
        <v>0</v>
      </c>
      <c r="AS38" s="1748"/>
      <c r="AT38" s="1748"/>
      <c r="AU38" s="1748"/>
      <c r="AV38" s="1748"/>
      <c r="AW38" s="1748"/>
      <c r="AX38" s="1748"/>
      <c r="AY38" s="1748"/>
      <c r="AZ38" s="1748"/>
      <c r="BA38" s="1756"/>
    </row>
    <row r="39" spans="1:53" s="947" customFormat="1" ht="15.75" customHeight="1" thickBot="1">
      <c r="A39" s="1742" t="s">
        <v>1096</v>
      </c>
      <c r="B39" s="1743"/>
      <c r="C39" s="1743"/>
      <c r="D39" s="1743"/>
      <c r="E39" s="969" t="s">
        <v>525</v>
      </c>
      <c r="F39" s="970"/>
      <c r="G39" s="970"/>
      <c r="H39" s="970"/>
      <c r="I39" s="970"/>
      <c r="J39" s="970"/>
      <c r="K39" s="970"/>
      <c r="L39" s="970"/>
      <c r="M39" s="970"/>
      <c r="N39" s="970"/>
      <c r="O39" s="970"/>
      <c r="P39" s="970"/>
      <c r="Q39" s="970"/>
      <c r="R39" s="970"/>
      <c r="S39" s="970"/>
      <c r="T39" s="970"/>
      <c r="U39" s="970"/>
      <c r="V39" s="970"/>
      <c r="W39" s="970"/>
      <c r="X39" s="970"/>
      <c r="Y39" s="970"/>
      <c r="Z39" s="971"/>
      <c r="AA39" s="972"/>
      <c r="AB39" s="1749" t="s">
        <v>2812</v>
      </c>
      <c r="AC39" s="1750"/>
      <c r="AD39" s="1750"/>
      <c r="AE39" s="1750"/>
      <c r="AF39" s="1750"/>
      <c r="AG39" s="1751"/>
      <c r="AH39" s="1734">
        <f>UNOS1!G74</f>
        <v>0</v>
      </c>
      <c r="AI39" s="1734"/>
      <c r="AJ39" s="1734"/>
      <c r="AK39" s="1734"/>
      <c r="AL39" s="1734"/>
      <c r="AM39" s="1734"/>
      <c r="AN39" s="1734"/>
      <c r="AO39" s="1734"/>
      <c r="AP39" s="1734"/>
      <c r="AQ39" s="1734"/>
      <c r="AR39" s="1734">
        <f>UNOS1!F74</f>
        <v>0</v>
      </c>
      <c r="AS39" s="1734"/>
      <c r="AT39" s="1734"/>
      <c r="AU39" s="1734"/>
      <c r="AV39" s="1734"/>
      <c r="AW39" s="1734"/>
      <c r="AX39" s="1734"/>
      <c r="AY39" s="1734"/>
      <c r="AZ39" s="1734"/>
      <c r="BA39" s="1735"/>
    </row>
    <row r="40" spans="1:53" s="947" customFormat="1" ht="24.75" customHeight="1">
      <c r="A40" s="1189"/>
      <c r="B40" s="1189"/>
      <c r="C40" s="1189"/>
      <c r="D40" s="1189"/>
      <c r="E40" s="1194"/>
      <c r="F40" s="1194"/>
      <c r="G40" s="1194"/>
      <c r="H40" s="1194"/>
      <c r="I40" s="1194"/>
      <c r="J40" s="1194"/>
      <c r="K40" s="1194"/>
      <c r="L40" s="1194"/>
      <c r="M40" s="1194"/>
      <c r="N40" s="1194"/>
      <c r="O40" s="1194"/>
      <c r="P40" s="1194"/>
      <c r="Q40" s="1194"/>
      <c r="R40" s="1194"/>
      <c r="S40" s="1194"/>
      <c r="T40" s="1194"/>
      <c r="U40" s="1191"/>
      <c r="V40" s="1191"/>
      <c r="W40" s="1191"/>
      <c r="X40" s="1191"/>
      <c r="Y40" s="1191"/>
      <c r="Z40" s="1192"/>
      <c r="AA40" s="1192"/>
      <c r="AB40" s="1192"/>
      <c r="AC40" s="1192"/>
      <c r="AD40" s="1192"/>
      <c r="AE40" s="1192"/>
      <c r="AF40" s="1192"/>
      <c r="AG40" s="1192"/>
      <c r="AH40" s="1192"/>
      <c r="AI40" s="1192"/>
      <c r="AJ40" s="1192"/>
      <c r="AK40" s="1192"/>
      <c r="AL40" s="1192"/>
      <c r="AM40" s="1192"/>
      <c r="AN40" s="1192"/>
      <c r="AO40" s="1192"/>
      <c r="AP40" s="1192"/>
      <c r="AQ40" s="1192"/>
      <c r="AR40" s="1192"/>
      <c r="AS40" s="1192"/>
      <c r="AT40" s="1192"/>
      <c r="AU40" s="1774" t="s">
        <v>847</v>
      </c>
      <c r="AV40" s="1774"/>
      <c r="AW40" s="1774"/>
      <c r="AX40" s="1774"/>
      <c r="AY40" s="1774"/>
      <c r="AZ40" s="1774"/>
      <c r="BA40" s="1774"/>
    </row>
    <row r="41" spans="1:53" s="947" customFormat="1" ht="6.75" customHeight="1" thickBot="1">
      <c r="A41" s="1189"/>
      <c r="B41" s="1189"/>
      <c r="C41" s="1189"/>
      <c r="D41" s="1189"/>
      <c r="E41" s="1194"/>
      <c r="F41" s="1194"/>
      <c r="G41" s="1194"/>
      <c r="H41" s="1194"/>
      <c r="I41" s="1194"/>
      <c r="J41" s="1194"/>
      <c r="K41" s="1194"/>
      <c r="L41" s="1194"/>
      <c r="M41" s="1194"/>
      <c r="N41" s="1194"/>
      <c r="O41" s="1194"/>
      <c r="P41" s="1194"/>
      <c r="Q41" s="1194"/>
      <c r="R41" s="1194"/>
      <c r="S41" s="1194"/>
      <c r="T41" s="1194"/>
      <c r="U41" s="1191"/>
      <c r="V41" s="1191"/>
      <c r="W41" s="1191"/>
      <c r="X41" s="1191"/>
      <c r="Y41" s="1191"/>
      <c r="Z41" s="1192"/>
      <c r="AA41" s="1192"/>
      <c r="AB41" s="1192"/>
      <c r="AC41" s="1192"/>
      <c r="AD41" s="1192"/>
      <c r="AE41" s="1192"/>
      <c r="AF41" s="1192"/>
      <c r="AG41" s="1192"/>
      <c r="AH41" s="1192"/>
      <c r="AI41" s="1192"/>
      <c r="AJ41" s="1192"/>
      <c r="AK41" s="1192"/>
      <c r="AL41" s="1192"/>
      <c r="AM41" s="1192"/>
      <c r="AN41" s="1192"/>
      <c r="AO41" s="1192"/>
      <c r="AP41" s="1192"/>
      <c r="AQ41" s="1192"/>
      <c r="AR41" s="1192"/>
      <c r="AS41" s="1192"/>
      <c r="AT41" s="1192"/>
      <c r="AU41" s="1193"/>
      <c r="AV41" s="1193"/>
      <c r="AW41" s="1193"/>
      <c r="AX41" s="1193"/>
      <c r="AY41" s="1193"/>
      <c r="AZ41" s="1193"/>
      <c r="BA41" s="1193"/>
    </row>
    <row r="42" spans="1:53" ht="13.5" customHeight="1" thickBot="1">
      <c r="A42" s="1764" t="s">
        <v>522</v>
      </c>
      <c r="B42" s="1765"/>
      <c r="C42" s="1765"/>
      <c r="D42" s="1765"/>
      <c r="E42" s="1766">
        <v>2</v>
      </c>
      <c r="F42" s="1767"/>
      <c r="G42" s="1767"/>
      <c r="H42" s="1767"/>
      <c r="I42" s="1767"/>
      <c r="J42" s="1767"/>
      <c r="K42" s="1767"/>
      <c r="L42" s="1767"/>
      <c r="M42" s="1767"/>
      <c r="N42" s="1767"/>
      <c r="O42" s="1767"/>
      <c r="P42" s="1767"/>
      <c r="Q42" s="1767"/>
      <c r="R42" s="1767"/>
      <c r="S42" s="1767"/>
      <c r="T42" s="1767"/>
      <c r="U42" s="956"/>
      <c r="V42" s="956"/>
      <c r="W42" s="956"/>
      <c r="X42" s="956"/>
      <c r="Y42" s="956"/>
      <c r="Z42" s="956"/>
      <c r="AA42" s="957"/>
      <c r="AB42" s="1766">
        <v>3</v>
      </c>
      <c r="AC42" s="1767"/>
      <c r="AD42" s="1767"/>
      <c r="AE42" s="1767"/>
      <c r="AF42" s="1767"/>
      <c r="AG42" s="1768"/>
      <c r="AH42" s="1766">
        <v>4</v>
      </c>
      <c r="AI42" s="1767"/>
      <c r="AJ42" s="1767"/>
      <c r="AK42" s="1767"/>
      <c r="AL42" s="1767"/>
      <c r="AM42" s="1767"/>
      <c r="AN42" s="1767"/>
      <c r="AO42" s="1767"/>
      <c r="AP42" s="1767"/>
      <c r="AQ42" s="1768"/>
      <c r="AR42" s="1766">
        <v>5</v>
      </c>
      <c r="AS42" s="1767"/>
      <c r="AT42" s="1767"/>
      <c r="AU42" s="1767"/>
      <c r="AV42" s="1767"/>
      <c r="AW42" s="1767"/>
      <c r="AX42" s="1767"/>
      <c r="AY42" s="1767"/>
      <c r="AZ42" s="1767"/>
      <c r="BA42" s="1770"/>
    </row>
    <row r="43" spans="1:53" ht="15" customHeight="1">
      <c r="A43" s="2024" t="s">
        <v>1097</v>
      </c>
      <c r="B43" s="2025"/>
      <c r="C43" s="2025"/>
      <c r="D43" s="2025"/>
      <c r="E43" s="1202" t="s">
        <v>1835</v>
      </c>
      <c r="F43" s="947"/>
      <c r="G43" s="1203"/>
      <c r="H43" s="1203"/>
      <c r="I43" s="1203"/>
      <c r="J43" s="1203"/>
      <c r="K43" s="1203"/>
      <c r="L43" s="1203"/>
      <c r="M43" s="1203"/>
      <c r="N43" s="1203"/>
      <c r="O43" s="1203"/>
      <c r="P43" s="1203"/>
      <c r="Q43" s="1203"/>
      <c r="R43" s="1203"/>
      <c r="S43" s="1203"/>
      <c r="T43" s="1203"/>
      <c r="U43" s="1203"/>
      <c r="V43" s="1203"/>
      <c r="W43" s="1203"/>
      <c r="X43" s="1203"/>
      <c r="Y43" s="1203"/>
      <c r="Z43" s="1204"/>
      <c r="AA43" s="1205"/>
      <c r="AB43" s="2026" t="s">
        <v>2425</v>
      </c>
      <c r="AC43" s="2027"/>
      <c r="AD43" s="2027"/>
      <c r="AE43" s="2027"/>
      <c r="AF43" s="2027"/>
      <c r="AG43" s="2028"/>
      <c r="AH43" s="2029">
        <f>unos!G67</f>
        <v>0</v>
      </c>
      <c r="AI43" s="2030"/>
      <c r="AJ43" s="2030"/>
      <c r="AK43" s="2030"/>
      <c r="AL43" s="2030"/>
      <c r="AM43" s="2030"/>
      <c r="AN43" s="2030"/>
      <c r="AO43" s="2030"/>
      <c r="AP43" s="2030"/>
      <c r="AQ43" s="2031"/>
      <c r="AR43" s="2029">
        <f>unos!F67</f>
        <v>0</v>
      </c>
      <c r="AS43" s="2030"/>
      <c r="AT43" s="2030"/>
      <c r="AU43" s="2030"/>
      <c r="AV43" s="2030"/>
      <c r="AW43" s="2030"/>
      <c r="AX43" s="2030"/>
      <c r="AY43" s="2030"/>
      <c r="AZ43" s="2030"/>
      <c r="BA43" s="2035"/>
    </row>
    <row r="44" spans="1:53" ht="11.25" customHeight="1">
      <c r="A44" s="1795"/>
      <c r="B44" s="1796"/>
      <c r="C44" s="1796"/>
      <c r="D44" s="1796"/>
      <c r="E44" s="1206" t="s">
        <v>2805</v>
      </c>
      <c r="F44" s="961"/>
      <c r="G44" s="961"/>
      <c r="H44" s="961"/>
      <c r="I44" s="961"/>
      <c r="J44" s="961"/>
      <c r="K44" s="961"/>
      <c r="L44" s="961"/>
      <c r="M44" s="961"/>
      <c r="N44" s="961"/>
      <c r="O44" s="961"/>
      <c r="P44" s="961"/>
      <c r="Q44" s="961"/>
      <c r="R44" s="961"/>
      <c r="S44" s="961"/>
      <c r="T44" s="961"/>
      <c r="U44" s="961"/>
      <c r="V44" s="961"/>
      <c r="W44" s="961"/>
      <c r="X44" s="961"/>
      <c r="Y44" s="961"/>
      <c r="Z44" s="962"/>
      <c r="AA44" s="963"/>
      <c r="AB44" s="1797"/>
      <c r="AC44" s="1798"/>
      <c r="AD44" s="1798"/>
      <c r="AE44" s="1798"/>
      <c r="AF44" s="1798"/>
      <c r="AG44" s="1799"/>
      <c r="AH44" s="2032"/>
      <c r="AI44" s="2033"/>
      <c r="AJ44" s="2033"/>
      <c r="AK44" s="2033"/>
      <c r="AL44" s="2033"/>
      <c r="AM44" s="2033"/>
      <c r="AN44" s="2033"/>
      <c r="AO44" s="2033"/>
      <c r="AP44" s="2033"/>
      <c r="AQ44" s="2034"/>
      <c r="AR44" s="2032"/>
      <c r="AS44" s="2033"/>
      <c r="AT44" s="2033"/>
      <c r="AU44" s="2033"/>
      <c r="AV44" s="2033"/>
      <c r="AW44" s="2033"/>
      <c r="AX44" s="2033"/>
      <c r="AY44" s="2033"/>
      <c r="AZ44" s="2033"/>
      <c r="BA44" s="2036"/>
    </row>
    <row r="45" spans="1:53" ht="18" customHeight="1">
      <c r="A45" s="1736" t="s">
        <v>1098</v>
      </c>
      <c r="B45" s="1737"/>
      <c r="C45" s="1737"/>
      <c r="D45" s="1737"/>
      <c r="E45" s="964" t="s">
        <v>2815</v>
      </c>
      <c r="F45" s="965"/>
      <c r="G45" s="965"/>
      <c r="H45" s="965"/>
      <c r="I45" s="965"/>
      <c r="J45" s="965"/>
      <c r="K45" s="965"/>
      <c r="L45" s="965"/>
      <c r="M45" s="965"/>
      <c r="N45" s="965"/>
      <c r="O45" s="965"/>
      <c r="P45" s="965"/>
      <c r="Q45" s="965"/>
      <c r="R45" s="965"/>
      <c r="S45" s="965"/>
      <c r="T45" s="965"/>
      <c r="U45" s="965"/>
      <c r="V45" s="965"/>
      <c r="W45" s="965"/>
      <c r="X45" s="965"/>
      <c r="Y45" s="965"/>
      <c r="Z45" s="966"/>
      <c r="AA45" s="967"/>
      <c r="AB45" s="1744" t="s">
        <v>2816</v>
      </c>
      <c r="AC45" s="1745"/>
      <c r="AD45" s="1745"/>
      <c r="AE45" s="1745"/>
      <c r="AF45" s="1745"/>
      <c r="AG45" s="1746"/>
      <c r="AH45" s="1748">
        <f>UNOS1!G79</f>
        <v>0</v>
      </c>
      <c r="AI45" s="1748"/>
      <c r="AJ45" s="1748"/>
      <c r="AK45" s="1748"/>
      <c r="AL45" s="1748"/>
      <c r="AM45" s="1748"/>
      <c r="AN45" s="1748"/>
      <c r="AO45" s="1748"/>
      <c r="AP45" s="1748"/>
      <c r="AQ45" s="1748"/>
      <c r="AR45" s="1748">
        <f>UNOS1!F79</f>
        <v>0</v>
      </c>
      <c r="AS45" s="1748"/>
      <c r="AT45" s="1748"/>
      <c r="AU45" s="1748"/>
      <c r="AV45" s="1748"/>
      <c r="AW45" s="1748"/>
      <c r="AX45" s="1748"/>
      <c r="AY45" s="1748"/>
      <c r="AZ45" s="1748"/>
      <c r="BA45" s="1756"/>
    </row>
    <row r="46" spans="1:53" ht="18.75" customHeight="1">
      <c r="A46" s="1736" t="s">
        <v>1099</v>
      </c>
      <c r="B46" s="1737"/>
      <c r="C46" s="1737"/>
      <c r="D46" s="1737"/>
      <c r="E46" s="964" t="s">
        <v>2817</v>
      </c>
      <c r="F46" s="965"/>
      <c r="G46" s="965"/>
      <c r="H46" s="965"/>
      <c r="I46" s="965"/>
      <c r="J46" s="965"/>
      <c r="K46" s="965"/>
      <c r="L46" s="965"/>
      <c r="M46" s="965"/>
      <c r="N46" s="965"/>
      <c r="O46" s="965"/>
      <c r="P46" s="965"/>
      <c r="Q46" s="965"/>
      <c r="R46" s="965"/>
      <c r="S46" s="965"/>
      <c r="T46" s="965"/>
      <c r="U46" s="965"/>
      <c r="V46" s="965"/>
      <c r="W46" s="965"/>
      <c r="X46" s="965"/>
      <c r="Y46" s="965"/>
      <c r="Z46" s="966"/>
      <c r="AA46" s="967"/>
      <c r="AB46" s="1744" t="s">
        <v>2426</v>
      </c>
      <c r="AC46" s="1745"/>
      <c r="AD46" s="1745"/>
      <c r="AE46" s="1745"/>
      <c r="AF46" s="1745"/>
      <c r="AG46" s="1746"/>
      <c r="AH46" s="1748">
        <f>unos!G68</f>
        <v>0</v>
      </c>
      <c r="AI46" s="1748"/>
      <c r="AJ46" s="1748"/>
      <c r="AK46" s="1748"/>
      <c r="AL46" s="1748"/>
      <c r="AM46" s="1748"/>
      <c r="AN46" s="1748"/>
      <c r="AO46" s="1748"/>
      <c r="AP46" s="1748"/>
      <c r="AQ46" s="1748"/>
      <c r="AR46" s="1748">
        <f>unos!F68</f>
        <v>0</v>
      </c>
      <c r="AS46" s="1748"/>
      <c r="AT46" s="1748"/>
      <c r="AU46" s="1748"/>
      <c r="AV46" s="1748"/>
      <c r="AW46" s="1748"/>
      <c r="AX46" s="1748"/>
      <c r="AY46" s="1748"/>
      <c r="AZ46" s="1748"/>
      <c r="BA46" s="1756"/>
    </row>
    <row r="47" spans="1:53" ht="18.75" customHeight="1">
      <c r="A47" s="1736" t="s">
        <v>1100</v>
      </c>
      <c r="B47" s="1737"/>
      <c r="C47" s="1737"/>
      <c r="D47" s="1737"/>
      <c r="E47" s="964" t="s">
        <v>2818</v>
      </c>
      <c r="F47" s="965"/>
      <c r="G47" s="965"/>
      <c r="H47" s="965"/>
      <c r="I47" s="965"/>
      <c r="J47" s="965"/>
      <c r="K47" s="965"/>
      <c r="L47" s="965"/>
      <c r="M47" s="965"/>
      <c r="N47" s="965"/>
      <c r="O47" s="965"/>
      <c r="P47" s="965"/>
      <c r="Q47" s="965"/>
      <c r="R47" s="965"/>
      <c r="S47" s="965"/>
      <c r="T47" s="965"/>
      <c r="U47" s="965"/>
      <c r="V47" s="965"/>
      <c r="W47" s="965"/>
      <c r="X47" s="965"/>
      <c r="Y47" s="965"/>
      <c r="Z47" s="966"/>
      <c r="AA47" s="967"/>
      <c r="AB47" s="1744" t="s">
        <v>878</v>
      </c>
      <c r="AC47" s="1745"/>
      <c r="AD47" s="1745"/>
      <c r="AE47" s="1745"/>
      <c r="AF47" s="1745"/>
      <c r="AG47" s="1746"/>
      <c r="AH47" s="1748">
        <f>SUM(AH48:AH56)</f>
        <v>0</v>
      </c>
      <c r="AI47" s="1748"/>
      <c r="AJ47" s="1748"/>
      <c r="AK47" s="1748"/>
      <c r="AL47" s="1748"/>
      <c r="AM47" s="1748"/>
      <c r="AN47" s="1748"/>
      <c r="AO47" s="1748"/>
      <c r="AP47" s="1748"/>
      <c r="AQ47" s="1748"/>
      <c r="AR47" s="1748">
        <f>SUM(AR48:AR56)</f>
        <v>0</v>
      </c>
      <c r="AS47" s="1748"/>
      <c r="AT47" s="1748"/>
      <c r="AU47" s="1748"/>
      <c r="AV47" s="1748"/>
      <c r="AW47" s="1748"/>
      <c r="AX47" s="1748"/>
      <c r="AY47" s="1748"/>
      <c r="AZ47" s="1748"/>
      <c r="BA47" s="1756"/>
    </row>
    <row r="48" spans="1:53" ht="18.75" customHeight="1">
      <c r="A48" s="1736" t="s">
        <v>1101</v>
      </c>
      <c r="B48" s="1737"/>
      <c r="C48" s="1737"/>
      <c r="D48" s="1737"/>
      <c r="E48" s="964" t="s">
        <v>1839</v>
      </c>
      <c r="F48" s="965"/>
      <c r="G48" s="965"/>
      <c r="H48" s="965"/>
      <c r="I48" s="965"/>
      <c r="J48" s="965"/>
      <c r="K48" s="965"/>
      <c r="L48" s="965"/>
      <c r="M48" s="965"/>
      <c r="N48" s="965"/>
      <c r="O48" s="965"/>
      <c r="P48" s="965"/>
      <c r="Q48" s="965"/>
      <c r="R48" s="965"/>
      <c r="S48" s="965"/>
      <c r="T48" s="965"/>
      <c r="U48" s="965"/>
      <c r="V48" s="965"/>
      <c r="W48" s="965"/>
      <c r="X48" s="965"/>
      <c r="Y48" s="965"/>
      <c r="Z48" s="966"/>
      <c r="AA48" s="967"/>
      <c r="AB48" s="1744" t="s">
        <v>334</v>
      </c>
      <c r="AC48" s="1745"/>
      <c r="AD48" s="1745"/>
      <c r="AE48" s="1745"/>
      <c r="AF48" s="1745"/>
      <c r="AG48" s="1746"/>
      <c r="AH48" s="1748">
        <f>unos!G71</f>
        <v>0</v>
      </c>
      <c r="AI48" s="1748"/>
      <c r="AJ48" s="1748"/>
      <c r="AK48" s="1748"/>
      <c r="AL48" s="1748"/>
      <c r="AM48" s="1748"/>
      <c r="AN48" s="1748"/>
      <c r="AO48" s="1748"/>
      <c r="AP48" s="1748"/>
      <c r="AQ48" s="1748"/>
      <c r="AR48" s="1748">
        <f>unos!F71</f>
        <v>0</v>
      </c>
      <c r="AS48" s="1748"/>
      <c r="AT48" s="1748"/>
      <c r="AU48" s="1748"/>
      <c r="AV48" s="1748"/>
      <c r="AW48" s="1748"/>
      <c r="AX48" s="1748"/>
      <c r="AY48" s="1748"/>
      <c r="AZ48" s="1748"/>
      <c r="BA48" s="1756"/>
    </row>
    <row r="49" spans="1:53" ht="18.75" customHeight="1">
      <c r="A49" s="1736" t="s">
        <v>1102</v>
      </c>
      <c r="B49" s="1737"/>
      <c r="C49" s="1737"/>
      <c r="D49" s="1737"/>
      <c r="E49" s="964" t="s">
        <v>1840</v>
      </c>
      <c r="F49" s="965"/>
      <c r="G49" s="965"/>
      <c r="H49" s="965"/>
      <c r="I49" s="965"/>
      <c r="J49" s="965"/>
      <c r="K49" s="965"/>
      <c r="L49" s="965"/>
      <c r="M49" s="965"/>
      <c r="N49" s="965"/>
      <c r="O49" s="965"/>
      <c r="P49" s="965"/>
      <c r="Q49" s="965"/>
      <c r="R49" s="965"/>
      <c r="S49" s="965"/>
      <c r="T49" s="965"/>
      <c r="U49" s="965"/>
      <c r="V49" s="965"/>
      <c r="W49" s="965"/>
      <c r="X49" s="965"/>
      <c r="Y49" s="965"/>
      <c r="Z49" s="966"/>
      <c r="AA49" s="967"/>
      <c r="AB49" s="1744" t="s">
        <v>2200</v>
      </c>
      <c r="AC49" s="1745"/>
      <c r="AD49" s="1745"/>
      <c r="AE49" s="1745"/>
      <c r="AF49" s="1745"/>
      <c r="AG49" s="1746"/>
      <c r="AH49" s="1748">
        <f>unos!G72</f>
        <v>0</v>
      </c>
      <c r="AI49" s="1748"/>
      <c r="AJ49" s="1748"/>
      <c r="AK49" s="1748"/>
      <c r="AL49" s="1748"/>
      <c r="AM49" s="1748"/>
      <c r="AN49" s="1748"/>
      <c r="AO49" s="1748"/>
      <c r="AP49" s="1748"/>
      <c r="AQ49" s="1748"/>
      <c r="AR49" s="1748">
        <f>unos!F72</f>
        <v>0</v>
      </c>
      <c r="AS49" s="1748"/>
      <c r="AT49" s="1748"/>
      <c r="AU49" s="1748"/>
      <c r="AV49" s="1748"/>
      <c r="AW49" s="1748"/>
      <c r="AX49" s="1748"/>
      <c r="AY49" s="1748"/>
      <c r="AZ49" s="1748"/>
      <c r="BA49" s="1756"/>
    </row>
    <row r="50" spans="1:53" ht="18.75" customHeight="1">
      <c r="A50" s="1736" t="s">
        <v>145</v>
      </c>
      <c r="B50" s="1737"/>
      <c r="C50" s="1737"/>
      <c r="D50" s="1737"/>
      <c r="E50" s="964" t="s">
        <v>1841</v>
      </c>
      <c r="F50" s="965"/>
      <c r="G50" s="965"/>
      <c r="H50" s="965"/>
      <c r="I50" s="965"/>
      <c r="J50" s="965"/>
      <c r="K50" s="965"/>
      <c r="L50" s="965"/>
      <c r="M50" s="965"/>
      <c r="N50" s="965"/>
      <c r="O50" s="965"/>
      <c r="P50" s="965"/>
      <c r="Q50" s="965"/>
      <c r="R50" s="965"/>
      <c r="S50" s="965"/>
      <c r="T50" s="965"/>
      <c r="U50" s="965"/>
      <c r="V50" s="965"/>
      <c r="W50" s="965"/>
      <c r="X50" s="965"/>
      <c r="Y50" s="965"/>
      <c r="Z50" s="966"/>
      <c r="AA50" s="967"/>
      <c r="AB50" s="1744" t="s">
        <v>2201</v>
      </c>
      <c r="AC50" s="1745"/>
      <c r="AD50" s="1745"/>
      <c r="AE50" s="1745"/>
      <c r="AF50" s="1745"/>
      <c r="AG50" s="1746"/>
      <c r="AH50" s="1748">
        <f>unos!G73</f>
        <v>0</v>
      </c>
      <c r="AI50" s="1748"/>
      <c r="AJ50" s="1748"/>
      <c r="AK50" s="1748"/>
      <c r="AL50" s="1748"/>
      <c r="AM50" s="1748"/>
      <c r="AN50" s="1748"/>
      <c r="AO50" s="1748"/>
      <c r="AP50" s="1748"/>
      <c r="AQ50" s="1748"/>
      <c r="AR50" s="1748">
        <f>unos!F73</f>
        <v>0</v>
      </c>
      <c r="AS50" s="1748"/>
      <c r="AT50" s="1748"/>
      <c r="AU50" s="1748"/>
      <c r="AV50" s="1748"/>
      <c r="AW50" s="1748"/>
      <c r="AX50" s="1748"/>
      <c r="AY50" s="1748"/>
      <c r="AZ50" s="1748"/>
      <c r="BA50" s="1756"/>
    </row>
    <row r="51" spans="1:53" ht="18.75" customHeight="1">
      <c r="A51" s="1736" t="s">
        <v>1103</v>
      </c>
      <c r="B51" s="1737"/>
      <c r="C51" s="1737"/>
      <c r="D51" s="1737"/>
      <c r="E51" s="964" t="s">
        <v>1842</v>
      </c>
      <c r="F51" s="965"/>
      <c r="G51" s="965"/>
      <c r="H51" s="965"/>
      <c r="I51" s="965"/>
      <c r="J51" s="965"/>
      <c r="K51" s="965"/>
      <c r="L51" s="965"/>
      <c r="M51" s="965"/>
      <c r="N51" s="965"/>
      <c r="O51" s="965"/>
      <c r="P51" s="965"/>
      <c r="Q51" s="965"/>
      <c r="R51" s="965"/>
      <c r="S51" s="965"/>
      <c r="T51" s="965"/>
      <c r="U51" s="965"/>
      <c r="V51" s="965"/>
      <c r="W51" s="965"/>
      <c r="X51" s="965"/>
      <c r="Y51" s="965"/>
      <c r="Z51" s="966"/>
      <c r="AA51" s="967"/>
      <c r="AB51" s="1744" t="s">
        <v>1726</v>
      </c>
      <c r="AC51" s="1745"/>
      <c r="AD51" s="1745"/>
      <c r="AE51" s="1745"/>
      <c r="AF51" s="1745"/>
      <c r="AG51" s="1746"/>
      <c r="AH51" s="1748">
        <f>unos!G74</f>
        <v>0</v>
      </c>
      <c r="AI51" s="1748"/>
      <c r="AJ51" s="1748"/>
      <c r="AK51" s="1748"/>
      <c r="AL51" s="1748"/>
      <c r="AM51" s="1748"/>
      <c r="AN51" s="1748"/>
      <c r="AO51" s="1748"/>
      <c r="AP51" s="1748"/>
      <c r="AQ51" s="1748"/>
      <c r="AR51" s="1748">
        <f>unos!F74</f>
        <v>0</v>
      </c>
      <c r="AS51" s="1748"/>
      <c r="AT51" s="1748"/>
      <c r="AU51" s="1748"/>
      <c r="AV51" s="1748"/>
      <c r="AW51" s="1748"/>
      <c r="AX51" s="1748"/>
      <c r="AY51" s="1748"/>
      <c r="AZ51" s="1748"/>
      <c r="BA51" s="1756"/>
    </row>
    <row r="52" spans="1:53" ht="18.75" customHeight="1">
      <c r="A52" s="1736" t="s">
        <v>1104</v>
      </c>
      <c r="B52" s="1737"/>
      <c r="C52" s="1737"/>
      <c r="D52" s="1737"/>
      <c r="E52" s="964" t="s">
        <v>1843</v>
      </c>
      <c r="F52" s="965"/>
      <c r="G52" s="965"/>
      <c r="H52" s="965"/>
      <c r="I52" s="965"/>
      <c r="J52" s="965"/>
      <c r="K52" s="965"/>
      <c r="L52" s="965"/>
      <c r="M52" s="965"/>
      <c r="N52" s="965"/>
      <c r="O52" s="965"/>
      <c r="P52" s="965"/>
      <c r="Q52" s="965"/>
      <c r="R52" s="965"/>
      <c r="S52" s="965"/>
      <c r="T52" s="965"/>
      <c r="U52" s="965"/>
      <c r="V52" s="965"/>
      <c r="W52" s="965"/>
      <c r="X52" s="965"/>
      <c r="Y52" s="965"/>
      <c r="Z52" s="966"/>
      <c r="AA52" s="967"/>
      <c r="AB52" s="1744" t="s">
        <v>1727</v>
      </c>
      <c r="AC52" s="1745"/>
      <c r="AD52" s="1745"/>
      <c r="AE52" s="1745"/>
      <c r="AF52" s="1745"/>
      <c r="AG52" s="1746"/>
      <c r="AH52" s="1748">
        <f>unos!G75</f>
        <v>0</v>
      </c>
      <c r="AI52" s="1748"/>
      <c r="AJ52" s="1748"/>
      <c r="AK52" s="1748"/>
      <c r="AL52" s="1748"/>
      <c r="AM52" s="1748"/>
      <c r="AN52" s="1748"/>
      <c r="AO52" s="1748"/>
      <c r="AP52" s="1748"/>
      <c r="AQ52" s="1748"/>
      <c r="AR52" s="1748">
        <f>unos!F75</f>
        <v>0</v>
      </c>
      <c r="AS52" s="1748"/>
      <c r="AT52" s="1748"/>
      <c r="AU52" s="1748"/>
      <c r="AV52" s="1748"/>
      <c r="AW52" s="1748"/>
      <c r="AX52" s="1748"/>
      <c r="AY52" s="1748"/>
      <c r="AZ52" s="1748"/>
      <c r="BA52" s="1756"/>
    </row>
    <row r="53" spans="1:53" ht="20.25" customHeight="1">
      <c r="A53" s="1736" t="s">
        <v>1105</v>
      </c>
      <c r="B53" s="1737"/>
      <c r="C53" s="1737"/>
      <c r="D53" s="1737"/>
      <c r="E53" s="964" t="s">
        <v>1844</v>
      </c>
      <c r="F53" s="965"/>
      <c r="G53" s="965"/>
      <c r="H53" s="965"/>
      <c r="I53" s="965"/>
      <c r="J53" s="965"/>
      <c r="K53" s="965"/>
      <c r="L53" s="965"/>
      <c r="M53" s="965"/>
      <c r="N53" s="965"/>
      <c r="O53" s="965"/>
      <c r="P53" s="965"/>
      <c r="Q53" s="965"/>
      <c r="R53" s="965"/>
      <c r="S53" s="965"/>
      <c r="T53" s="965"/>
      <c r="U53" s="965"/>
      <c r="V53" s="965"/>
      <c r="W53" s="965"/>
      <c r="X53" s="965"/>
      <c r="Y53" s="965"/>
      <c r="Z53" s="966"/>
      <c r="AA53" s="967"/>
      <c r="AB53" s="1744" t="s">
        <v>1728</v>
      </c>
      <c r="AC53" s="1745"/>
      <c r="AD53" s="1745"/>
      <c r="AE53" s="1745"/>
      <c r="AF53" s="1745"/>
      <c r="AG53" s="1746"/>
      <c r="AH53" s="1748">
        <f>unos!G76</f>
        <v>0</v>
      </c>
      <c r="AI53" s="1748"/>
      <c r="AJ53" s="1748"/>
      <c r="AK53" s="1748"/>
      <c r="AL53" s="1748"/>
      <c r="AM53" s="1748"/>
      <c r="AN53" s="1748"/>
      <c r="AO53" s="1748"/>
      <c r="AP53" s="1748"/>
      <c r="AQ53" s="1748"/>
      <c r="AR53" s="1748">
        <f>unos!F76</f>
        <v>0</v>
      </c>
      <c r="AS53" s="1748"/>
      <c r="AT53" s="1748"/>
      <c r="AU53" s="1748"/>
      <c r="AV53" s="1748"/>
      <c r="AW53" s="1748"/>
      <c r="AX53" s="1748"/>
      <c r="AY53" s="1748"/>
      <c r="AZ53" s="1748"/>
      <c r="BA53" s="1756"/>
    </row>
    <row r="54" spans="1:53" ht="20.25" customHeight="1">
      <c r="A54" s="1736" t="s">
        <v>817</v>
      </c>
      <c r="B54" s="1737"/>
      <c r="C54" s="1737"/>
      <c r="D54" s="1737"/>
      <c r="E54" s="964" t="s">
        <v>1845</v>
      </c>
      <c r="F54" s="965"/>
      <c r="G54" s="965"/>
      <c r="H54" s="965"/>
      <c r="I54" s="965"/>
      <c r="J54" s="965"/>
      <c r="K54" s="965"/>
      <c r="L54" s="965"/>
      <c r="M54" s="965"/>
      <c r="N54" s="965"/>
      <c r="O54" s="965"/>
      <c r="P54" s="965"/>
      <c r="Q54" s="965"/>
      <c r="R54" s="965"/>
      <c r="S54" s="965"/>
      <c r="T54" s="965"/>
      <c r="U54" s="965"/>
      <c r="V54" s="965"/>
      <c r="W54" s="965"/>
      <c r="X54" s="965"/>
      <c r="Y54" s="965"/>
      <c r="Z54" s="966"/>
      <c r="AA54" s="967"/>
      <c r="AB54" s="1744" t="s">
        <v>1729</v>
      </c>
      <c r="AC54" s="1745"/>
      <c r="AD54" s="1745"/>
      <c r="AE54" s="1745"/>
      <c r="AF54" s="1745"/>
      <c r="AG54" s="1746"/>
      <c r="AH54" s="1748">
        <f>unos!G77</f>
        <v>0</v>
      </c>
      <c r="AI54" s="1748"/>
      <c r="AJ54" s="1748"/>
      <c r="AK54" s="1748"/>
      <c r="AL54" s="1748"/>
      <c r="AM54" s="1748"/>
      <c r="AN54" s="1748"/>
      <c r="AO54" s="1748"/>
      <c r="AP54" s="1748"/>
      <c r="AQ54" s="1748"/>
      <c r="AR54" s="1748">
        <f>unos!F77</f>
        <v>0</v>
      </c>
      <c r="AS54" s="1748"/>
      <c r="AT54" s="1748"/>
      <c r="AU54" s="1748"/>
      <c r="AV54" s="1748"/>
      <c r="AW54" s="1748"/>
      <c r="AX54" s="1748"/>
      <c r="AY54" s="1748"/>
      <c r="AZ54" s="1748"/>
      <c r="BA54" s="1756"/>
    </row>
    <row r="55" spans="1:53" ht="20.25" customHeight="1">
      <c r="A55" s="1736" t="s">
        <v>1106</v>
      </c>
      <c r="B55" s="1737"/>
      <c r="C55" s="1737"/>
      <c r="D55" s="1737"/>
      <c r="E55" s="964" t="s">
        <v>2819</v>
      </c>
      <c r="F55" s="965"/>
      <c r="G55" s="965"/>
      <c r="H55" s="965"/>
      <c r="I55" s="965"/>
      <c r="J55" s="965"/>
      <c r="K55" s="965"/>
      <c r="L55" s="965"/>
      <c r="M55" s="965"/>
      <c r="N55" s="965"/>
      <c r="O55" s="965"/>
      <c r="P55" s="965"/>
      <c r="Q55" s="965"/>
      <c r="R55" s="965"/>
      <c r="S55" s="965"/>
      <c r="T55" s="965"/>
      <c r="U55" s="965"/>
      <c r="V55" s="965"/>
      <c r="W55" s="965"/>
      <c r="X55" s="965"/>
      <c r="Y55" s="965"/>
      <c r="Z55" s="966"/>
      <c r="AA55" s="967"/>
      <c r="AB55" s="1744" t="s">
        <v>1730</v>
      </c>
      <c r="AC55" s="1745"/>
      <c r="AD55" s="1745"/>
      <c r="AE55" s="1745"/>
      <c r="AF55" s="1745"/>
      <c r="AG55" s="1746"/>
      <c r="AH55" s="1748">
        <f>unos!G78</f>
        <v>0</v>
      </c>
      <c r="AI55" s="1748"/>
      <c r="AJ55" s="1748"/>
      <c r="AK55" s="1748"/>
      <c r="AL55" s="1748"/>
      <c r="AM55" s="1748"/>
      <c r="AN55" s="1748"/>
      <c r="AO55" s="1748"/>
      <c r="AP55" s="1748"/>
      <c r="AQ55" s="1748"/>
      <c r="AR55" s="1748">
        <f>unos!F78</f>
        <v>0</v>
      </c>
      <c r="AS55" s="1748"/>
      <c r="AT55" s="1748"/>
      <c r="AU55" s="1748"/>
      <c r="AV55" s="1748"/>
      <c r="AW55" s="1748"/>
      <c r="AX55" s="1748"/>
      <c r="AY55" s="1748"/>
      <c r="AZ55" s="1748"/>
      <c r="BA55" s="1756"/>
    </row>
    <row r="56" spans="1:53" ht="18.75" customHeight="1">
      <c r="A56" s="1736" t="s">
        <v>1107</v>
      </c>
      <c r="B56" s="1737"/>
      <c r="C56" s="1737"/>
      <c r="D56" s="1737"/>
      <c r="E56" s="964" t="s">
        <v>1847</v>
      </c>
      <c r="F56" s="965"/>
      <c r="G56" s="965"/>
      <c r="H56" s="965"/>
      <c r="I56" s="965"/>
      <c r="J56" s="965"/>
      <c r="K56" s="965"/>
      <c r="L56" s="965"/>
      <c r="M56" s="965"/>
      <c r="N56" s="965"/>
      <c r="O56" s="965"/>
      <c r="P56" s="965"/>
      <c r="Q56" s="965"/>
      <c r="R56" s="965"/>
      <c r="S56" s="965"/>
      <c r="T56" s="965"/>
      <c r="U56" s="965"/>
      <c r="V56" s="965"/>
      <c r="W56" s="965"/>
      <c r="X56" s="965"/>
      <c r="Y56" s="965"/>
      <c r="Z56" s="966"/>
      <c r="AA56" s="967"/>
      <c r="AB56" s="1744" t="s">
        <v>1731</v>
      </c>
      <c r="AC56" s="1745"/>
      <c r="AD56" s="1745"/>
      <c r="AE56" s="1745"/>
      <c r="AF56" s="1745"/>
      <c r="AG56" s="1746"/>
      <c r="AH56" s="1748">
        <f>unos!G79</f>
        <v>0</v>
      </c>
      <c r="AI56" s="1748"/>
      <c r="AJ56" s="1748"/>
      <c r="AK56" s="1748"/>
      <c r="AL56" s="1748"/>
      <c r="AM56" s="1748"/>
      <c r="AN56" s="1748"/>
      <c r="AO56" s="1748"/>
      <c r="AP56" s="1748"/>
      <c r="AQ56" s="1748"/>
      <c r="AR56" s="1748">
        <f>unos!F79</f>
        <v>0</v>
      </c>
      <c r="AS56" s="1748"/>
      <c r="AT56" s="1748"/>
      <c r="AU56" s="1748"/>
      <c r="AV56" s="1748"/>
      <c r="AW56" s="1748"/>
      <c r="AX56" s="1748"/>
      <c r="AY56" s="1748"/>
      <c r="AZ56" s="1748"/>
      <c r="BA56" s="1756"/>
    </row>
    <row r="57" spans="1:53" ht="18.75" customHeight="1">
      <c r="A57" s="1736" t="s">
        <v>1108</v>
      </c>
      <c r="B57" s="1737"/>
      <c r="C57" s="1737"/>
      <c r="D57" s="1737"/>
      <c r="E57" s="964" t="s">
        <v>2820</v>
      </c>
      <c r="F57" s="965"/>
      <c r="G57" s="965"/>
      <c r="H57" s="965"/>
      <c r="I57" s="965"/>
      <c r="J57" s="965"/>
      <c r="K57" s="965"/>
      <c r="L57" s="965"/>
      <c r="M57" s="965"/>
      <c r="N57" s="965"/>
      <c r="O57" s="965"/>
      <c r="P57" s="965"/>
      <c r="Q57" s="965"/>
      <c r="R57" s="965"/>
      <c r="S57" s="965"/>
      <c r="T57" s="965"/>
      <c r="U57" s="965"/>
      <c r="V57" s="965"/>
      <c r="W57" s="965"/>
      <c r="X57" s="965"/>
      <c r="Y57" s="965"/>
      <c r="Z57" s="966"/>
      <c r="AA57" s="967"/>
      <c r="AB57" s="1744" t="s">
        <v>1184</v>
      </c>
      <c r="AC57" s="1745"/>
      <c r="AD57" s="1745"/>
      <c r="AE57" s="1745"/>
      <c r="AF57" s="1745"/>
      <c r="AG57" s="1746"/>
      <c r="AH57" s="1748">
        <f>SUM(AH58:AH66)</f>
        <v>0</v>
      </c>
      <c r="AI57" s="1748"/>
      <c r="AJ57" s="1748"/>
      <c r="AK57" s="1748"/>
      <c r="AL57" s="1748"/>
      <c r="AM57" s="1748"/>
      <c r="AN57" s="1748"/>
      <c r="AO57" s="1748"/>
      <c r="AP57" s="1748"/>
      <c r="AQ57" s="1748"/>
      <c r="AR57" s="1748">
        <f>SUM(AR58:AR66)</f>
        <v>0</v>
      </c>
      <c r="AS57" s="1748"/>
      <c r="AT57" s="1748"/>
      <c r="AU57" s="1748"/>
      <c r="AV57" s="1748"/>
      <c r="AW57" s="1748"/>
      <c r="AX57" s="1748"/>
      <c r="AY57" s="1748"/>
      <c r="AZ57" s="1748"/>
      <c r="BA57" s="1756"/>
    </row>
    <row r="58" spans="1:53" ht="18.75" customHeight="1">
      <c r="A58" s="1736" t="s">
        <v>1109</v>
      </c>
      <c r="B58" s="1737"/>
      <c r="C58" s="1737"/>
      <c r="D58" s="1737"/>
      <c r="E58" s="964" t="s">
        <v>108</v>
      </c>
      <c r="F58" s="965"/>
      <c r="G58" s="965"/>
      <c r="H58" s="965"/>
      <c r="I58" s="965"/>
      <c r="J58" s="965"/>
      <c r="K58" s="965"/>
      <c r="L58" s="965"/>
      <c r="M58" s="965"/>
      <c r="N58" s="965"/>
      <c r="O58" s="965"/>
      <c r="P58" s="965"/>
      <c r="Q58" s="965"/>
      <c r="R58" s="965"/>
      <c r="S58" s="965"/>
      <c r="T58" s="965"/>
      <c r="U58" s="965"/>
      <c r="V58" s="965"/>
      <c r="W58" s="965"/>
      <c r="X58" s="965"/>
      <c r="Y58" s="965"/>
      <c r="Z58" s="966"/>
      <c r="AA58" s="967"/>
      <c r="AB58" s="1744" t="s">
        <v>1739</v>
      </c>
      <c r="AC58" s="1745"/>
      <c r="AD58" s="1745"/>
      <c r="AE58" s="1745"/>
      <c r="AF58" s="1745"/>
      <c r="AG58" s="1746"/>
      <c r="AH58" s="1748">
        <f>unos!G90</f>
        <v>0</v>
      </c>
      <c r="AI58" s="1748"/>
      <c r="AJ58" s="1748"/>
      <c r="AK58" s="1748"/>
      <c r="AL58" s="1748"/>
      <c r="AM58" s="1748"/>
      <c r="AN58" s="1748"/>
      <c r="AO58" s="1748"/>
      <c r="AP58" s="1748"/>
      <c r="AQ58" s="1748"/>
      <c r="AR58" s="1748">
        <f>unos!F90</f>
        <v>0</v>
      </c>
      <c r="AS58" s="1748"/>
      <c r="AT58" s="1748"/>
      <c r="AU58" s="1748"/>
      <c r="AV58" s="1748"/>
      <c r="AW58" s="1748"/>
      <c r="AX58" s="1748"/>
      <c r="AY58" s="1748"/>
      <c r="AZ58" s="1748"/>
      <c r="BA58" s="1756"/>
    </row>
    <row r="59" spans="1:53" ht="18.75" customHeight="1">
      <c r="A59" s="1736" t="s">
        <v>1110</v>
      </c>
      <c r="B59" s="1737"/>
      <c r="C59" s="1737"/>
      <c r="D59" s="1737"/>
      <c r="E59" s="964" t="s">
        <v>2253</v>
      </c>
      <c r="F59" s="965"/>
      <c r="G59" s="965"/>
      <c r="H59" s="965"/>
      <c r="I59" s="965"/>
      <c r="J59" s="965"/>
      <c r="K59" s="965"/>
      <c r="L59" s="965"/>
      <c r="M59" s="965"/>
      <c r="N59" s="965"/>
      <c r="O59" s="965"/>
      <c r="P59" s="965"/>
      <c r="Q59" s="965"/>
      <c r="R59" s="965"/>
      <c r="S59" s="965"/>
      <c r="T59" s="965"/>
      <c r="U59" s="965"/>
      <c r="V59" s="965"/>
      <c r="W59" s="965"/>
      <c r="X59" s="965"/>
      <c r="Y59" s="965"/>
      <c r="Z59" s="966"/>
      <c r="AA59" s="967"/>
      <c r="AB59" s="1744" t="s">
        <v>1740</v>
      </c>
      <c r="AC59" s="1745"/>
      <c r="AD59" s="1745"/>
      <c r="AE59" s="1745"/>
      <c r="AF59" s="1745"/>
      <c r="AG59" s="1746"/>
      <c r="AH59" s="1748">
        <f>unos!G91</f>
        <v>0</v>
      </c>
      <c r="AI59" s="1748"/>
      <c r="AJ59" s="1748"/>
      <c r="AK59" s="1748"/>
      <c r="AL59" s="1748"/>
      <c r="AM59" s="1748"/>
      <c r="AN59" s="1748"/>
      <c r="AO59" s="1748"/>
      <c r="AP59" s="1748"/>
      <c r="AQ59" s="1748"/>
      <c r="AR59" s="1748">
        <f>unos!F91</f>
        <v>0</v>
      </c>
      <c r="AS59" s="1748"/>
      <c r="AT59" s="1748"/>
      <c r="AU59" s="1748"/>
      <c r="AV59" s="1748"/>
      <c r="AW59" s="1748"/>
      <c r="AX59" s="1748"/>
      <c r="AY59" s="1748"/>
      <c r="AZ59" s="1748"/>
      <c r="BA59" s="1756"/>
    </row>
    <row r="60" spans="1:53" ht="18.75" customHeight="1">
      <c r="A60" s="1736" t="s">
        <v>1111</v>
      </c>
      <c r="B60" s="1737"/>
      <c r="C60" s="1737"/>
      <c r="D60" s="1737"/>
      <c r="E60" s="964" t="s">
        <v>109</v>
      </c>
      <c r="F60" s="965"/>
      <c r="G60" s="965"/>
      <c r="H60" s="965"/>
      <c r="I60" s="965"/>
      <c r="J60" s="965"/>
      <c r="K60" s="965"/>
      <c r="L60" s="965"/>
      <c r="M60" s="965"/>
      <c r="N60" s="965"/>
      <c r="O60" s="965"/>
      <c r="P60" s="965"/>
      <c r="Q60" s="965"/>
      <c r="R60" s="965"/>
      <c r="S60" s="965"/>
      <c r="T60" s="965"/>
      <c r="U60" s="965"/>
      <c r="V60" s="965"/>
      <c r="W60" s="965"/>
      <c r="X60" s="965"/>
      <c r="Y60" s="965"/>
      <c r="Z60" s="966"/>
      <c r="AA60" s="967"/>
      <c r="AB60" s="1744" t="s">
        <v>1741</v>
      </c>
      <c r="AC60" s="1745"/>
      <c r="AD60" s="1745"/>
      <c r="AE60" s="1745"/>
      <c r="AF60" s="1745"/>
      <c r="AG60" s="1746"/>
      <c r="AH60" s="1748">
        <f>unos!G92</f>
        <v>0</v>
      </c>
      <c r="AI60" s="1748"/>
      <c r="AJ60" s="1748"/>
      <c r="AK60" s="1748"/>
      <c r="AL60" s="1748"/>
      <c r="AM60" s="1748"/>
      <c r="AN60" s="1748"/>
      <c r="AO60" s="1748"/>
      <c r="AP60" s="1748"/>
      <c r="AQ60" s="1748"/>
      <c r="AR60" s="1748">
        <f>unos!F92</f>
        <v>0</v>
      </c>
      <c r="AS60" s="1748"/>
      <c r="AT60" s="1748"/>
      <c r="AU60" s="1748"/>
      <c r="AV60" s="1748"/>
      <c r="AW60" s="1748"/>
      <c r="AX60" s="1748"/>
      <c r="AY60" s="1748"/>
      <c r="AZ60" s="1748"/>
      <c r="BA60" s="1756"/>
    </row>
    <row r="61" spans="1:53" ht="18.75" customHeight="1">
      <c r="A61" s="1736" t="s">
        <v>1112</v>
      </c>
      <c r="B61" s="1737"/>
      <c r="C61" s="1737"/>
      <c r="D61" s="1737"/>
      <c r="E61" s="964" t="s">
        <v>110</v>
      </c>
      <c r="F61" s="965"/>
      <c r="G61" s="965"/>
      <c r="H61" s="965"/>
      <c r="I61" s="965"/>
      <c r="J61" s="965"/>
      <c r="K61" s="965"/>
      <c r="L61" s="965"/>
      <c r="M61" s="965"/>
      <c r="N61" s="965"/>
      <c r="O61" s="965"/>
      <c r="P61" s="965"/>
      <c r="Q61" s="965"/>
      <c r="R61" s="965"/>
      <c r="S61" s="965"/>
      <c r="T61" s="965"/>
      <c r="U61" s="965"/>
      <c r="V61" s="965"/>
      <c r="W61" s="965"/>
      <c r="X61" s="965"/>
      <c r="Y61" s="965"/>
      <c r="Z61" s="966"/>
      <c r="AA61" s="967"/>
      <c r="AB61" s="1744" t="s">
        <v>1742</v>
      </c>
      <c r="AC61" s="1745"/>
      <c r="AD61" s="1745"/>
      <c r="AE61" s="1745"/>
      <c r="AF61" s="1745"/>
      <c r="AG61" s="1746"/>
      <c r="AH61" s="1748">
        <f>unos!G93</f>
        <v>0</v>
      </c>
      <c r="AI61" s="1748"/>
      <c r="AJ61" s="1748"/>
      <c r="AK61" s="1748"/>
      <c r="AL61" s="1748"/>
      <c r="AM61" s="1748"/>
      <c r="AN61" s="1748"/>
      <c r="AO61" s="1748"/>
      <c r="AP61" s="1748"/>
      <c r="AQ61" s="1748"/>
      <c r="AR61" s="1748">
        <f>unos!F93</f>
        <v>0</v>
      </c>
      <c r="AS61" s="1748"/>
      <c r="AT61" s="1748"/>
      <c r="AU61" s="1748"/>
      <c r="AV61" s="1748"/>
      <c r="AW61" s="1748"/>
      <c r="AX61" s="1748"/>
      <c r="AY61" s="1748"/>
      <c r="AZ61" s="1748"/>
      <c r="BA61" s="1756"/>
    </row>
    <row r="62" spans="1:53" ht="18.75" customHeight="1">
      <c r="A62" s="1736" t="s">
        <v>1113</v>
      </c>
      <c r="B62" s="1737"/>
      <c r="C62" s="1737"/>
      <c r="D62" s="1737"/>
      <c r="E62" s="964" t="s">
        <v>2821</v>
      </c>
      <c r="F62" s="965"/>
      <c r="G62" s="965"/>
      <c r="H62" s="965"/>
      <c r="I62" s="965"/>
      <c r="J62" s="965"/>
      <c r="K62" s="965"/>
      <c r="L62" s="965"/>
      <c r="M62" s="965"/>
      <c r="N62" s="965"/>
      <c r="O62" s="965"/>
      <c r="P62" s="965"/>
      <c r="Q62" s="965"/>
      <c r="R62" s="965"/>
      <c r="S62" s="965"/>
      <c r="T62" s="965"/>
      <c r="U62" s="965"/>
      <c r="V62" s="965"/>
      <c r="W62" s="965"/>
      <c r="X62" s="965"/>
      <c r="Y62" s="965"/>
      <c r="Z62" s="966"/>
      <c r="AA62" s="967"/>
      <c r="AB62" s="1744" t="s">
        <v>1743</v>
      </c>
      <c r="AC62" s="1745"/>
      <c r="AD62" s="1745"/>
      <c r="AE62" s="1745"/>
      <c r="AF62" s="1745"/>
      <c r="AG62" s="1746"/>
      <c r="AH62" s="1748">
        <f>unos!G94</f>
        <v>0</v>
      </c>
      <c r="AI62" s="1748"/>
      <c r="AJ62" s="1748"/>
      <c r="AK62" s="1748"/>
      <c r="AL62" s="1748"/>
      <c r="AM62" s="1748"/>
      <c r="AN62" s="1748"/>
      <c r="AO62" s="1748"/>
      <c r="AP62" s="1748"/>
      <c r="AQ62" s="1748"/>
      <c r="AR62" s="1748">
        <f>unos!F94</f>
        <v>0</v>
      </c>
      <c r="AS62" s="1748"/>
      <c r="AT62" s="1748"/>
      <c r="AU62" s="1748"/>
      <c r="AV62" s="1748"/>
      <c r="AW62" s="1748"/>
      <c r="AX62" s="1748"/>
      <c r="AY62" s="1748"/>
      <c r="AZ62" s="1748"/>
      <c r="BA62" s="1756"/>
    </row>
    <row r="63" spans="1:53" ht="18.75" customHeight="1">
      <c r="A63" s="1736" t="s">
        <v>1114</v>
      </c>
      <c r="B63" s="1737"/>
      <c r="C63" s="1737"/>
      <c r="D63" s="1737"/>
      <c r="E63" s="964" t="s">
        <v>2822</v>
      </c>
      <c r="F63" s="965"/>
      <c r="G63" s="965"/>
      <c r="H63" s="965"/>
      <c r="I63" s="965"/>
      <c r="J63" s="965"/>
      <c r="K63" s="965"/>
      <c r="L63" s="965"/>
      <c r="M63" s="965"/>
      <c r="N63" s="965"/>
      <c r="O63" s="965"/>
      <c r="P63" s="965"/>
      <c r="Q63" s="965"/>
      <c r="R63" s="965"/>
      <c r="S63" s="965"/>
      <c r="T63" s="965"/>
      <c r="U63" s="965"/>
      <c r="V63" s="965"/>
      <c r="W63" s="965"/>
      <c r="X63" s="965"/>
      <c r="Y63" s="965"/>
      <c r="Z63" s="966"/>
      <c r="AA63" s="967"/>
      <c r="AB63" s="1744" t="s">
        <v>1744</v>
      </c>
      <c r="AC63" s="1745"/>
      <c r="AD63" s="1745"/>
      <c r="AE63" s="1745"/>
      <c r="AF63" s="1745"/>
      <c r="AG63" s="1746"/>
      <c r="AH63" s="1748">
        <f>unos!G95</f>
        <v>0</v>
      </c>
      <c r="AI63" s="1748"/>
      <c r="AJ63" s="1748"/>
      <c r="AK63" s="1748"/>
      <c r="AL63" s="1748"/>
      <c r="AM63" s="1748"/>
      <c r="AN63" s="1748"/>
      <c r="AO63" s="1748"/>
      <c r="AP63" s="1748"/>
      <c r="AQ63" s="1748"/>
      <c r="AR63" s="1748">
        <f>unos!F95</f>
        <v>0</v>
      </c>
      <c r="AS63" s="1748"/>
      <c r="AT63" s="1748"/>
      <c r="AU63" s="1748"/>
      <c r="AV63" s="1748"/>
      <c r="AW63" s="1748"/>
      <c r="AX63" s="1748"/>
      <c r="AY63" s="1748"/>
      <c r="AZ63" s="1748"/>
      <c r="BA63" s="1756"/>
    </row>
    <row r="64" spans="1:53" ht="18.75" customHeight="1">
      <c r="A64" s="1736" t="s">
        <v>1115</v>
      </c>
      <c r="B64" s="1737"/>
      <c r="C64" s="1737"/>
      <c r="D64" s="1737"/>
      <c r="E64" s="964" t="s">
        <v>2823</v>
      </c>
      <c r="F64" s="965"/>
      <c r="G64" s="965"/>
      <c r="H64" s="965"/>
      <c r="I64" s="965"/>
      <c r="J64" s="965"/>
      <c r="K64" s="965"/>
      <c r="L64" s="965"/>
      <c r="M64" s="965"/>
      <c r="N64" s="965"/>
      <c r="O64" s="965"/>
      <c r="P64" s="965"/>
      <c r="Q64" s="965"/>
      <c r="R64" s="965"/>
      <c r="S64" s="965"/>
      <c r="T64" s="965"/>
      <c r="U64" s="965"/>
      <c r="V64" s="965"/>
      <c r="W64" s="965"/>
      <c r="X64" s="965"/>
      <c r="Y64" s="965"/>
      <c r="Z64" s="966"/>
      <c r="AA64" s="967"/>
      <c r="AB64" s="1744" t="s">
        <v>1745</v>
      </c>
      <c r="AC64" s="1745"/>
      <c r="AD64" s="1745"/>
      <c r="AE64" s="1745"/>
      <c r="AF64" s="1745"/>
      <c r="AG64" s="1746"/>
      <c r="AH64" s="1748">
        <f>unos!G96</f>
        <v>0</v>
      </c>
      <c r="AI64" s="1748"/>
      <c r="AJ64" s="1748"/>
      <c r="AK64" s="1748"/>
      <c r="AL64" s="1748"/>
      <c r="AM64" s="1748"/>
      <c r="AN64" s="1748"/>
      <c r="AO64" s="1748"/>
      <c r="AP64" s="1748"/>
      <c r="AQ64" s="1748"/>
      <c r="AR64" s="1748">
        <f>unos!F96</f>
        <v>0</v>
      </c>
      <c r="AS64" s="1748"/>
      <c r="AT64" s="1748"/>
      <c r="AU64" s="1748"/>
      <c r="AV64" s="1748"/>
      <c r="AW64" s="1748"/>
      <c r="AX64" s="1748"/>
      <c r="AY64" s="1748"/>
      <c r="AZ64" s="1748"/>
      <c r="BA64" s="1756"/>
    </row>
    <row r="65" spans="1:53" ht="12.75" customHeight="1">
      <c r="A65" s="2018" t="s">
        <v>1116</v>
      </c>
      <c r="B65" s="2019"/>
      <c r="C65" s="2019"/>
      <c r="D65" s="2019"/>
      <c r="E65" s="1207" t="s">
        <v>1835</v>
      </c>
      <c r="F65" s="1208"/>
      <c r="G65" s="1209"/>
      <c r="H65" s="1209"/>
      <c r="I65" s="1209"/>
      <c r="J65" s="1209"/>
      <c r="K65" s="1209"/>
      <c r="L65" s="1209"/>
      <c r="M65" s="1209"/>
      <c r="N65" s="1209"/>
      <c r="O65" s="1209"/>
      <c r="P65" s="1209"/>
      <c r="Q65" s="1209"/>
      <c r="R65" s="1209"/>
      <c r="S65" s="1209"/>
      <c r="T65" s="1209"/>
      <c r="U65" s="1209"/>
      <c r="V65" s="1209"/>
      <c r="W65" s="1209"/>
      <c r="X65" s="1209"/>
      <c r="Y65" s="1209"/>
      <c r="Z65" s="1210"/>
      <c r="AA65" s="1211"/>
      <c r="AB65" s="1744" t="s">
        <v>1746</v>
      </c>
      <c r="AC65" s="1745"/>
      <c r="AD65" s="1745"/>
      <c r="AE65" s="1745"/>
      <c r="AF65" s="1745"/>
      <c r="AG65" s="1746"/>
      <c r="AH65" s="2020">
        <f>unos!G97</f>
        <v>0</v>
      </c>
      <c r="AI65" s="2021"/>
      <c r="AJ65" s="2021"/>
      <c r="AK65" s="2021"/>
      <c r="AL65" s="2021"/>
      <c r="AM65" s="2021"/>
      <c r="AN65" s="2021"/>
      <c r="AO65" s="2021"/>
      <c r="AP65" s="2021"/>
      <c r="AQ65" s="2022"/>
      <c r="AR65" s="2020">
        <f>unos!F97</f>
        <v>0</v>
      </c>
      <c r="AS65" s="2021"/>
      <c r="AT65" s="2021"/>
      <c r="AU65" s="2021"/>
      <c r="AV65" s="2021"/>
      <c r="AW65" s="2021"/>
      <c r="AX65" s="2021"/>
      <c r="AY65" s="2021"/>
      <c r="AZ65" s="2021"/>
      <c r="BA65" s="2023"/>
    </row>
    <row r="66" spans="1:53" ht="10.5" customHeight="1">
      <c r="A66" s="1795"/>
      <c r="B66" s="1796"/>
      <c r="C66" s="1796"/>
      <c r="D66" s="1796"/>
      <c r="E66" s="1206" t="s">
        <v>2805</v>
      </c>
      <c r="F66" s="961"/>
      <c r="G66" s="961"/>
      <c r="H66" s="961"/>
      <c r="I66" s="961"/>
      <c r="J66" s="961"/>
      <c r="K66" s="961"/>
      <c r="L66" s="961"/>
      <c r="M66" s="961"/>
      <c r="N66" s="961"/>
      <c r="O66" s="961"/>
      <c r="P66" s="961"/>
      <c r="Q66" s="961"/>
      <c r="R66" s="961"/>
      <c r="S66" s="961"/>
      <c r="T66" s="961"/>
      <c r="U66" s="961"/>
      <c r="V66" s="961"/>
      <c r="W66" s="961"/>
      <c r="X66" s="961"/>
      <c r="Y66" s="961"/>
      <c r="Z66" s="962"/>
      <c r="AA66" s="963"/>
      <c r="AB66" s="1744"/>
      <c r="AC66" s="1745"/>
      <c r="AD66" s="1745"/>
      <c r="AE66" s="1745"/>
      <c r="AF66" s="1745"/>
      <c r="AG66" s="1746"/>
      <c r="AH66" s="2020"/>
      <c r="AI66" s="2021"/>
      <c r="AJ66" s="2021"/>
      <c r="AK66" s="2021"/>
      <c r="AL66" s="2021"/>
      <c r="AM66" s="2021"/>
      <c r="AN66" s="2021"/>
      <c r="AO66" s="2021"/>
      <c r="AP66" s="2021"/>
      <c r="AQ66" s="2022"/>
      <c r="AR66" s="2020"/>
      <c r="AS66" s="2021"/>
      <c r="AT66" s="2021"/>
      <c r="AU66" s="2021"/>
      <c r="AV66" s="2021"/>
      <c r="AW66" s="2021"/>
      <c r="AX66" s="2021"/>
      <c r="AY66" s="2021"/>
      <c r="AZ66" s="2021"/>
      <c r="BA66" s="2023"/>
    </row>
    <row r="67" spans="1:53" ht="18.75" customHeight="1">
      <c r="A67" s="1736" t="s">
        <v>1117</v>
      </c>
      <c r="B67" s="1737"/>
      <c r="C67" s="1737"/>
      <c r="D67" s="1737"/>
      <c r="E67" s="964" t="s">
        <v>2825</v>
      </c>
      <c r="F67" s="965"/>
      <c r="G67" s="965"/>
      <c r="H67" s="965"/>
      <c r="I67" s="965"/>
      <c r="J67" s="965"/>
      <c r="K67" s="965"/>
      <c r="L67" s="965"/>
      <c r="M67" s="965"/>
      <c r="N67" s="965"/>
      <c r="O67" s="965"/>
      <c r="P67" s="965"/>
      <c r="Q67" s="965"/>
      <c r="R67" s="965"/>
      <c r="S67" s="965"/>
      <c r="T67" s="965"/>
      <c r="U67" s="965"/>
      <c r="V67" s="965"/>
      <c r="W67" s="965"/>
      <c r="X67" s="965"/>
      <c r="Y67" s="965"/>
      <c r="Z67" s="966"/>
      <c r="AA67" s="967"/>
      <c r="AB67" s="1744" t="s">
        <v>2829</v>
      </c>
      <c r="AC67" s="1745"/>
      <c r="AD67" s="1745"/>
      <c r="AE67" s="1745"/>
      <c r="AF67" s="1745"/>
      <c r="AG67" s="1746"/>
      <c r="AH67" s="1748">
        <f>UNOS1!G83</f>
        <v>0</v>
      </c>
      <c r="AI67" s="1748"/>
      <c r="AJ67" s="1748"/>
      <c r="AK67" s="1748"/>
      <c r="AL67" s="1748"/>
      <c r="AM67" s="1748"/>
      <c r="AN67" s="1748"/>
      <c r="AO67" s="1748"/>
      <c r="AP67" s="1748"/>
      <c r="AQ67" s="1748"/>
      <c r="AR67" s="1748">
        <f>UNOS1!F83</f>
        <v>0</v>
      </c>
      <c r="AS67" s="1748"/>
      <c r="AT67" s="1748"/>
      <c r="AU67" s="1748"/>
      <c r="AV67" s="1748"/>
      <c r="AW67" s="1748"/>
      <c r="AX67" s="1748"/>
      <c r="AY67" s="1748"/>
      <c r="AZ67" s="1748"/>
      <c r="BA67" s="1756"/>
    </row>
    <row r="68" spans="1:53" ht="18.75" customHeight="1">
      <c r="A68" s="1736" t="s">
        <v>1118</v>
      </c>
      <c r="B68" s="1737"/>
      <c r="C68" s="1737"/>
      <c r="D68" s="1737"/>
      <c r="E68" s="964" t="s">
        <v>2826</v>
      </c>
      <c r="F68" s="965"/>
      <c r="G68" s="965"/>
      <c r="H68" s="965"/>
      <c r="I68" s="965"/>
      <c r="J68" s="965"/>
      <c r="K68" s="965"/>
      <c r="L68" s="965"/>
      <c r="M68" s="965"/>
      <c r="N68" s="965"/>
      <c r="O68" s="965"/>
      <c r="P68" s="965"/>
      <c r="Q68" s="965"/>
      <c r="R68" s="965"/>
      <c r="S68" s="965"/>
      <c r="T68" s="965"/>
      <c r="U68" s="965"/>
      <c r="V68" s="965"/>
      <c r="W68" s="965"/>
      <c r="X68" s="965"/>
      <c r="Y68" s="965"/>
      <c r="Z68" s="966"/>
      <c r="AA68" s="967"/>
      <c r="AB68" s="1744" t="s">
        <v>2830</v>
      </c>
      <c r="AC68" s="1745"/>
      <c r="AD68" s="1745"/>
      <c r="AE68" s="1745"/>
      <c r="AF68" s="1745"/>
      <c r="AG68" s="1746"/>
      <c r="AH68" s="1748">
        <f>UNOS1!G84</f>
        <v>0</v>
      </c>
      <c r="AI68" s="1748"/>
      <c r="AJ68" s="1748"/>
      <c r="AK68" s="1748"/>
      <c r="AL68" s="1748"/>
      <c r="AM68" s="1748"/>
      <c r="AN68" s="1748"/>
      <c r="AO68" s="1748"/>
      <c r="AP68" s="1748"/>
      <c r="AQ68" s="1748"/>
      <c r="AR68" s="1748">
        <f>UNOS1!F84</f>
        <v>0</v>
      </c>
      <c r="AS68" s="1748"/>
      <c r="AT68" s="1748"/>
      <c r="AU68" s="1748"/>
      <c r="AV68" s="1748"/>
      <c r="AW68" s="1748"/>
      <c r="AX68" s="1748"/>
      <c r="AY68" s="1748"/>
      <c r="AZ68" s="1748"/>
      <c r="BA68" s="1756"/>
    </row>
    <row r="69" spans="1:53" ht="18.75" customHeight="1">
      <c r="A69" s="1736" t="s">
        <v>1119</v>
      </c>
      <c r="B69" s="1737"/>
      <c r="C69" s="1737"/>
      <c r="D69" s="1737"/>
      <c r="E69" s="964" t="s">
        <v>2827</v>
      </c>
      <c r="F69" s="965"/>
      <c r="G69" s="965"/>
      <c r="H69" s="965"/>
      <c r="I69" s="965"/>
      <c r="J69" s="965"/>
      <c r="K69" s="965"/>
      <c r="L69" s="965"/>
      <c r="M69" s="965"/>
      <c r="N69" s="965"/>
      <c r="O69" s="965"/>
      <c r="P69" s="965"/>
      <c r="Q69" s="965"/>
      <c r="R69" s="965"/>
      <c r="S69" s="965"/>
      <c r="T69" s="965"/>
      <c r="U69" s="965"/>
      <c r="V69" s="965"/>
      <c r="W69" s="965"/>
      <c r="X69" s="965"/>
      <c r="Y69" s="965"/>
      <c r="Z69" s="966"/>
      <c r="AA69" s="967"/>
      <c r="AB69" s="1744" t="s">
        <v>2831</v>
      </c>
      <c r="AC69" s="1745"/>
      <c r="AD69" s="1745"/>
      <c r="AE69" s="1745"/>
      <c r="AF69" s="1745"/>
      <c r="AG69" s="1746"/>
      <c r="AH69" s="1748">
        <f>UNOS1!G87</f>
        <v>0</v>
      </c>
      <c r="AI69" s="1748"/>
      <c r="AJ69" s="1748"/>
      <c r="AK69" s="1748"/>
      <c r="AL69" s="1748"/>
      <c r="AM69" s="1748"/>
      <c r="AN69" s="1748"/>
      <c r="AO69" s="1748"/>
      <c r="AP69" s="1748"/>
      <c r="AQ69" s="1748"/>
      <c r="AR69" s="1748">
        <f>UNOS1!F87</f>
        <v>0</v>
      </c>
      <c r="AS69" s="1748"/>
      <c r="AT69" s="1748"/>
      <c r="AU69" s="1748"/>
      <c r="AV69" s="1748"/>
      <c r="AW69" s="1748"/>
      <c r="AX69" s="1748"/>
      <c r="AY69" s="1748"/>
      <c r="AZ69" s="1748"/>
      <c r="BA69" s="1756"/>
    </row>
    <row r="70" spans="1:53" ht="18.75" customHeight="1">
      <c r="A70" s="1736" t="s">
        <v>1143</v>
      </c>
      <c r="B70" s="1737"/>
      <c r="C70" s="1737"/>
      <c r="D70" s="1737"/>
      <c r="E70" s="964" t="s">
        <v>2828</v>
      </c>
      <c r="F70" s="965"/>
      <c r="G70" s="965"/>
      <c r="H70" s="965"/>
      <c r="I70" s="965"/>
      <c r="J70" s="965"/>
      <c r="K70" s="965"/>
      <c r="L70" s="965"/>
      <c r="M70" s="965"/>
      <c r="N70" s="965"/>
      <c r="O70" s="965"/>
      <c r="P70" s="965"/>
      <c r="Q70" s="965"/>
      <c r="R70" s="965"/>
      <c r="S70" s="965"/>
      <c r="T70" s="965"/>
      <c r="U70" s="965"/>
      <c r="V70" s="965"/>
      <c r="W70" s="965"/>
      <c r="X70" s="965"/>
      <c r="Y70" s="965"/>
      <c r="Z70" s="966"/>
      <c r="AA70" s="967"/>
      <c r="AB70" s="1744" t="s">
        <v>2832</v>
      </c>
      <c r="AC70" s="1745"/>
      <c r="AD70" s="1745"/>
      <c r="AE70" s="1745"/>
      <c r="AF70" s="1745"/>
      <c r="AG70" s="1746"/>
      <c r="AH70" s="1748">
        <f>UNOS1!G90</f>
        <v>0</v>
      </c>
      <c r="AI70" s="1748"/>
      <c r="AJ70" s="1748"/>
      <c r="AK70" s="1748"/>
      <c r="AL70" s="1748"/>
      <c r="AM70" s="1748"/>
      <c r="AN70" s="1748"/>
      <c r="AO70" s="1748"/>
      <c r="AP70" s="1748"/>
      <c r="AQ70" s="1748"/>
      <c r="AR70" s="1748">
        <f>UNOS1!F90</f>
        <v>0</v>
      </c>
      <c r="AS70" s="1748"/>
      <c r="AT70" s="1748"/>
      <c r="AU70" s="1748"/>
      <c r="AV70" s="1748"/>
      <c r="AW70" s="1748"/>
      <c r="AX70" s="1748"/>
      <c r="AY70" s="1748"/>
      <c r="AZ70" s="1748"/>
      <c r="BA70" s="1756"/>
    </row>
    <row r="71" spans="1:53" ht="18.75" customHeight="1" thickBot="1">
      <c r="A71" s="1742" t="s">
        <v>146</v>
      </c>
      <c r="B71" s="1743"/>
      <c r="C71" s="1743"/>
      <c r="D71" s="1743"/>
      <c r="E71" s="969" t="s">
        <v>856</v>
      </c>
      <c r="F71" s="970"/>
      <c r="G71" s="970"/>
      <c r="H71" s="970"/>
      <c r="I71" s="970"/>
      <c r="J71" s="970"/>
      <c r="K71" s="970"/>
      <c r="L71" s="970"/>
      <c r="M71" s="970"/>
      <c r="N71" s="970"/>
      <c r="O71" s="970"/>
      <c r="P71" s="970"/>
      <c r="Q71" s="970"/>
      <c r="R71" s="970"/>
      <c r="S71" s="970"/>
      <c r="T71" s="970"/>
      <c r="U71" s="970"/>
      <c r="V71" s="970"/>
      <c r="W71" s="970"/>
      <c r="X71" s="970"/>
      <c r="Y71" s="970"/>
      <c r="Z71" s="971"/>
      <c r="AA71" s="972"/>
      <c r="AB71" s="1749" t="s">
        <v>2401</v>
      </c>
      <c r="AC71" s="1750"/>
      <c r="AD71" s="1750"/>
      <c r="AE71" s="1750"/>
      <c r="AF71" s="1750"/>
      <c r="AG71" s="1751"/>
      <c r="AH71" s="1734">
        <f>UNOS1!G93</f>
        <v>0</v>
      </c>
      <c r="AI71" s="1734"/>
      <c r="AJ71" s="1734"/>
      <c r="AK71" s="1734"/>
      <c r="AL71" s="1734"/>
      <c r="AM71" s="1734"/>
      <c r="AN71" s="1734"/>
      <c r="AO71" s="1734"/>
      <c r="AP71" s="1734"/>
      <c r="AQ71" s="1734"/>
      <c r="AR71" s="1734">
        <f>UNOS1!F93</f>
        <v>0</v>
      </c>
      <c r="AS71" s="1734"/>
      <c r="AT71" s="1734"/>
      <c r="AU71" s="1734"/>
      <c r="AV71" s="1734"/>
      <c r="AW71" s="1734"/>
      <c r="AX71" s="1734"/>
      <c r="AY71" s="1734"/>
      <c r="AZ71" s="1734"/>
      <c r="BA71" s="1735"/>
    </row>
    <row r="72" spans="1:53" ht="12" customHeight="1"/>
    <row r="73" spans="1:53" ht="18.75" customHeight="1">
      <c r="B73" s="1212" t="s">
        <v>2437</v>
      </c>
      <c r="C73" s="961"/>
      <c r="D73" s="1083">
        <f>FirmaSjediste</f>
        <v>0</v>
      </c>
      <c r="E73" s="961"/>
      <c r="F73" s="961"/>
      <c r="G73" s="961"/>
      <c r="H73" s="961"/>
      <c r="I73" s="961"/>
      <c r="J73" s="961"/>
      <c r="K73" s="961"/>
      <c r="L73" s="961"/>
      <c r="Q73" s="984" t="s">
        <v>2628</v>
      </c>
      <c r="AP73" s="985" t="s">
        <v>845</v>
      </c>
    </row>
    <row r="74" spans="1:53" s="947" customFormat="1" ht="15.75" customHeight="1">
      <c r="A74" s="945"/>
      <c r="B74" s="1190" t="s">
        <v>2224</v>
      </c>
      <c r="C74" s="965"/>
      <c r="D74" s="1084" t="str">
        <f>ObracunPredaja</f>
        <v>28.2.2012.</v>
      </c>
      <c r="E74" s="965"/>
      <c r="F74" s="965"/>
      <c r="G74" s="965"/>
      <c r="H74" s="965"/>
      <c r="I74" s="965"/>
      <c r="J74" s="965"/>
      <c r="K74" s="965"/>
      <c r="L74" s="965"/>
      <c r="M74" s="984"/>
      <c r="N74" s="984"/>
      <c r="O74" s="984"/>
      <c r="P74" s="961"/>
      <c r="Q74" s="961"/>
      <c r="R74" s="961"/>
      <c r="S74" s="961"/>
      <c r="T74" s="961"/>
      <c r="U74" s="961"/>
      <c r="V74" s="961"/>
      <c r="W74" s="961"/>
      <c r="X74" s="962"/>
      <c r="Y74" s="984"/>
      <c r="Z74" s="985"/>
      <c r="AA74" s="985"/>
      <c r="AB74" s="985"/>
      <c r="AC74" s="985"/>
      <c r="AD74" s="985"/>
      <c r="AE74" s="985"/>
      <c r="AF74" s="985"/>
      <c r="AG74" s="1769"/>
      <c r="AH74" s="1769"/>
      <c r="AI74" s="1769"/>
      <c r="AJ74" s="1769"/>
      <c r="AK74" s="1769"/>
      <c r="AL74" s="1769"/>
      <c r="AM74" s="1769"/>
      <c r="AN74" s="1769"/>
      <c r="AO74" s="1769"/>
      <c r="AP74" s="1769"/>
      <c r="AQ74" s="1769"/>
      <c r="AR74" s="1769"/>
      <c r="AS74" s="1769"/>
      <c r="AT74" s="1769"/>
      <c r="AV74" s="1193"/>
      <c r="AW74" s="1193"/>
      <c r="AX74" s="1193"/>
      <c r="AY74" s="1193"/>
      <c r="AZ74" s="1193"/>
      <c r="BA74" s="1193"/>
    </row>
    <row r="75" spans="1:53" ht="15.75" customHeight="1">
      <c r="T75" s="987">
        <f>RacunovodjaIme</f>
        <v>0</v>
      </c>
      <c r="AO75" s="962"/>
      <c r="AP75" s="962"/>
      <c r="AQ75" s="962"/>
      <c r="AR75" s="962"/>
      <c r="AS75" s="962"/>
      <c r="AT75" s="962"/>
      <c r="AU75" s="962"/>
      <c r="AV75" s="962"/>
    </row>
    <row r="76" spans="1:53" ht="15.75" customHeight="1">
      <c r="R76" s="1213" t="s">
        <v>844</v>
      </c>
      <c r="S76" s="1739">
        <f>RacunovodjaLicenca</f>
        <v>0</v>
      </c>
      <c r="T76" s="1739"/>
      <c r="U76" s="1739"/>
      <c r="V76" s="1739"/>
      <c r="W76" s="1739"/>
      <c r="AO76" s="985"/>
      <c r="AP76" s="985"/>
      <c r="AQ76" s="985"/>
      <c r="AR76" s="987">
        <f>FirmaDirekor</f>
        <v>0</v>
      </c>
      <c r="AS76" s="985"/>
      <c r="AT76" s="985"/>
      <c r="AU76" s="985"/>
      <c r="AV76" s="985"/>
      <c r="BA76" s="1193" t="s">
        <v>2631</v>
      </c>
    </row>
  </sheetData>
  <mergeCells count="210">
    <mergeCell ref="A2:W2"/>
    <mergeCell ref="A3:W3"/>
    <mergeCell ref="A4:W4"/>
    <mergeCell ref="A5:W5"/>
    <mergeCell ref="A6:W6"/>
    <mergeCell ref="A7:W7"/>
    <mergeCell ref="AN17:BA18"/>
    <mergeCell ref="A19:BA19"/>
    <mergeCell ref="S20:Y20"/>
    <mergeCell ref="Z20:AA20"/>
    <mergeCell ref="AB20:AH20"/>
    <mergeCell ref="K17:AL18"/>
    <mergeCell ref="A13:P13"/>
    <mergeCell ref="S13:AH13"/>
    <mergeCell ref="AK13:AZ13"/>
    <mergeCell ref="A14:P14"/>
    <mergeCell ref="S14:AH14"/>
    <mergeCell ref="AK14:AZ14"/>
    <mergeCell ref="AI20:AL20"/>
    <mergeCell ref="A26:D26"/>
    <mergeCell ref="A27:D27"/>
    <mergeCell ref="A25:D25"/>
    <mergeCell ref="E25:T25"/>
    <mergeCell ref="AH25:AQ25"/>
    <mergeCell ref="AR25:BA25"/>
    <mergeCell ref="AN22:AT22"/>
    <mergeCell ref="AU22:BA22"/>
    <mergeCell ref="A23:D24"/>
    <mergeCell ref="E23:T24"/>
    <mergeCell ref="AH24:AQ24"/>
    <mergeCell ref="AR24:BA24"/>
    <mergeCell ref="A22:D22"/>
    <mergeCell ref="E22:T22"/>
    <mergeCell ref="U22:V22"/>
    <mergeCell ref="W22:Y22"/>
    <mergeCell ref="Z22:AF22"/>
    <mergeCell ref="AG22:AM22"/>
    <mergeCell ref="AH23:BA23"/>
    <mergeCell ref="AB23:AG24"/>
    <mergeCell ref="AB25:AG25"/>
    <mergeCell ref="AR26:BA27"/>
    <mergeCell ref="AB26:AG27"/>
    <mergeCell ref="AH26:AQ27"/>
    <mergeCell ref="A30:D30"/>
    <mergeCell ref="AH30:AQ30"/>
    <mergeCell ref="AR30:BA30"/>
    <mergeCell ref="A31:D31"/>
    <mergeCell ref="AH31:AQ31"/>
    <mergeCell ref="AR31:BA31"/>
    <mergeCell ref="A28:D28"/>
    <mergeCell ref="AH28:AQ28"/>
    <mergeCell ref="AR28:BA28"/>
    <mergeCell ref="A29:D29"/>
    <mergeCell ref="AH29:AQ29"/>
    <mergeCell ref="AR29:BA29"/>
    <mergeCell ref="AB28:AG28"/>
    <mergeCell ref="AB29:AG29"/>
    <mergeCell ref="AB30:AG30"/>
    <mergeCell ref="AB31:AG31"/>
    <mergeCell ref="A34:D34"/>
    <mergeCell ref="AH34:AQ34"/>
    <mergeCell ref="AR34:BA34"/>
    <mergeCell ref="A35:D35"/>
    <mergeCell ref="AH35:AQ35"/>
    <mergeCell ref="AR35:BA35"/>
    <mergeCell ref="A32:D32"/>
    <mergeCell ref="AH32:AQ32"/>
    <mergeCell ref="AR32:BA32"/>
    <mergeCell ref="A33:D33"/>
    <mergeCell ref="AH33:AQ33"/>
    <mergeCell ref="AR33:BA33"/>
    <mergeCell ref="AB35:AG35"/>
    <mergeCell ref="AB32:AG32"/>
    <mergeCell ref="AB33:AG33"/>
    <mergeCell ref="AB34:AG34"/>
    <mergeCell ref="A38:D38"/>
    <mergeCell ref="AH38:AQ38"/>
    <mergeCell ref="AR38:BA38"/>
    <mergeCell ref="A39:D39"/>
    <mergeCell ref="A36:D36"/>
    <mergeCell ref="AH36:AQ36"/>
    <mergeCell ref="AR36:BA36"/>
    <mergeCell ref="A37:D37"/>
    <mergeCell ref="AH37:AQ37"/>
    <mergeCell ref="AR37:BA37"/>
    <mergeCell ref="AB36:AG36"/>
    <mergeCell ref="AB37:AG37"/>
    <mergeCell ref="AB38:AG38"/>
    <mergeCell ref="AH39:AQ39"/>
    <mergeCell ref="AR39:BA39"/>
    <mergeCell ref="AB39:AG39"/>
    <mergeCell ref="AH48:AQ48"/>
    <mergeCell ref="AR48:BA48"/>
    <mergeCell ref="A45:D45"/>
    <mergeCell ref="AH45:AQ45"/>
    <mergeCell ref="AR45:BA45"/>
    <mergeCell ref="A43:D43"/>
    <mergeCell ref="A44:D44"/>
    <mergeCell ref="AU40:BA40"/>
    <mergeCell ref="A42:D42"/>
    <mergeCell ref="E42:T42"/>
    <mergeCell ref="AH42:AQ42"/>
    <mergeCell ref="AR42:BA42"/>
    <mergeCell ref="AH46:AQ46"/>
    <mergeCell ref="AR46:BA46"/>
    <mergeCell ref="AB47:AG47"/>
    <mergeCell ref="AB42:AG42"/>
    <mergeCell ref="AB43:AG44"/>
    <mergeCell ref="AH43:AQ44"/>
    <mergeCell ref="AR43:BA44"/>
    <mergeCell ref="AH47:AQ47"/>
    <mergeCell ref="AR47:BA47"/>
    <mergeCell ref="AB48:AG48"/>
    <mergeCell ref="AB45:AG45"/>
    <mergeCell ref="A46:D46"/>
    <mergeCell ref="AH49:AQ49"/>
    <mergeCell ref="AR49:BA49"/>
    <mergeCell ref="A50:D50"/>
    <mergeCell ref="AH50:AQ50"/>
    <mergeCell ref="AR50:BA50"/>
    <mergeCell ref="AB49:AG49"/>
    <mergeCell ref="AB50:AG50"/>
    <mergeCell ref="AB51:AG51"/>
    <mergeCell ref="AB52:AG52"/>
    <mergeCell ref="AH53:AQ53"/>
    <mergeCell ref="AR53:BA53"/>
    <mergeCell ref="A54:D54"/>
    <mergeCell ref="AH54:AQ54"/>
    <mergeCell ref="AR54:BA54"/>
    <mergeCell ref="AB53:AG53"/>
    <mergeCell ref="AH51:AQ51"/>
    <mergeCell ref="AR51:BA51"/>
    <mergeCell ref="A52:D52"/>
    <mergeCell ref="AH52:AQ52"/>
    <mergeCell ref="AR52:BA52"/>
    <mergeCell ref="AH57:AQ57"/>
    <mergeCell ref="AR57:BA57"/>
    <mergeCell ref="A58:D58"/>
    <mergeCell ref="AH58:AQ58"/>
    <mergeCell ref="AR58:BA58"/>
    <mergeCell ref="A55:D55"/>
    <mergeCell ref="AH55:AQ55"/>
    <mergeCell ref="AR55:BA55"/>
    <mergeCell ref="A56:D56"/>
    <mergeCell ref="AH56:AQ56"/>
    <mergeCell ref="AR56:BA56"/>
    <mergeCell ref="AH61:AQ61"/>
    <mergeCell ref="AR61:BA61"/>
    <mergeCell ref="A62:D62"/>
    <mergeCell ref="AH62:AQ62"/>
    <mergeCell ref="AR62:BA62"/>
    <mergeCell ref="A59:D59"/>
    <mergeCell ref="AH59:AQ59"/>
    <mergeCell ref="AR59:BA59"/>
    <mergeCell ref="A60:D60"/>
    <mergeCell ref="AH60:AQ60"/>
    <mergeCell ref="AR60:BA60"/>
    <mergeCell ref="S76:W76"/>
    <mergeCell ref="AG74:AM74"/>
    <mergeCell ref="AN74:AT74"/>
    <mergeCell ref="A69:D69"/>
    <mergeCell ref="AH69:AQ69"/>
    <mergeCell ref="AR69:BA69"/>
    <mergeCell ref="A70:D70"/>
    <mergeCell ref="AH70:AQ70"/>
    <mergeCell ref="AR70:BA70"/>
    <mergeCell ref="A71:D71"/>
    <mergeCell ref="AB71:AG71"/>
    <mergeCell ref="AH71:AQ71"/>
    <mergeCell ref="AR71:BA71"/>
    <mergeCell ref="AB69:AG69"/>
    <mergeCell ref="AB70:AG70"/>
    <mergeCell ref="A67:D67"/>
    <mergeCell ref="AH67:AQ67"/>
    <mergeCell ref="AR67:BA67"/>
    <mergeCell ref="A68:D68"/>
    <mergeCell ref="AH68:AQ68"/>
    <mergeCell ref="AR68:BA68"/>
    <mergeCell ref="A65:D65"/>
    <mergeCell ref="A66:D66"/>
    <mergeCell ref="A63:D63"/>
    <mergeCell ref="AH63:AQ63"/>
    <mergeCell ref="AH65:AQ66"/>
    <mergeCell ref="AR65:BA66"/>
    <mergeCell ref="AB67:AG67"/>
    <mergeCell ref="AB68:AG68"/>
    <mergeCell ref="AB65:AG66"/>
    <mergeCell ref="AR63:BA63"/>
    <mergeCell ref="A64:D64"/>
    <mergeCell ref="AH64:AQ64"/>
    <mergeCell ref="AR64:BA64"/>
    <mergeCell ref="AB46:AG46"/>
    <mergeCell ref="A51:D51"/>
    <mergeCell ref="A47:D47"/>
    <mergeCell ref="A48:D48"/>
    <mergeCell ref="AB60:AG60"/>
    <mergeCell ref="AB61:AG61"/>
    <mergeCell ref="AB62:AG62"/>
    <mergeCell ref="AB63:AG63"/>
    <mergeCell ref="AB64:AG64"/>
    <mergeCell ref="AB54:AG54"/>
    <mergeCell ref="AB55:AG55"/>
    <mergeCell ref="AB56:AG56"/>
    <mergeCell ref="AB57:AG57"/>
    <mergeCell ref="AB58:AG58"/>
    <mergeCell ref="AB59:AG59"/>
    <mergeCell ref="A61:D61"/>
    <mergeCell ref="A57:D57"/>
    <mergeCell ref="A53:D53"/>
    <mergeCell ref="A49:D49"/>
  </mergeCells>
  <pageMargins left="0.70866141732283472" right="0.51181102362204722" top="0.35433070866141736" bottom="0.35433070866141736" header="0.31496062992125984" footer="0.31496062992125984"/>
  <pageSetup paperSize="9" scale="90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indexed="27"/>
  </sheetPr>
  <dimension ref="A1:AE66"/>
  <sheetViews>
    <sheetView showGridLines="0" workbookViewId="0">
      <selection activeCell="AP6" sqref="AP6"/>
    </sheetView>
  </sheetViews>
  <sheetFormatPr defaultRowHeight="12.75"/>
  <cols>
    <col min="1" max="1" width="4.5703125" style="63" customWidth="1"/>
    <col min="2" max="2" width="3" style="64" customWidth="1"/>
    <col min="3" max="6" width="3.140625" style="64" customWidth="1"/>
    <col min="7" max="7" width="3" style="64" customWidth="1"/>
    <col min="8" max="8" width="3.28515625" style="64" customWidth="1"/>
    <col min="9" max="9" width="3.140625" style="64" customWidth="1"/>
    <col min="10" max="12" width="3" style="64" customWidth="1"/>
    <col min="13" max="13" width="3.140625" style="64" customWidth="1"/>
    <col min="14" max="14" width="2.85546875" style="64" customWidth="1"/>
    <col min="15" max="15" width="2.7109375" style="64" customWidth="1"/>
    <col min="16" max="17" width="2.85546875" style="64" customWidth="1"/>
    <col min="18" max="18" width="3" style="64" customWidth="1"/>
    <col min="19" max="20" width="2.85546875" style="64" customWidth="1"/>
    <col min="21" max="21" width="3" style="64" customWidth="1"/>
    <col min="22" max="22" width="2.5703125" style="64" customWidth="1"/>
    <col min="23" max="23" width="3" style="64" customWidth="1"/>
    <col min="24" max="24" width="3.140625" style="64" customWidth="1"/>
    <col min="25" max="25" width="2.85546875" style="64" customWidth="1"/>
    <col min="26" max="26" width="3" style="64" customWidth="1"/>
    <col min="27" max="27" width="2.85546875" style="64" customWidth="1"/>
    <col min="28" max="28" width="3" style="64" customWidth="1"/>
    <col min="29" max="29" width="2.85546875" style="64" customWidth="1"/>
    <col min="30" max="31" width="2.7109375" style="64" customWidth="1"/>
    <col min="32" max="32" width="3.140625" style="64" customWidth="1"/>
    <col min="33" max="34" width="3" style="64" customWidth="1"/>
    <col min="35" max="35" width="3.140625" style="64" customWidth="1"/>
    <col min="36" max="36" width="3" style="64" customWidth="1"/>
    <col min="37" max="37" width="3.140625" style="64" customWidth="1"/>
    <col min="38" max="39" width="3" style="64" customWidth="1"/>
    <col min="40" max="40" width="2.5703125" style="64" customWidth="1"/>
    <col min="41" max="41" width="2.7109375" style="64" customWidth="1"/>
    <col min="42" max="16384" width="9.140625" style="64"/>
  </cols>
  <sheetData>
    <row r="1" spans="1:31">
      <c r="A1" s="2053" t="s">
        <v>709</v>
      </c>
      <c r="B1" s="2053"/>
      <c r="C1" s="2053"/>
      <c r="D1" s="2053"/>
      <c r="E1" s="2053"/>
      <c r="F1" s="2053"/>
      <c r="G1" s="2053"/>
      <c r="H1" s="2053"/>
      <c r="I1" s="2053"/>
      <c r="J1" s="2053"/>
      <c r="R1" s="2053" t="s">
        <v>710</v>
      </c>
      <c r="S1" s="2053"/>
      <c r="T1" s="2053"/>
      <c r="U1" s="2053"/>
      <c r="V1" s="2053"/>
      <c r="W1" s="2053"/>
      <c r="X1" s="2053"/>
      <c r="Y1" s="2053"/>
      <c r="Z1" s="2053"/>
      <c r="AA1" s="2053"/>
      <c r="AB1" s="2053"/>
      <c r="AC1" s="2053"/>
      <c r="AD1" s="2053"/>
      <c r="AE1" s="2053"/>
    </row>
    <row r="2" spans="1:31">
      <c r="A2" s="2047" t="s">
        <v>711</v>
      </c>
      <c r="B2" s="2047"/>
      <c r="C2" s="2047"/>
      <c r="D2" s="2047"/>
      <c r="E2" s="2047"/>
      <c r="F2" s="2047"/>
      <c r="G2" s="2047"/>
      <c r="H2" s="2047"/>
      <c r="I2" s="2047"/>
      <c r="J2" s="2047"/>
      <c r="R2" s="2054" t="s">
        <v>718</v>
      </c>
      <c r="S2" s="2055"/>
      <c r="T2" s="2055"/>
      <c r="U2" s="2055"/>
      <c r="V2" s="2055"/>
      <c r="W2" s="2055"/>
      <c r="X2" s="2055"/>
      <c r="Y2" s="2055"/>
      <c r="Z2" s="2055"/>
      <c r="AA2" s="2055"/>
      <c r="AB2" s="2055"/>
      <c r="AC2" s="2055"/>
      <c r="AD2" s="2055"/>
      <c r="AE2" s="2056"/>
    </row>
    <row r="3" spans="1:31" ht="10.5" customHeight="1">
      <c r="A3" s="2047" t="s">
        <v>719</v>
      </c>
      <c r="B3" s="2047"/>
      <c r="C3" s="2047"/>
      <c r="D3" s="2047"/>
      <c r="E3" s="2047"/>
      <c r="F3" s="2047"/>
      <c r="G3" s="2047"/>
      <c r="H3" s="2047"/>
      <c r="I3" s="2047"/>
      <c r="J3" s="2047"/>
      <c r="R3" s="2048" t="s">
        <v>2852</v>
      </c>
      <c r="S3" s="2049"/>
      <c r="T3" s="2049"/>
      <c r="U3" s="2049"/>
      <c r="V3" s="2049"/>
      <c r="W3" s="2049"/>
      <c r="X3" s="2049"/>
      <c r="Y3" s="2049"/>
      <c r="Z3" s="2049"/>
      <c r="AA3" s="2049"/>
      <c r="AB3" s="2049"/>
      <c r="AC3" s="2049"/>
      <c r="AD3" s="2049"/>
      <c r="AE3" s="2050"/>
    </row>
    <row r="4" spans="1:31" ht="9" customHeight="1">
      <c r="A4" s="2051" t="s">
        <v>720</v>
      </c>
      <c r="B4" s="2051"/>
      <c r="C4" s="2051"/>
      <c r="D4" s="2051"/>
      <c r="E4" s="2051"/>
      <c r="F4" s="2051"/>
      <c r="G4" s="2051"/>
      <c r="H4" s="2051"/>
      <c r="I4" s="2051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 ht="3.75" customHeight="1"/>
    <row r="6" spans="1:31" ht="12" customHeight="1">
      <c r="AB6" s="1279"/>
      <c r="AC6" s="1279"/>
      <c r="AD6" s="1279"/>
      <c r="AE6" s="1279"/>
    </row>
    <row r="7" spans="1:31" ht="15.75">
      <c r="C7" s="2052" t="s">
        <v>1936</v>
      </c>
      <c r="D7" s="2052"/>
      <c r="E7" s="2052"/>
      <c r="F7" s="2052"/>
      <c r="G7" s="2052"/>
      <c r="H7" s="2052"/>
      <c r="I7" s="2052"/>
      <c r="J7" s="2052"/>
      <c r="K7" s="2052"/>
      <c r="L7" s="2052"/>
      <c r="M7" s="2052"/>
      <c r="N7" s="2052"/>
      <c r="O7" s="2052"/>
      <c r="P7" s="2052"/>
      <c r="Q7" s="2052"/>
      <c r="R7" s="2052"/>
      <c r="S7" s="2052"/>
      <c r="T7" s="2052"/>
      <c r="U7" s="2052"/>
      <c r="V7" s="2052"/>
      <c r="W7" s="2052"/>
      <c r="X7" s="2052"/>
      <c r="Y7" s="2052"/>
      <c r="Z7" s="2052"/>
      <c r="AA7" s="2052"/>
      <c r="AB7" s="2052"/>
    </row>
    <row r="8" spans="1:31" ht="7.5" customHeight="1">
      <c r="I8" s="63"/>
    </row>
    <row r="9" spans="1:31" s="111" customFormat="1" ht="15.75">
      <c r="A9" s="110" t="s">
        <v>2853</v>
      </c>
      <c r="I9" s="1952">
        <f>FirmaNaziv</f>
        <v>0</v>
      </c>
      <c r="J9" s="1952"/>
      <c r="K9" s="1952"/>
      <c r="L9" s="1952"/>
      <c r="M9" s="1952"/>
      <c r="N9" s="1952"/>
      <c r="O9" s="1952"/>
      <c r="P9" s="1952"/>
      <c r="Q9" s="1952"/>
      <c r="R9" s="1952"/>
      <c r="S9" s="1952"/>
      <c r="T9" s="1952"/>
      <c r="U9" s="1952"/>
      <c r="V9" s="1952"/>
      <c r="W9" s="1952"/>
      <c r="X9" s="1952"/>
      <c r="Y9" s="1952"/>
      <c r="Z9" s="1952"/>
      <c r="AA9" s="1952"/>
      <c r="AB9" s="1952"/>
      <c r="AC9" s="1952"/>
      <c r="AD9" s="1952"/>
      <c r="AE9" s="1952"/>
    </row>
    <row r="10" spans="1:31" ht="8.25" customHeight="1"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</row>
    <row r="11" spans="1:31" ht="15">
      <c r="A11" s="63" t="s">
        <v>2854</v>
      </c>
      <c r="I11" s="63"/>
      <c r="K11" s="96"/>
      <c r="L11" s="96"/>
      <c r="M11" s="96"/>
      <c r="N11" s="96"/>
      <c r="O11" s="96"/>
      <c r="P11" s="96"/>
      <c r="Q11" s="96"/>
      <c r="R11" s="96"/>
      <c r="S11" s="1253" t="str">
        <f>MID(FirmaID,1,1)</f>
        <v/>
      </c>
      <c r="T11" s="472" t="str">
        <f>MID(FirmaID,2,1)</f>
        <v/>
      </c>
      <c r="U11" s="472" t="str">
        <f>MID(FirmaID,3,1)</f>
        <v/>
      </c>
      <c r="V11" s="472" t="str">
        <f>MID(FirmaID,4,1)</f>
        <v/>
      </c>
      <c r="W11" s="472" t="str">
        <f>MID(FirmaID,5,1)</f>
        <v/>
      </c>
      <c r="X11" s="472" t="str">
        <f>MID(FirmaID,6,1)</f>
        <v/>
      </c>
      <c r="Y11" s="472" t="str">
        <f>MID(FirmaID,7,1)</f>
        <v/>
      </c>
      <c r="Z11" s="472" t="str">
        <f>MID(FirmaID,8,1)</f>
        <v/>
      </c>
      <c r="AA11" s="472" t="str">
        <f>MID(FirmaID,9,1)</f>
        <v/>
      </c>
      <c r="AB11" s="472" t="str">
        <f>MID(FirmaID,10,1)</f>
        <v/>
      </c>
      <c r="AC11" s="472" t="str">
        <f>MID(FirmaID,11,1)</f>
        <v/>
      </c>
      <c r="AD11" s="472" t="str">
        <f>MID(FirmaID,12,1)</f>
        <v/>
      </c>
      <c r="AE11" s="472" t="str">
        <f>MID(FirmaID,13,1)</f>
        <v/>
      </c>
    </row>
    <row r="12" spans="1:31" ht="7.5" customHeight="1">
      <c r="I12" s="63"/>
    </row>
    <row r="13" spans="1:31">
      <c r="A13" s="63" t="s">
        <v>2855</v>
      </c>
      <c r="D13" s="1951" t="str">
        <f>'UNOS-INV01'!L8</f>
        <v>Unsko Sanski</v>
      </c>
      <c r="E13" s="1951"/>
      <c r="F13" s="1951"/>
      <c r="G13" s="1951"/>
      <c r="H13" s="1951"/>
      <c r="I13" s="1951"/>
      <c r="J13" s="1951"/>
      <c r="K13" s="1951"/>
      <c r="L13" s="1951"/>
      <c r="M13" s="1951"/>
      <c r="N13" s="1951"/>
      <c r="O13" s="1951"/>
      <c r="Q13" s="64" t="s">
        <v>721</v>
      </c>
      <c r="T13" s="1951">
        <f>FirmaSjediste</f>
        <v>0</v>
      </c>
      <c r="U13" s="1951"/>
      <c r="V13" s="1951"/>
      <c r="W13" s="1951"/>
      <c r="X13" s="1951"/>
      <c r="Y13" s="1951"/>
      <c r="Z13" s="1951"/>
      <c r="AA13" s="1951"/>
      <c r="AB13" s="1951"/>
      <c r="AC13" s="1951"/>
      <c r="AD13" s="1951"/>
      <c r="AE13" s="1951"/>
    </row>
    <row r="14" spans="1:31" ht="4.5" customHeight="1">
      <c r="I14" s="63"/>
    </row>
    <row r="15" spans="1:31">
      <c r="A15" s="64" t="s">
        <v>2856</v>
      </c>
      <c r="D15" s="1951">
        <f>FirmaAdresa</f>
        <v>0</v>
      </c>
      <c r="E15" s="1951"/>
      <c r="F15" s="1951"/>
      <c r="G15" s="1951"/>
      <c r="H15" s="1951"/>
      <c r="I15" s="1951"/>
      <c r="J15" s="1951"/>
      <c r="K15" s="1951"/>
      <c r="L15" s="1951"/>
      <c r="M15" s="1951"/>
      <c r="N15" s="1951"/>
      <c r="O15" s="1951"/>
      <c r="P15" s="1951"/>
      <c r="Q15" s="1951"/>
      <c r="R15" s="1951"/>
      <c r="S15" s="1951"/>
      <c r="T15" s="64" t="s">
        <v>2857</v>
      </c>
      <c r="W15" s="1951">
        <f>FirmaTelefon</f>
        <v>0</v>
      </c>
      <c r="X15" s="1951"/>
      <c r="Y15" s="1951"/>
      <c r="Z15" s="1951"/>
      <c r="AA15" s="1951"/>
      <c r="AB15" s="1951"/>
      <c r="AC15" s="1951"/>
      <c r="AD15" s="1951"/>
      <c r="AE15" s="1951"/>
    </row>
    <row r="16" spans="1:31" ht="6" customHeight="1"/>
    <row r="17" spans="1:31" s="83" customFormat="1">
      <c r="A17" s="63" t="s">
        <v>2858</v>
      </c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AA17" s="1115" t="str">
        <f>MID(FirmaDjeSifra,1,1)</f>
        <v/>
      </c>
      <c r="AB17" s="1115" t="str">
        <f>MID(FirmaDjeSifra,2,1)</f>
        <v/>
      </c>
      <c r="AC17" s="1115" t="str">
        <f>MID(FirmaDjeSifra,3,1)</f>
        <v/>
      </c>
      <c r="AD17" s="1115" t="str">
        <f>MID(FirmaDjeSifra,4,1)</f>
        <v/>
      </c>
      <c r="AE17" s="1115" t="str">
        <f>MID(FirmaDjeSifra,5,1)</f>
        <v/>
      </c>
    </row>
    <row r="18" spans="1:31" ht="6.75" customHeight="1"/>
    <row r="19" spans="1:31">
      <c r="A19" s="63" t="s">
        <v>2859</v>
      </c>
      <c r="B19" s="1195"/>
      <c r="C19" s="1195"/>
      <c r="D19" s="1195"/>
      <c r="E19" s="1195"/>
      <c r="F19" s="1195"/>
      <c r="G19" s="1195"/>
      <c r="H19" s="1195"/>
      <c r="I19" s="1195"/>
      <c r="J19" s="1195"/>
      <c r="K19" s="1195"/>
      <c r="L19" s="1195"/>
      <c r="M19" s="1195"/>
      <c r="N19" s="1195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95"/>
      <c r="AA19" s="1195"/>
      <c r="AB19" s="1115">
        <f>'UNOS-INV01'!L6</f>
        <v>0</v>
      </c>
      <c r="AC19" s="1115">
        <f>'UNOS-INV01'!M6</f>
        <v>0</v>
      </c>
      <c r="AD19" s="1115">
        <f>'UNOS-INV01'!N6</f>
        <v>0</v>
      </c>
      <c r="AE19" s="1115">
        <f>'UNOS-INV01'!O6</f>
        <v>0</v>
      </c>
    </row>
    <row r="20" spans="1:31" ht="6" customHeight="1">
      <c r="AE20" s="83"/>
    </row>
    <row r="22" spans="1:31" ht="6.75" customHeight="1"/>
    <row r="23" spans="1:31" ht="13.5">
      <c r="A23" s="209" t="s">
        <v>1937</v>
      </c>
    </row>
    <row r="24" spans="1:31">
      <c r="A24" s="65"/>
      <c r="D24" s="64" t="s">
        <v>1014</v>
      </c>
    </row>
    <row r="25" spans="1:31">
      <c r="A25" s="1254" t="s">
        <v>2271</v>
      </c>
      <c r="B25" s="2057"/>
      <c r="C25" s="2058"/>
      <c r="D25" s="2058"/>
      <c r="E25" s="2058"/>
      <c r="F25" s="2058"/>
      <c r="G25" s="2058"/>
      <c r="H25" s="2058"/>
      <c r="I25" s="2058"/>
      <c r="J25" s="2058"/>
      <c r="K25" s="2058"/>
      <c r="L25" s="2058"/>
      <c r="M25" s="2058"/>
      <c r="N25" s="2058"/>
      <c r="O25" s="2058"/>
      <c r="P25" s="2058"/>
      <c r="Q25" s="2058"/>
      <c r="R25" s="2058"/>
      <c r="S25" s="2058"/>
      <c r="T25" s="2058"/>
      <c r="U25" s="2058"/>
      <c r="V25" s="2058"/>
      <c r="W25" s="2058"/>
      <c r="X25" s="2058"/>
      <c r="Y25" s="2059"/>
      <c r="Z25" s="2058" t="s">
        <v>1491</v>
      </c>
      <c r="AA25" s="2058"/>
      <c r="AB25" s="2058"/>
      <c r="AC25" s="2058"/>
      <c r="AD25" s="2058"/>
      <c r="AE25" s="2059"/>
    </row>
    <row r="26" spans="1:31">
      <c r="A26" s="1255" t="s">
        <v>1492</v>
      </c>
      <c r="B26" s="2057"/>
      <c r="C26" s="2058"/>
      <c r="D26" s="2058"/>
      <c r="E26" s="2058"/>
      <c r="F26" s="2058"/>
      <c r="G26" s="2058"/>
      <c r="H26" s="2058"/>
      <c r="I26" s="2058"/>
      <c r="J26" s="2058"/>
      <c r="K26" s="2058"/>
      <c r="L26" s="2058"/>
      <c r="M26" s="2058"/>
      <c r="N26" s="2058"/>
      <c r="O26" s="2058"/>
      <c r="P26" s="2058"/>
      <c r="Q26" s="2058"/>
      <c r="R26" s="2058"/>
      <c r="S26" s="2058"/>
      <c r="T26" s="2058"/>
      <c r="U26" s="2058"/>
      <c r="V26" s="2058"/>
      <c r="W26" s="2058"/>
      <c r="X26" s="2058"/>
      <c r="Y26" s="2059"/>
      <c r="Z26" s="2058"/>
      <c r="AA26" s="2058"/>
      <c r="AB26" s="2058"/>
      <c r="AC26" s="2058"/>
      <c r="AD26" s="2058"/>
      <c r="AE26" s="2059"/>
    </row>
    <row r="27" spans="1:31">
      <c r="A27" s="2060" t="s">
        <v>673</v>
      </c>
      <c r="B27" s="1122" t="s">
        <v>2860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9"/>
      <c r="Z27" s="2061">
        <f>Z29+Z30+Z33+Z37+Z38+Z39</f>
        <v>0</v>
      </c>
      <c r="AA27" s="2061"/>
      <c r="AB27" s="2061"/>
      <c r="AC27" s="2061"/>
      <c r="AD27" s="2061"/>
      <c r="AE27" s="2062"/>
    </row>
    <row r="28" spans="1:31">
      <c r="A28" s="2060"/>
      <c r="B28" s="264"/>
      <c r="C28" s="96" t="s">
        <v>1015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7"/>
      <c r="Z28" s="2061"/>
      <c r="AA28" s="2061"/>
      <c r="AB28" s="2061"/>
      <c r="AC28" s="2061"/>
      <c r="AD28" s="2061"/>
      <c r="AE28" s="2062"/>
    </row>
    <row r="29" spans="1:31">
      <c r="A29" s="1117" t="s">
        <v>722</v>
      </c>
      <c r="B29" s="1120"/>
      <c r="C29" s="1118" t="s">
        <v>858</v>
      </c>
      <c r="D29" s="1118"/>
      <c r="E29" s="1118"/>
      <c r="F29" s="1118"/>
      <c r="G29" s="1118"/>
      <c r="H29" s="1118"/>
      <c r="I29" s="1118"/>
      <c r="J29" s="1118"/>
      <c r="K29" s="1118"/>
      <c r="L29" s="1118"/>
      <c r="M29" s="1118"/>
      <c r="N29" s="1118"/>
      <c r="O29" s="1118"/>
      <c r="P29" s="1118"/>
      <c r="Q29" s="1118"/>
      <c r="R29" s="1118"/>
      <c r="S29" s="1118"/>
      <c r="T29" s="1118"/>
      <c r="U29" s="1118"/>
      <c r="V29" s="1118"/>
      <c r="W29" s="1118"/>
      <c r="X29" s="1118"/>
      <c r="Y29" s="1121"/>
      <c r="Z29" s="2061">
        <f>'UNOS-INV01'!S10</f>
        <v>0</v>
      </c>
      <c r="AA29" s="2061"/>
      <c r="AB29" s="2061"/>
      <c r="AC29" s="2061"/>
      <c r="AD29" s="2061"/>
      <c r="AE29" s="2062"/>
    </row>
    <row r="30" spans="1:31">
      <c r="A30" s="1117" t="s">
        <v>1176</v>
      </c>
      <c r="B30" s="1120"/>
      <c r="C30" s="1118" t="s">
        <v>1407</v>
      </c>
      <c r="D30" s="1118"/>
      <c r="E30" s="1118"/>
      <c r="F30" s="1118"/>
      <c r="G30" s="1118"/>
      <c r="H30" s="1118"/>
      <c r="I30" s="1118"/>
      <c r="J30" s="1118" t="s">
        <v>1016</v>
      </c>
      <c r="K30" s="1118"/>
      <c r="L30" s="1118"/>
      <c r="M30" s="1118"/>
      <c r="N30" s="1118"/>
      <c r="O30" s="1118"/>
      <c r="P30" s="1118"/>
      <c r="Q30" s="1118"/>
      <c r="R30" s="1118"/>
      <c r="S30" s="1118"/>
      <c r="T30" s="1118"/>
      <c r="U30" s="1118"/>
      <c r="V30" s="1118"/>
      <c r="W30" s="1118"/>
      <c r="X30" s="1118"/>
      <c r="Y30" s="1121"/>
      <c r="Z30" s="2061">
        <f>Z31+Z32</f>
        <v>0</v>
      </c>
      <c r="AA30" s="2061"/>
      <c r="AB30" s="2061"/>
      <c r="AC30" s="2061"/>
      <c r="AD30" s="2061"/>
      <c r="AE30" s="2062"/>
    </row>
    <row r="31" spans="1:31">
      <c r="A31" s="1117" t="s">
        <v>723</v>
      </c>
      <c r="B31" s="1120"/>
      <c r="C31" s="1118"/>
      <c r="D31" s="1118" t="s">
        <v>1408</v>
      </c>
      <c r="E31" s="1118"/>
      <c r="F31" s="1118"/>
      <c r="G31" s="1118"/>
      <c r="H31" s="1118"/>
      <c r="I31" s="1118"/>
      <c r="J31" s="1118"/>
      <c r="K31" s="1118"/>
      <c r="L31" s="1118"/>
      <c r="M31" s="1118"/>
      <c r="N31" s="1118"/>
      <c r="O31" s="1118"/>
      <c r="P31" s="1118"/>
      <c r="Q31" s="1118"/>
      <c r="R31" s="1118"/>
      <c r="S31" s="1118"/>
      <c r="T31" s="1118"/>
      <c r="U31" s="1118"/>
      <c r="V31" s="1118"/>
      <c r="W31" s="1118"/>
      <c r="X31" s="1118"/>
      <c r="Y31" s="1121"/>
      <c r="Z31" s="2061">
        <f>'UNOS-INV01'!S11</f>
        <v>0</v>
      </c>
      <c r="AA31" s="2061"/>
      <c r="AB31" s="2061"/>
      <c r="AC31" s="2061"/>
      <c r="AD31" s="2061"/>
      <c r="AE31" s="2062"/>
    </row>
    <row r="32" spans="1:31">
      <c r="A32" s="1117" t="s">
        <v>1177</v>
      </c>
      <c r="B32" s="1120"/>
      <c r="C32" s="1118"/>
      <c r="D32" s="1118" t="s">
        <v>2724</v>
      </c>
      <c r="E32" s="1118"/>
      <c r="F32" s="1118"/>
      <c r="G32" s="1118"/>
      <c r="H32" s="1118"/>
      <c r="I32" s="1118"/>
      <c r="J32" s="1118"/>
      <c r="K32" s="1118"/>
      <c r="L32" s="1118"/>
      <c r="M32" s="1118"/>
      <c r="N32" s="1118"/>
      <c r="O32" s="1118"/>
      <c r="P32" s="1118"/>
      <c r="Q32" s="1118"/>
      <c r="R32" s="1118"/>
      <c r="S32" s="1118"/>
      <c r="T32" s="1118"/>
      <c r="U32" s="1118"/>
      <c r="V32" s="1118"/>
      <c r="W32" s="1118"/>
      <c r="X32" s="1118"/>
      <c r="Y32" s="1121"/>
      <c r="Z32" s="2061">
        <f>'UNOS-INV01'!S12</f>
        <v>0</v>
      </c>
      <c r="AA32" s="2061"/>
      <c r="AB32" s="2061"/>
      <c r="AC32" s="2061"/>
      <c r="AD32" s="2061"/>
      <c r="AE32" s="2062"/>
    </row>
    <row r="33" spans="1:31">
      <c r="A33" s="1117" t="s">
        <v>1178</v>
      </c>
      <c r="B33" s="1120"/>
      <c r="C33" s="1118" t="s">
        <v>2725</v>
      </c>
      <c r="D33" s="1118"/>
      <c r="E33" s="1118"/>
      <c r="F33" s="1118"/>
      <c r="G33" s="1118"/>
      <c r="H33" s="1118"/>
      <c r="I33" s="1118"/>
      <c r="J33" s="1118"/>
      <c r="K33" s="1118"/>
      <c r="L33" s="1118" t="s">
        <v>1489</v>
      </c>
      <c r="M33" s="1118"/>
      <c r="N33" s="1118"/>
      <c r="O33" s="1118"/>
      <c r="P33" s="1118"/>
      <c r="Q33" s="1118"/>
      <c r="R33" s="1118"/>
      <c r="S33" s="1118"/>
      <c r="T33" s="1118"/>
      <c r="U33" s="1118"/>
      <c r="V33" s="1118"/>
      <c r="W33" s="1118"/>
      <c r="X33" s="1118"/>
      <c r="Y33" s="1121"/>
      <c r="Z33" s="2061">
        <f>Z34+Z35+Z36</f>
        <v>0</v>
      </c>
      <c r="AA33" s="2061"/>
      <c r="AB33" s="2061"/>
      <c r="AC33" s="2061"/>
      <c r="AD33" s="2061"/>
      <c r="AE33" s="2062"/>
    </row>
    <row r="34" spans="1:31">
      <c r="A34" s="1117" t="s">
        <v>1179</v>
      </c>
      <c r="B34" s="1120"/>
      <c r="C34" s="1118"/>
      <c r="D34" s="1118" t="s">
        <v>2726</v>
      </c>
      <c r="E34" s="1118"/>
      <c r="F34" s="1118"/>
      <c r="G34" s="1118"/>
      <c r="H34" s="1118"/>
      <c r="I34" s="1118"/>
      <c r="J34" s="1118"/>
      <c r="K34" s="1118"/>
      <c r="L34" s="1118"/>
      <c r="M34" s="1118"/>
      <c r="N34" s="1118"/>
      <c r="O34" s="1118"/>
      <c r="P34" s="1118"/>
      <c r="Q34" s="1118"/>
      <c r="R34" s="1118"/>
      <c r="S34" s="1118"/>
      <c r="T34" s="1118"/>
      <c r="U34" s="1118"/>
      <c r="V34" s="1118"/>
      <c r="W34" s="1118"/>
      <c r="X34" s="1118"/>
      <c r="Y34" s="1121"/>
      <c r="Z34" s="2061">
        <f>'UNOS-INV01'!S13</f>
        <v>0</v>
      </c>
      <c r="AA34" s="2061"/>
      <c r="AB34" s="2061"/>
      <c r="AC34" s="2061"/>
      <c r="AD34" s="2061"/>
      <c r="AE34" s="2062"/>
    </row>
    <row r="35" spans="1:31">
      <c r="A35" s="1117" t="s">
        <v>1180</v>
      </c>
      <c r="B35" s="1120"/>
      <c r="C35" s="1118"/>
      <c r="D35" s="1118" t="s">
        <v>2727</v>
      </c>
      <c r="E35" s="1118"/>
      <c r="F35" s="1118"/>
      <c r="G35" s="1118"/>
      <c r="H35" s="1118"/>
      <c r="I35" s="1118"/>
      <c r="J35" s="1118"/>
      <c r="K35" s="1118"/>
      <c r="L35" s="1118"/>
      <c r="M35" s="1118"/>
      <c r="N35" s="1118"/>
      <c r="O35" s="1118"/>
      <c r="P35" s="1118"/>
      <c r="Q35" s="1118"/>
      <c r="R35" s="1118"/>
      <c r="S35" s="1118"/>
      <c r="T35" s="1118"/>
      <c r="U35" s="1118"/>
      <c r="V35" s="1118"/>
      <c r="W35" s="1118"/>
      <c r="X35" s="1118"/>
      <c r="Y35" s="1121"/>
      <c r="Z35" s="2061">
        <f>'UNOS-INV01'!S14</f>
        <v>0</v>
      </c>
      <c r="AA35" s="2061"/>
      <c r="AB35" s="2061"/>
      <c r="AC35" s="2061"/>
      <c r="AD35" s="2061"/>
      <c r="AE35" s="2062"/>
    </row>
    <row r="36" spans="1:31">
      <c r="A36" s="1117" t="s">
        <v>839</v>
      </c>
      <c r="B36" s="1120"/>
      <c r="C36" s="1118"/>
      <c r="D36" s="1118" t="s">
        <v>1490</v>
      </c>
      <c r="E36" s="1118"/>
      <c r="F36" s="1118"/>
      <c r="G36" s="1118"/>
      <c r="H36" s="1118"/>
      <c r="I36" s="1118"/>
      <c r="J36" s="1118"/>
      <c r="K36" s="1118"/>
      <c r="L36" s="1118"/>
      <c r="M36" s="1118"/>
      <c r="N36" s="1118"/>
      <c r="O36" s="1118"/>
      <c r="P36" s="1118"/>
      <c r="Q36" s="1118"/>
      <c r="R36" s="1118"/>
      <c r="S36" s="1118"/>
      <c r="T36" s="1118"/>
      <c r="U36" s="1118"/>
      <c r="V36" s="1118"/>
      <c r="W36" s="1118"/>
      <c r="X36" s="1118"/>
      <c r="Y36" s="1121"/>
      <c r="Z36" s="2061">
        <f>'UNOS-INV01'!S15</f>
        <v>0</v>
      </c>
      <c r="AA36" s="2061"/>
      <c r="AB36" s="2061"/>
      <c r="AC36" s="2061"/>
      <c r="AD36" s="2061"/>
      <c r="AE36" s="2062"/>
    </row>
    <row r="37" spans="1:31" ht="15.75">
      <c r="A37" s="1117" t="s">
        <v>840</v>
      </c>
      <c r="B37" s="1120"/>
      <c r="C37" s="1118" t="s">
        <v>528</v>
      </c>
      <c r="D37" s="1118"/>
      <c r="E37" s="1118"/>
      <c r="F37" s="1118"/>
      <c r="G37" s="1118"/>
      <c r="H37" s="1118"/>
      <c r="I37" s="1118"/>
      <c r="J37" s="1118"/>
      <c r="K37" s="1118"/>
      <c r="L37" s="1118"/>
      <c r="M37" s="1118"/>
      <c r="N37" s="1118"/>
      <c r="O37" s="1118"/>
      <c r="P37" s="1118"/>
      <c r="Q37" s="1118"/>
      <c r="R37" s="1118"/>
      <c r="S37" s="1118"/>
      <c r="T37" s="1118"/>
      <c r="U37" s="1118"/>
      <c r="V37" s="1118"/>
      <c r="W37" s="1118"/>
      <c r="X37" s="1118"/>
      <c r="Y37" s="1121"/>
      <c r="Z37" s="2061">
        <f>'UNOS-INV01'!S16</f>
        <v>0</v>
      </c>
      <c r="AA37" s="2061"/>
      <c r="AB37" s="2061"/>
      <c r="AC37" s="2061"/>
      <c r="AD37" s="2061"/>
      <c r="AE37" s="2062"/>
    </row>
    <row r="38" spans="1:31">
      <c r="A38" s="1117" t="s">
        <v>841</v>
      </c>
      <c r="B38" s="1120"/>
      <c r="C38" s="1118" t="s">
        <v>1173</v>
      </c>
      <c r="D38" s="1118"/>
      <c r="E38" s="1118"/>
      <c r="F38" s="1118"/>
      <c r="G38" s="1118"/>
      <c r="H38" s="1118"/>
      <c r="I38" s="1118"/>
      <c r="J38" s="1118"/>
      <c r="K38" s="1118"/>
      <c r="L38" s="1118"/>
      <c r="M38" s="1118"/>
      <c r="N38" s="1118"/>
      <c r="O38" s="1118"/>
      <c r="P38" s="1118"/>
      <c r="Q38" s="1118"/>
      <c r="R38" s="1118"/>
      <c r="S38" s="1118"/>
      <c r="T38" s="1118"/>
      <c r="U38" s="1118"/>
      <c r="V38" s="1118"/>
      <c r="W38" s="1118"/>
      <c r="X38" s="1118"/>
      <c r="Y38" s="1121"/>
      <c r="Z38" s="2061">
        <f>'UNOS-INV01'!S17</f>
        <v>0</v>
      </c>
      <c r="AA38" s="2061"/>
      <c r="AB38" s="2061"/>
      <c r="AC38" s="2061"/>
      <c r="AD38" s="2061"/>
      <c r="AE38" s="2062"/>
    </row>
    <row r="39" spans="1:31">
      <c r="A39" s="2060" t="s">
        <v>842</v>
      </c>
      <c r="B39" s="1122"/>
      <c r="C39" s="68" t="s">
        <v>1174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9"/>
      <c r="Z39" s="2061">
        <f>'UNOS-INV01'!S18</f>
        <v>0</v>
      </c>
      <c r="AA39" s="2061"/>
      <c r="AB39" s="2061"/>
      <c r="AC39" s="2061"/>
      <c r="AD39" s="2061"/>
      <c r="AE39" s="2062"/>
    </row>
    <row r="40" spans="1:31">
      <c r="A40" s="2060"/>
      <c r="B40" s="264"/>
      <c r="C40" s="96" t="s">
        <v>1175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7"/>
      <c r="Z40" s="2061"/>
      <c r="AA40" s="2061"/>
      <c r="AB40" s="2061"/>
      <c r="AC40" s="2061"/>
      <c r="AD40" s="2061"/>
      <c r="AE40" s="2062"/>
    </row>
    <row r="41" spans="1:31">
      <c r="A41" s="1117" t="s">
        <v>843</v>
      </c>
      <c r="B41" s="1120"/>
      <c r="C41" s="1118"/>
      <c r="D41" s="1118" t="s">
        <v>724</v>
      </c>
      <c r="E41" s="1118"/>
      <c r="F41" s="1118"/>
      <c r="G41" s="1118"/>
      <c r="H41" s="1118"/>
      <c r="I41" s="1118"/>
      <c r="J41" s="1118"/>
      <c r="K41" s="1118"/>
      <c r="L41" s="1118"/>
      <c r="M41" s="1118"/>
      <c r="N41" s="1118"/>
      <c r="O41" s="1118"/>
      <c r="P41" s="1118"/>
      <c r="Q41" s="1118"/>
      <c r="R41" s="1118"/>
      <c r="S41" s="1118"/>
      <c r="T41" s="1118"/>
      <c r="U41" s="1118"/>
      <c r="V41" s="1118"/>
      <c r="W41" s="1118"/>
      <c r="X41" s="1118"/>
      <c r="Y41" s="1121"/>
      <c r="Z41" s="2061">
        <f>'UNOS-INV01'!S19</f>
        <v>0</v>
      </c>
      <c r="AA41" s="2061"/>
      <c r="AB41" s="2061"/>
      <c r="AC41" s="2061"/>
      <c r="AD41" s="2061"/>
      <c r="AE41" s="2062"/>
    </row>
    <row r="42" spans="1:31" s="77" customFormat="1" ht="11.25">
      <c r="A42" s="107" t="s">
        <v>2129</v>
      </c>
    </row>
    <row r="43" spans="1:31" s="77" customFormat="1" ht="11.25">
      <c r="A43" s="107" t="s">
        <v>725</v>
      </c>
    </row>
    <row r="44" spans="1:31" s="77" customFormat="1" ht="11.25">
      <c r="A44" s="107" t="s">
        <v>726</v>
      </c>
    </row>
    <row r="45" spans="1:31" s="77" customFormat="1" ht="11.25">
      <c r="A45" s="107" t="s">
        <v>727</v>
      </c>
    </row>
    <row r="46" spans="1:31" s="77" customFormat="1" ht="11.25">
      <c r="A46" s="107" t="s">
        <v>2110</v>
      </c>
    </row>
    <row r="47" spans="1:31" s="77" customFormat="1" ht="11.25">
      <c r="A47" s="107" t="s">
        <v>2130</v>
      </c>
    </row>
    <row r="48" spans="1:31" ht="8.25" customHeight="1"/>
    <row r="49" spans="1:31">
      <c r="A49" s="114" t="s">
        <v>1083</v>
      </c>
    </row>
    <row r="50" spans="1:31">
      <c r="A50" s="113" t="s">
        <v>2271</v>
      </c>
      <c r="B50" s="2054"/>
      <c r="C50" s="2055"/>
      <c r="D50" s="2055"/>
      <c r="E50" s="2055"/>
      <c r="F50" s="2055"/>
      <c r="G50" s="2055"/>
      <c r="H50" s="2055"/>
      <c r="I50" s="2055"/>
      <c r="J50" s="2055"/>
      <c r="K50" s="2055"/>
      <c r="L50" s="2055"/>
      <c r="M50" s="2055"/>
      <c r="N50" s="2055"/>
      <c r="O50" s="2055"/>
      <c r="P50" s="2055"/>
      <c r="Q50" s="2055"/>
      <c r="R50" s="2055"/>
      <c r="S50" s="2055"/>
      <c r="T50" s="2055"/>
      <c r="U50" s="2055"/>
      <c r="V50" s="2055"/>
      <c r="W50" s="2055"/>
      <c r="X50" s="2055"/>
      <c r="Y50" s="2056"/>
      <c r="Z50" s="2055" t="s">
        <v>1491</v>
      </c>
      <c r="AA50" s="2055"/>
      <c r="AB50" s="2055"/>
      <c r="AC50" s="2055"/>
      <c r="AD50" s="2055"/>
      <c r="AE50" s="2056"/>
    </row>
    <row r="51" spans="1:31">
      <c r="A51" s="1124" t="s">
        <v>1492</v>
      </c>
      <c r="B51" s="2048"/>
      <c r="C51" s="2049"/>
      <c r="D51" s="2049"/>
      <c r="E51" s="2049"/>
      <c r="F51" s="2049"/>
      <c r="G51" s="2049"/>
      <c r="H51" s="2049"/>
      <c r="I51" s="2049"/>
      <c r="J51" s="2049"/>
      <c r="K51" s="2049"/>
      <c r="L51" s="2049"/>
      <c r="M51" s="2049"/>
      <c r="N51" s="2049"/>
      <c r="O51" s="2049"/>
      <c r="P51" s="2049"/>
      <c r="Q51" s="2049"/>
      <c r="R51" s="2049"/>
      <c r="S51" s="2049"/>
      <c r="T51" s="2049"/>
      <c r="U51" s="2049"/>
      <c r="V51" s="2049"/>
      <c r="W51" s="2049"/>
      <c r="X51" s="2049"/>
      <c r="Y51" s="2050"/>
      <c r="Z51" s="2049"/>
      <c r="AA51" s="2049"/>
      <c r="AB51" s="2049"/>
      <c r="AC51" s="2049"/>
      <c r="AD51" s="2049"/>
      <c r="AE51" s="2050"/>
    </row>
    <row r="52" spans="1:31">
      <c r="A52" s="2076" t="s">
        <v>2111</v>
      </c>
      <c r="B52" s="1122" t="s">
        <v>1084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2079">
        <f>IF(Z27-Z52&lt;&gt;0,"GREŠKA",Z52-Z27)</f>
        <v>0</v>
      </c>
      <c r="R52" s="2079"/>
      <c r="S52" s="2079"/>
      <c r="T52" s="2079"/>
      <c r="U52" s="2079"/>
      <c r="V52" s="2079"/>
      <c r="W52" s="2079"/>
      <c r="X52" s="2079"/>
      <c r="Y52" s="2080"/>
      <c r="Z52" s="2070">
        <f>Z54+Z55</f>
        <v>0</v>
      </c>
      <c r="AA52" s="2070"/>
      <c r="AB52" s="2070"/>
      <c r="AC52" s="2070"/>
      <c r="AD52" s="2070"/>
      <c r="AE52" s="2071"/>
    </row>
    <row r="53" spans="1:31">
      <c r="A53" s="2078"/>
      <c r="B53" s="264"/>
      <c r="C53" s="96" t="s">
        <v>2131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2081"/>
      <c r="R53" s="2081"/>
      <c r="S53" s="2081"/>
      <c r="T53" s="2081"/>
      <c r="U53" s="2081"/>
      <c r="V53" s="2081"/>
      <c r="W53" s="2081"/>
      <c r="X53" s="2081"/>
      <c r="Y53" s="2082"/>
      <c r="Z53" s="2074"/>
      <c r="AA53" s="2074"/>
      <c r="AB53" s="2074"/>
      <c r="AC53" s="2074"/>
      <c r="AD53" s="2074"/>
      <c r="AE53" s="2075"/>
    </row>
    <row r="54" spans="1:31" ht="15.75">
      <c r="A54" s="1116" t="s">
        <v>2112</v>
      </c>
      <c r="B54" s="1119"/>
      <c r="C54" s="1118" t="s">
        <v>1085</v>
      </c>
      <c r="D54" s="1118"/>
      <c r="E54" s="1118"/>
      <c r="F54" s="1118"/>
      <c r="G54" s="1118"/>
      <c r="H54" s="1118"/>
      <c r="I54" s="1118"/>
      <c r="J54" s="1118"/>
      <c r="K54" s="1118"/>
      <c r="L54" s="1118"/>
      <c r="M54" s="1118"/>
      <c r="N54" s="1118"/>
      <c r="O54" s="1118"/>
      <c r="P54" s="1118"/>
      <c r="Q54" s="1118"/>
      <c r="R54" s="1118"/>
      <c r="S54" s="1118"/>
      <c r="T54" s="1118"/>
      <c r="U54" s="1118"/>
      <c r="V54" s="1118"/>
      <c r="W54" s="1118"/>
      <c r="X54" s="1118"/>
      <c r="Y54" s="1121"/>
      <c r="Z54" s="2065">
        <f>'UNOS-INV01'!S22</f>
        <v>0</v>
      </c>
      <c r="AA54" s="2065"/>
      <c r="AB54" s="2065"/>
      <c r="AC54" s="2065"/>
      <c r="AD54" s="2065"/>
      <c r="AE54" s="2066"/>
    </row>
    <row r="55" spans="1:31">
      <c r="A55" s="2067" t="s">
        <v>2113</v>
      </c>
      <c r="B55" s="1102"/>
      <c r="C55" s="68" t="s">
        <v>1086</v>
      </c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9"/>
      <c r="Z55" s="2070">
        <f>'UNOS-INV01'!S23</f>
        <v>0</v>
      </c>
      <c r="AA55" s="2070"/>
      <c r="AB55" s="2070"/>
      <c r="AC55" s="2070"/>
      <c r="AD55" s="2070"/>
      <c r="AE55" s="2071"/>
    </row>
    <row r="56" spans="1:31">
      <c r="A56" s="2068"/>
      <c r="B56" s="105"/>
      <c r="C56" s="64" t="s">
        <v>2114</v>
      </c>
      <c r="Y56" s="72"/>
      <c r="Z56" s="2072"/>
      <c r="AA56" s="2072"/>
      <c r="AB56" s="2072"/>
      <c r="AC56" s="2072"/>
      <c r="AD56" s="2072"/>
      <c r="AE56" s="2073"/>
    </row>
    <row r="57" spans="1:31">
      <c r="A57" s="2068"/>
      <c r="B57" s="105"/>
      <c r="C57" s="64" t="s">
        <v>1087</v>
      </c>
      <c r="Y57" s="72"/>
      <c r="Z57" s="2072"/>
      <c r="AA57" s="2072"/>
      <c r="AB57" s="2072"/>
      <c r="AC57" s="2072"/>
      <c r="AD57" s="2072"/>
      <c r="AE57" s="2073"/>
    </row>
    <row r="58" spans="1:31">
      <c r="A58" s="2069"/>
      <c r="B58" s="264"/>
      <c r="C58" s="96" t="s">
        <v>1088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7"/>
      <c r="Z58" s="2074"/>
      <c r="AA58" s="2074"/>
      <c r="AB58" s="2074"/>
      <c r="AC58" s="2074"/>
      <c r="AD58" s="2074"/>
      <c r="AE58" s="2075"/>
    </row>
    <row r="59" spans="1:31">
      <c r="A59" s="2076" t="s">
        <v>2115</v>
      </c>
      <c r="B59" s="1122" t="s">
        <v>1089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9"/>
      <c r="Z59" s="2070">
        <f>'UNOS-INV01'!S24</f>
        <v>0</v>
      </c>
      <c r="AA59" s="2070"/>
      <c r="AB59" s="2070"/>
      <c r="AC59" s="2070"/>
      <c r="AD59" s="2070"/>
      <c r="AE59" s="2071"/>
    </row>
    <row r="60" spans="1:31">
      <c r="A60" s="2077"/>
      <c r="B60" s="1123"/>
      <c r="C60" s="64" t="s">
        <v>1090</v>
      </c>
      <c r="Y60" s="72"/>
      <c r="Z60" s="2072"/>
      <c r="AA60" s="2072"/>
      <c r="AB60" s="2072"/>
      <c r="AC60" s="2072"/>
      <c r="AD60" s="2072"/>
      <c r="AE60" s="2073"/>
    </row>
    <row r="61" spans="1:31">
      <c r="A61" s="2077"/>
      <c r="B61" s="105"/>
      <c r="C61" s="64" t="s">
        <v>2116</v>
      </c>
      <c r="Y61" s="72"/>
      <c r="Z61" s="2072"/>
      <c r="AA61" s="2072"/>
      <c r="AB61" s="2072"/>
      <c r="AC61" s="2072"/>
      <c r="AD61" s="2072"/>
      <c r="AE61" s="2073"/>
    </row>
    <row r="62" spans="1:31">
      <c r="A62" s="2077"/>
      <c r="B62" s="105"/>
      <c r="C62" s="64" t="s">
        <v>1091</v>
      </c>
      <c r="Y62" s="72"/>
      <c r="Z62" s="2072"/>
      <c r="AA62" s="2072"/>
      <c r="AB62" s="2072"/>
      <c r="AC62" s="2072"/>
      <c r="AD62" s="2072"/>
      <c r="AE62" s="2073"/>
    </row>
    <row r="63" spans="1:31">
      <c r="A63" s="2077"/>
      <c r="B63" s="105"/>
      <c r="C63" s="64" t="s">
        <v>1092</v>
      </c>
      <c r="Y63" s="72"/>
      <c r="Z63" s="2072"/>
      <c r="AA63" s="2072"/>
      <c r="AB63" s="2072"/>
      <c r="AC63" s="2072"/>
      <c r="AD63" s="2072"/>
      <c r="AE63" s="2073"/>
    </row>
    <row r="64" spans="1:31">
      <c r="A64" s="2078"/>
      <c r="B64" s="264"/>
      <c r="C64" s="96" t="s">
        <v>1968</v>
      </c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7"/>
      <c r="Z64" s="2074"/>
      <c r="AA64" s="2074"/>
      <c r="AB64" s="2074"/>
      <c r="AC64" s="2074"/>
      <c r="AD64" s="2074"/>
      <c r="AE64" s="2075"/>
    </row>
    <row r="65" spans="1:31">
      <c r="A65" s="1125" t="s">
        <v>2117</v>
      </c>
      <c r="B65" s="264" t="s">
        <v>1969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7"/>
      <c r="Z65" s="2063">
        <f>Z54+Z59</f>
        <v>0</v>
      </c>
      <c r="AA65" s="2063"/>
      <c r="AB65" s="2063"/>
      <c r="AC65" s="2063"/>
      <c r="AD65" s="2063"/>
      <c r="AE65" s="2064"/>
    </row>
    <row r="66" spans="1:31" ht="15.75">
      <c r="A66" s="262" t="s">
        <v>2128</v>
      </c>
      <c r="AE66" s="283" t="s">
        <v>1960</v>
      </c>
    </row>
  </sheetData>
  <mergeCells count="41">
    <mergeCell ref="Z38:AE38"/>
    <mergeCell ref="A39:A40"/>
    <mergeCell ref="Z39:AE40"/>
    <mergeCell ref="Z41:AE41"/>
    <mergeCell ref="Z65:AE65"/>
    <mergeCell ref="Z54:AE54"/>
    <mergeCell ref="A55:A58"/>
    <mergeCell ref="Z55:AE58"/>
    <mergeCell ref="A59:A64"/>
    <mergeCell ref="Z59:AE64"/>
    <mergeCell ref="B50:Y51"/>
    <mergeCell ref="Z50:AE51"/>
    <mergeCell ref="A52:A53"/>
    <mergeCell ref="Z52:AE53"/>
    <mergeCell ref="Q52:Y53"/>
    <mergeCell ref="B25:Y26"/>
    <mergeCell ref="Z25:AE26"/>
    <mergeCell ref="A27:A28"/>
    <mergeCell ref="Z27:AE28"/>
    <mergeCell ref="Z37:AE37"/>
    <mergeCell ref="Z29:AE29"/>
    <mergeCell ref="Z30:AE30"/>
    <mergeCell ref="Z31:AE31"/>
    <mergeCell ref="Z32:AE32"/>
    <mergeCell ref="Z33:AE33"/>
    <mergeCell ref="Z34:AE34"/>
    <mergeCell ref="Z35:AE35"/>
    <mergeCell ref="Z36:AE36"/>
    <mergeCell ref="A3:J3"/>
    <mergeCell ref="R3:AE3"/>
    <mergeCell ref="A4:I4"/>
    <mergeCell ref="C7:AB7"/>
    <mergeCell ref="A1:J1"/>
    <mergeCell ref="R1:AE1"/>
    <mergeCell ref="A2:J2"/>
    <mergeCell ref="R2:AE2"/>
    <mergeCell ref="I9:AE9"/>
    <mergeCell ref="T13:AE13"/>
    <mergeCell ref="D13:O13"/>
    <mergeCell ref="D15:S15"/>
    <mergeCell ref="W15:AE15"/>
  </mergeCells>
  <phoneticPr fontId="0" type="noConversion"/>
  <pageMargins left="0.59" right="0.24" top="0.28999999999999998" bottom="0.22" header="0.2" footer="0.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indexed="27"/>
  </sheetPr>
  <dimension ref="A1:AJ47"/>
  <sheetViews>
    <sheetView showGridLines="0" workbookViewId="0">
      <selection activeCell="AJ47" sqref="AJ47"/>
    </sheetView>
  </sheetViews>
  <sheetFormatPr defaultRowHeight="12.75"/>
  <cols>
    <col min="1" max="1" width="5.85546875" style="63" customWidth="1"/>
    <col min="2" max="2" width="1.7109375" style="64" customWidth="1"/>
    <col min="3" max="3" width="3.85546875" style="64" customWidth="1"/>
    <col min="4" max="6" width="3.140625" style="64" customWidth="1"/>
    <col min="7" max="7" width="3" style="64" customWidth="1"/>
    <col min="8" max="8" width="3.28515625" style="64" customWidth="1"/>
    <col min="9" max="9" width="3.140625" style="64" customWidth="1"/>
    <col min="10" max="10" width="56.85546875" style="64" customWidth="1"/>
    <col min="11" max="12" width="3" style="64" customWidth="1"/>
    <col min="13" max="13" width="3.140625" style="64" customWidth="1"/>
    <col min="14" max="14" width="2.85546875" style="64" customWidth="1"/>
    <col min="15" max="15" width="2.7109375" style="64" customWidth="1"/>
    <col min="16" max="16" width="2.28515625" style="64" customWidth="1"/>
    <col min="17" max="20" width="3.28515625" style="64" customWidth="1"/>
    <col min="21" max="21" width="5.42578125" style="64" customWidth="1"/>
    <col min="22" max="25" width="3.28515625" style="64" customWidth="1"/>
    <col min="26" max="26" width="4.7109375" style="64" customWidth="1"/>
    <col min="27" max="30" width="3.28515625" style="64" customWidth="1"/>
    <col min="31" max="31" width="4.5703125" style="64" customWidth="1"/>
    <col min="32" max="36" width="3.28515625" style="64" customWidth="1"/>
    <col min="37" max="37" width="3.140625" style="64" customWidth="1"/>
    <col min="38" max="39" width="3" style="64" customWidth="1"/>
    <col min="40" max="40" width="2.5703125" style="64" customWidth="1"/>
    <col min="41" max="41" width="2.7109375" style="64" customWidth="1"/>
    <col min="42" max="83" width="2.42578125" style="64" customWidth="1"/>
    <col min="84" max="16384" width="9.140625" style="64"/>
  </cols>
  <sheetData>
    <row r="1" spans="1:36">
      <c r="A1" s="65" t="s">
        <v>1970</v>
      </c>
      <c r="AG1" s="64" t="s">
        <v>505</v>
      </c>
    </row>
    <row r="2" spans="1:36">
      <c r="A2" s="113" t="s">
        <v>2132</v>
      </c>
      <c r="B2" s="2054"/>
      <c r="C2" s="2055"/>
      <c r="D2" s="2055"/>
      <c r="E2" s="2055"/>
      <c r="F2" s="2055"/>
      <c r="G2" s="2055"/>
      <c r="H2" s="2055"/>
      <c r="I2" s="2055"/>
      <c r="J2" s="2055"/>
      <c r="K2" s="2055"/>
      <c r="L2" s="2055"/>
      <c r="M2" s="2055"/>
      <c r="N2" s="2055"/>
      <c r="O2" s="2055"/>
      <c r="P2" s="2056"/>
      <c r="Q2" s="2055" t="s">
        <v>2133</v>
      </c>
      <c r="R2" s="2055"/>
      <c r="S2" s="2055"/>
      <c r="T2" s="2055"/>
      <c r="U2" s="2084"/>
      <c r="V2" s="2091" t="s">
        <v>2134</v>
      </c>
      <c r="W2" s="2092"/>
      <c r="X2" s="2092"/>
      <c r="Y2" s="2092"/>
      <c r="Z2" s="2092"/>
      <c r="AA2" s="2091" t="s">
        <v>2135</v>
      </c>
      <c r="AB2" s="2092"/>
      <c r="AC2" s="2092"/>
      <c r="AD2" s="2092"/>
      <c r="AE2" s="2093"/>
      <c r="AF2" s="2083" t="s">
        <v>2210</v>
      </c>
      <c r="AG2" s="2055"/>
      <c r="AH2" s="2055"/>
      <c r="AI2" s="2055"/>
      <c r="AJ2" s="2084"/>
    </row>
    <row r="3" spans="1:36">
      <c r="A3" s="1125" t="s">
        <v>2136</v>
      </c>
      <c r="B3" s="2048"/>
      <c r="C3" s="2049"/>
      <c r="D3" s="2049"/>
      <c r="E3" s="2049"/>
      <c r="F3" s="2049"/>
      <c r="G3" s="2049"/>
      <c r="H3" s="2049"/>
      <c r="I3" s="2049"/>
      <c r="J3" s="2049"/>
      <c r="K3" s="2049"/>
      <c r="L3" s="2049"/>
      <c r="M3" s="2049"/>
      <c r="N3" s="2049"/>
      <c r="O3" s="2049"/>
      <c r="P3" s="2050"/>
      <c r="Q3" s="2085" t="s">
        <v>2137</v>
      </c>
      <c r="R3" s="2085"/>
      <c r="S3" s="2085"/>
      <c r="T3" s="2085"/>
      <c r="U3" s="2086"/>
      <c r="V3" s="2087" t="s">
        <v>2138</v>
      </c>
      <c r="W3" s="2088"/>
      <c r="X3" s="2088"/>
      <c r="Y3" s="2088"/>
      <c r="Z3" s="2088"/>
      <c r="AA3" s="2087" t="s">
        <v>2139</v>
      </c>
      <c r="AB3" s="2088"/>
      <c r="AC3" s="2088"/>
      <c r="AD3" s="2088"/>
      <c r="AE3" s="2089"/>
      <c r="AF3" s="2090" t="s">
        <v>880</v>
      </c>
      <c r="AG3" s="2085"/>
      <c r="AH3" s="2085"/>
      <c r="AI3" s="2085"/>
      <c r="AJ3" s="2086"/>
    </row>
    <row r="4" spans="1:36" ht="10.5" customHeight="1">
      <c r="A4" s="1126" t="s">
        <v>522</v>
      </c>
      <c r="B4" s="2048">
        <v>2</v>
      </c>
      <c r="C4" s="2049"/>
      <c r="D4" s="2049"/>
      <c r="E4" s="2049"/>
      <c r="F4" s="2049"/>
      <c r="G4" s="2049"/>
      <c r="H4" s="2049"/>
      <c r="I4" s="2049"/>
      <c r="J4" s="2049"/>
      <c r="K4" s="2049"/>
      <c r="L4" s="2049"/>
      <c r="M4" s="2049"/>
      <c r="N4" s="2049"/>
      <c r="O4" s="2049"/>
      <c r="P4" s="2050"/>
      <c r="Q4" s="2057">
        <v>3</v>
      </c>
      <c r="R4" s="2058"/>
      <c r="S4" s="2058"/>
      <c r="T4" s="2058"/>
      <c r="U4" s="2103"/>
      <c r="V4" s="2104">
        <v>4</v>
      </c>
      <c r="W4" s="2105"/>
      <c r="X4" s="2105"/>
      <c r="Y4" s="2105"/>
      <c r="Z4" s="2105"/>
      <c r="AA4" s="2104">
        <v>5</v>
      </c>
      <c r="AB4" s="2105"/>
      <c r="AC4" s="2105"/>
      <c r="AD4" s="2105"/>
      <c r="AE4" s="2106"/>
      <c r="AF4" s="2094">
        <v>6</v>
      </c>
      <c r="AG4" s="2058"/>
      <c r="AH4" s="2058"/>
      <c r="AI4" s="2058"/>
      <c r="AJ4" s="2059"/>
    </row>
    <row r="5" spans="1:36" ht="16.5" customHeight="1">
      <c r="A5" s="1128" t="s">
        <v>675</v>
      </c>
      <c r="B5" s="2095" t="s">
        <v>1971</v>
      </c>
      <c r="C5" s="2096"/>
      <c r="D5" s="2096"/>
      <c r="E5" s="2096"/>
      <c r="F5" s="2096"/>
      <c r="G5" s="2096"/>
      <c r="H5" s="2096"/>
      <c r="I5" s="2096"/>
      <c r="J5" s="2096"/>
      <c r="K5" s="2096"/>
      <c r="L5" s="2096"/>
      <c r="M5" s="2096"/>
      <c r="N5" s="2096"/>
      <c r="O5" s="2096"/>
      <c r="P5" s="2097"/>
      <c r="Q5" s="2098">
        <f t="shared" ref="Q5:Q19" si="0">V5+AA5</f>
        <v>0</v>
      </c>
      <c r="R5" s="2099"/>
      <c r="S5" s="2099"/>
      <c r="T5" s="2099"/>
      <c r="U5" s="2100"/>
      <c r="V5" s="2101">
        <f>V6+V32+V37</f>
        <v>0</v>
      </c>
      <c r="W5" s="2099"/>
      <c r="X5" s="2099"/>
      <c r="Y5" s="2099"/>
      <c r="Z5" s="2099"/>
      <c r="AA5" s="2102">
        <f>AA6+AA32</f>
        <v>0</v>
      </c>
      <c r="AB5" s="2099"/>
      <c r="AC5" s="2099"/>
      <c r="AD5" s="2099"/>
      <c r="AE5" s="2100"/>
      <c r="AF5" s="2102">
        <f>AF6+AF32</f>
        <v>0</v>
      </c>
      <c r="AG5" s="2099"/>
      <c r="AH5" s="2099"/>
      <c r="AI5" s="2099"/>
      <c r="AJ5" s="2100"/>
    </row>
    <row r="6" spans="1:36" ht="15" customHeight="1">
      <c r="A6" s="1129" t="s">
        <v>2211</v>
      </c>
      <c r="B6" s="2110" t="s">
        <v>2140</v>
      </c>
      <c r="C6" s="2111"/>
      <c r="D6" s="2111"/>
      <c r="E6" s="2111"/>
      <c r="F6" s="2111"/>
      <c r="G6" s="2111"/>
      <c r="H6" s="2111"/>
      <c r="I6" s="2111"/>
      <c r="J6" s="2111"/>
      <c r="K6" s="2111"/>
      <c r="L6" s="2111"/>
      <c r="M6" s="2111"/>
      <c r="N6" s="2111"/>
      <c r="O6" s="2111"/>
      <c r="P6" s="2112"/>
      <c r="Q6" s="2098">
        <f t="shared" si="0"/>
        <v>0</v>
      </c>
      <c r="R6" s="2099"/>
      <c r="S6" s="2099"/>
      <c r="T6" s="2099"/>
      <c r="U6" s="2100"/>
      <c r="V6" s="2099">
        <f>V7+V13+V29</f>
        <v>0</v>
      </c>
      <c r="W6" s="2099"/>
      <c r="X6" s="2099"/>
      <c r="Y6" s="2099"/>
      <c r="Z6" s="2099"/>
      <c r="AA6" s="2102">
        <f>AA7+AA13+AA29</f>
        <v>0</v>
      </c>
      <c r="AB6" s="2099"/>
      <c r="AC6" s="2099"/>
      <c r="AD6" s="2099"/>
      <c r="AE6" s="2100"/>
      <c r="AF6" s="2102">
        <f>AF7+AF13+AF29</f>
        <v>0</v>
      </c>
      <c r="AG6" s="2099"/>
      <c r="AH6" s="2099"/>
      <c r="AI6" s="2099"/>
      <c r="AJ6" s="2100"/>
    </row>
    <row r="7" spans="1:36" ht="15">
      <c r="A7" s="1129" t="s">
        <v>2212</v>
      </c>
      <c r="B7" s="2107" t="s">
        <v>2141</v>
      </c>
      <c r="C7" s="2108"/>
      <c r="D7" s="2108"/>
      <c r="E7" s="2108"/>
      <c r="F7" s="2108"/>
      <c r="G7" s="2108"/>
      <c r="H7" s="2108"/>
      <c r="I7" s="2108"/>
      <c r="J7" s="2108"/>
      <c r="K7" s="2108"/>
      <c r="L7" s="2108"/>
      <c r="M7" s="2108"/>
      <c r="N7" s="2108"/>
      <c r="O7" s="2108"/>
      <c r="P7" s="2109"/>
      <c r="Q7" s="2098">
        <f t="shared" si="0"/>
        <v>0</v>
      </c>
      <c r="R7" s="2099"/>
      <c r="S7" s="2099"/>
      <c r="T7" s="2099"/>
      <c r="U7" s="2100"/>
      <c r="V7" s="2099">
        <f>V8+V9</f>
        <v>0</v>
      </c>
      <c r="W7" s="2099"/>
      <c r="X7" s="2099"/>
      <c r="Y7" s="2099"/>
      <c r="Z7" s="2099"/>
      <c r="AA7" s="2102">
        <f>AA8+AA9</f>
        <v>0</v>
      </c>
      <c r="AB7" s="2099"/>
      <c r="AC7" s="2099"/>
      <c r="AD7" s="2099"/>
      <c r="AE7" s="2100"/>
      <c r="AF7" s="2102">
        <f>AF8+AF9</f>
        <v>0</v>
      </c>
      <c r="AG7" s="2099"/>
      <c r="AH7" s="2099"/>
      <c r="AI7" s="2099"/>
      <c r="AJ7" s="2100"/>
    </row>
    <row r="8" spans="1:36" ht="15">
      <c r="A8" s="1130" t="s">
        <v>2142</v>
      </c>
      <c r="B8" s="1127" t="s">
        <v>706</v>
      </c>
      <c r="C8" s="2113" t="s">
        <v>2143</v>
      </c>
      <c r="D8" s="2113"/>
      <c r="E8" s="2113"/>
      <c r="F8" s="2113"/>
      <c r="G8" s="2113"/>
      <c r="H8" s="2113"/>
      <c r="I8" s="2113"/>
      <c r="J8" s="2113"/>
      <c r="K8" s="2113"/>
      <c r="L8" s="2113"/>
      <c r="M8" s="2113"/>
      <c r="N8" s="2113"/>
      <c r="O8" s="2113"/>
      <c r="P8" s="2114"/>
      <c r="Q8" s="2098">
        <f t="shared" si="0"/>
        <v>0</v>
      </c>
      <c r="R8" s="2099"/>
      <c r="S8" s="2099"/>
      <c r="T8" s="2099"/>
      <c r="U8" s="2100"/>
      <c r="V8" s="2101">
        <f>'UNOS-INV01'!S31</f>
        <v>0</v>
      </c>
      <c r="W8" s="2099"/>
      <c r="X8" s="2099"/>
      <c r="Y8" s="2099"/>
      <c r="Z8" s="2099"/>
      <c r="AA8" s="2102">
        <f>'UNOS-INV01'!Y31</f>
        <v>0</v>
      </c>
      <c r="AB8" s="2099"/>
      <c r="AC8" s="2099"/>
      <c r="AD8" s="2099"/>
      <c r="AE8" s="2100"/>
      <c r="AF8" s="2102">
        <f>'UNOS-INV01'!AE31</f>
        <v>0</v>
      </c>
      <c r="AG8" s="2099"/>
      <c r="AH8" s="2099"/>
      <c r="AI8" s="2099"/>
      <c r="AJ8" s="2100"/>
    </row>
    <row r="9" spans="1:36" ht="15">
      <c r="A9" s="1130" t="s">
        <v>2144</v>
      </c>
      <c r="B9" s="2107" t="s">
        <v>257</v>
      </c>
      <c r="C9" s="2108"/>
      <c r="D9" s="2108"/>
      <c r="E9" s="2108"/>
      <c r="F9" s="2108"/>
      <c r="G9" s="2108"/>
      <c r="H9" s="2108"/>
      <c r="I9" s="2108"/>
      <c r="J9" s="2108"/>
      <c r="K9" s="2108"/>
      <c r="L9" s="2108"/>
      <c r="M9" s="2108"/>
      <c r="N9" s="2108"/>
      <c r="O9" s="2108"/>
      <c r="P9" s="2109"/>
      <c r="Q9" s="2098">
        <f t="shared" si="0"/>
        <v>0</v>
      </c>
      <c r="R9" s="2099"/>
      <c r="S9" s="2099"/>
      <c r="T9" s="2099"/>
      <c r="U9" s="2100"/>
      <c r="V9" s="2099">
        <f>V10+V11+V12</f>
        <v>0</v>
      </c>
      <c r="W9" s="2099"/>
      <c r="X9" s="2099"/>
      <c r="Y9" s="2099"/>
      <c r="Z9" s="2099"/>
      <c r="AA9" s="2102">
        <f>AA10+AA11</f>
        <v>0</v>
      </c>
      <c r="AB9" s="2099"/>
      <c r="AC9" s="2099"/>
      <c r="AD9" s="2099"/>
      <c r="AE9" s="2100"/>
      <c r="AF9" s="2102">
        <f>AF10+AF11</f>
        <v>0</v>
      </c>
      <c r="AG9" s="2099"/>
      <c r="AH9" s="2099"/>
      <c r="AI9" s="2099"/>
      <c r="AJ9" s="2100"/>
    </row>
    <row r="10" spans="1:36" ht="25.5" customHeight="1">
      <c r="A10" s="1130" t="s">
        <v>258</v>
      </c>
      <c r="B10" s="1127" t="s">
        <v>706</v>
      </c>
      <c r="C10" s="2115" t="s">
        <v>1459</v>
      </c>
      <c r="D10" s="2115"/>
      <c r="E10" s="2115"/>
      <c r="F10" s="2115"/>
      <c r="G10" s="2115"/>
      <c r="H10" s="2115"/>
      <c r="I10" s="2115"/>
      <c r="J10" s="2115"/>
      <c r="K10" s="2115"/>
      <c r="L10" s="2115"/>
      <c r="M10" s="2115"/>
      <c r="N10" s="2115"/>
      <c r="O10" s="2115"/>
      <c r="P10" s="2116"/>
      <c r="Q10" s="2098">
        <f t="shared" si="0"/>
        <v>0</v>
      </c>
      <c r="R10" s="2099"/>
      <c r="S10" s="2099"/>
      <c r="T10" s="2099"/>
      <c r="U10" s="2100"/>
      <c r="V10" s="2102">
        <f>'UNOS-INV01'!S32</f>
        <v>0</v>
      </c>
      <c r="W10" s="2099"/>
      <c r="X10" s="2099"/>
      <c r="Y10" s="2099"/>
      <c r="Z10" s="2099"/>
      <c r="AA10" s="2102">
        <f>'UNOS-INV01'!Y32</f>
        <v>0</v>
      </c>
      <c r="AB10" s="2099"/>
      <c r="AC10" s="2099"/>
      <c r="AD10" s="2099"/>
      <c r="AE10" s="2100"/>
      <c r="AF10" s="2102">
        <f>'UNOS-INV01'!AE32</f>
        <v>0</v>
      </c>
      <c r="AG10" s="2099"/>
      <c r="AH10" s="2099"/>
      <c r="AI10" s="2099"/>
      <c r="AJ10" s="2100"/>
    </row>
    <row r="11" spans="1:36" ht="37.5" customHeight="1">
      <c r="A11" s="1130" t="s">
        <v>1460</v>
      </c>
      <c r="B11" s="1127" t="s">
        <v>706</v>
      </c>
      <c r="C11" s="2115" t="s">
        <v>128</v>
      </c>
      <c r="D11" s="2115"/>
      <c r="E11" s="2115"/>
      <c r="F11" s="2115"/>
      <c r="G11" s="2115"/>
      <c r="H11" s="2115"/>
      <c r="I11" s="2115"/>
      <c r="J11" s="2115"/>
      <c r="K11" s="2115"/>
      <c r="L11" s="2115"/>
      <c r="M11" s="2115"/>
      <c r="N11" s="2115"/>
      <c r="O11" s="2115"/>
      <c r="P11" s="2116"/>
      <c r="Q11" s="2098">
        <f t="shared" si="0"/>
        <v>0</v>
      </c>
      <c r="R11" s="2099"/>
      <c r="S11" s="2099"/>
      <c r="T11" s="2099"/>
      <c r="U11" s="2100"/>
      <c r="V11" s="2102">
        <f>'UNOS-INV01'!S33</f>
        <v>0</v>
      </c>
      <c r="W11" s="2099"/>
      <c r="X11" s="2099"/>
      <c r="Y11" s="2099"/>
      <c r="Z11" s="2099"/>
      <c r="AA11" s="2102">
        <f>'UNOS-INV01'!Y33</f>
        <v>0</v>
      </c>
      <c r="AB11" s="2099"/>
      <c r="AC11" s="2099"/>
      <c r="AD11" s="2099"/>
      <c r="AE11" s="2100"/>
      <c r="AF11" s="2102">
        <f>'UNOS-INV01'!AE33</f>
        <v>0</v>
      </c>
      <c r="AG11" s="2099"/>
      <c r="AH11" s="2099"/>
      <c r="AI11" s="2099"/>
      <c r="AJ11" s="2100"/>
    </row>
    <row r="12" spans="1:36" ht="24" customHeight="1">
      <c r="A12" s="1130" t="s">
        <v>129</v>
      </c>
      <c r="B12" s="1127" t="s">
        <v>706</v>
      </c>
      <c r="C12" s="2115" t="s">
        <v>871</v>
      </c>
      <c r="D12" s="2115"/>
      <c r="E12" s="2115"/>
      <c r="F12" s="2115"/>
      <c r="G12" s="2115"/>
      <c r="H12" s="2115"/>
      <c r="I12" s="2115"/>
      <c r="J12" s="2115"/>
      <c r="K12" s="2115"/>
      <c r="L12" s="2115"/>
      <c r="M12" s="2115"/>
      <c r="N12" s="2115"/>
      <c r="O12" s="2115"/>
      <c r="P12" s="2116"/>
      <c r="Q12" s="2098">
        <f>V12</f>
        <v>0</v>
      </c>
      <c r="R12" s="2099"/>
      <c r="S12" s="2099"/>
      <c r="T12" s="2099"/>
      <c r="U12" s="2100"/>
      <c r="V12" s="2102">
        <f>'UNOS-INV01'!S34</f>
        <v>0</v>
      </c>
      <c r="W12" s="2099"/>
      <c r="X12" s="2099"/>
      <c r="Y12" s="2099"/>
      <c r="Z12" s="2099"/>
      <c r="AA12" s="2102" t="s">
        <v>1498</v>
      </c>
      <c r="AB12" s="2099"/>
      <c r="AC12" s="2099"/>
      <c r="AD12" s="2099"/>
      <c r="AE12" s="2100"/>
      <c r="AF12" s="2102" t="s">
        <v>1498</v>
      </c>
      <c r="AG12" s="2099"/>
      <c r="AH12" s="2099"/>
      <c r="AI12" s="2099"/>
      <c r="AJ12" s="2100"/>
    </row>
    <row r="13" spans="1:36" ht="15" customHeight="1">
      <c r="A13" s="1129" t="s">
        <v>2274</v>
      </c>
      <c r="B13" s="2117" t="s">
        <v>872</v>
      </c>
      <c r="C13" s="2118"/>
      <c r="D13" s="2118"/>
      <c r="E13" s="2118"/>
      <c r="F13" s="2118"/>
      <c r="G13" s="2118"/>
      <c r="H13" s="2118"/>
      <c r="I13" s="2118"/>
      <c r="J13" s="2118"/>
      <c r="K13" s="2118"/>
      <c r="L13" s="2118"/>
      <c r="M13" s="2118"/>
      <c r="N13" s="2118"/>
      <c r="O13" s="2118"/>
      <c r="P13" s="2119"/>
      <c r="Q13" s="2098">
        <f t="shared" si="0"/>
        <v>0</v>
      </c>
      <c r="R13" s="2099"/>
      <c r="S13" s="2099"/>
      <c r="T13" s="2099"/>
      <c r="U13" s="2100"/>
      <c r="V13" s="2102">
        <f>V14+V24</f>
        <v>0</v>
      </c>
      <c r="W13" s="2099"/>
      <c r="X13" s="2099"/>
      <c r="Y13" s="2099"/>
      <c r="Z13" s="2099"/>
      <c r="AA13" s="2102">
        <f>AA14+AA24</f>
        <v>0</v>
      </c>
      <c r="AB13" s="2099"/>
      <c r="AC13" s="2099"/>
      <c r="AD13" s="2099"/>
      <c r="AE13" s="2100"/>
      <c r="AF13" s="2102">
        <f>AF14+AF24</f>
        <v>0</v>
      </c>
      <c r="AG13" s="2099"/>
      <c r="AH13" s="2099"/>
      <c r="AI13" s="2099"/>
      <c r="AJ13" s="2100"/>
    </row>
    <row r="14" spans="1:36" ht="15" customHeight="1">
      <c r="A14" s="1131" t="s">
        <v>873</v>
      </c>
      <c r="B14" s="2107" t="s">
        <v>874</v>
      </c>
      <c r="C14" s="2108"/>
      <c r="D14" s="2108"/>
      <c r="E14" s="2108"/>
      <c r="F14" s="2108"/>
      <c r="G14" s="2108"/>
      <c r="H14" s="2108"/>
      <c r="I14" s="2108"/>
      <c r="J14" s="2108"/>
      <c r="K14" s="2108"/>
      <c r="L14" s="2108"/>
      <c r="M14" s="2108"/>
      <c r="N14" s="2108"/>
      <c r="O14" s="2108"/>
      <c r="P14" s="2109"/>
      <c r="Q14" s="2098">
        <f t="shared" si="0"/>
        <v>0</v>
      </c>
      <c r="R14" s="2099"/>
      <c r="S14" s="2099"/>
      <c r="T14" s="2099"/>
      <c r="U14" s="2100"/>
      <c r="V14" s="2101">
        <f>SUM(V15:V23)</f>
        <v>0</v>
      </c>
      <c r="W14" s="2099"/>
      <c r="X14" s="2099"/>
      <c r="Y14" s="2099"/>
      <c r="Z14" s="2099"/>
      <c r="AA14" s="2102">
        <f>SUM(AA15:AA23)</f>
        <v>0</v>
      </c>
      <c r="AB14" s="2099"/>
      <c r="AC14" s="2099"/>
      <c r="AD14" s="2099"/>
      <c r="AE14" s="2100"/>
      <c r="AF14" s="2102">
        <f>SUM(AF15:AF23)</f>
        <v>0</v>
      </c>
      <c r="AG14" s="2099"/>
      <c r="AH14" s="2099"/>
      <c r="AI14" s="2099"/>
      <c r="AJ14" s="2100"/>
    </row>
    <row r="15" spans="1:36" ht="26.25" customHeight="1">
      <c r="A15" s="1116" t="s">
        <v>875</v>
      </c>
      <c r="B15" s="1127" t="s">
        <v>706</v>
      </c>
      <c r="C15" s="2115" t="s">
        <v>876</v>
      </c>
      <c r="D15" s="2115"/>
      <c r="E15" s="2115"/>
      <c r="F15" s="2115"/>
      <c r="G15" s="2115"/>
      <c r="H15" s="2115"/>
      <c r="I15" s="2115"/>
      <c r="J15" s="2115"/>
      <c r="K15" s="2115"/>
      <c r="L15" s="2115"/>
      <c r="M15" s="2115"/>
      <c r="N15" s="2115"/>
      <c r="O15" s="2115"/>
      <c r="P15" s="2116"/>
      <c r="Q15" s="2098">
        <f t="shared" si="0"/>
        <v>0</v>
      </c>
      <c r="R15" s="2099"/>
      <c r="S15" s="2099"/>
      <c r="T15" s="2099"/>
      <c r="U15" s="2100"/>
      <c r="V15" s="2102">
        <f>'UNOS-INV01'!S36</f>
        <v>0</v>
      </c>
      <c r="W15" s="2099"/>
      <c r="X15" s="2099"/>
      <c r="Y15" s="2099"/>
      <c r="Z15" s="2099"/>
      <c r="AA15" s="2102">
        <f>'UNOS-INV01'!Y36</f>
        <v>0</v>
      </c>
      <c r="AB15" s="2099"/>
      <c r="AC15" s="2099"/>
      <c r="AD15" s="2099"/>
      <c r="AE15" s="2100"/>
      <c r="AF15" s="2102">
        <f>'UNOS-INV01'!AE36</f>
        <v>0</v>
      </c>
      <c r="AG15" s="2099"/>
      <c r="AH15" s="2099"/>
      <c r="AI15" s="2099"/>
      <c r="AJ15" s="2100"/>
    </row>
    <row r="16" spans="1:36" ht="28.5" customHeight="1">
      <c r="A16" s="1116" t="s">
        <v>877</v>
      </c>
      <c r="B16" s="1127" t="s">
        <v>706</v>
      </c>
      <c r="C16" s="2115" t="s">
        <v>1559</v>
      </c>
      <c r="D16" s="2115"/>
      <c r="E16" s="2115"/>
      <c r="F16" s="2115"/>
      <c r="G16" s="2115"/>
      <c r="H16" s="2115"/>
      <c r="I16" s="2115"/>
      <c r="J16" s="2115"/>
      <c r="K16" s="2115"/>
      <c r="L16" s="2115"/>
      <c r="M16" s="2115"/>
      <c r="N16" s="2115"/>
      <c r="O16" s="2115"/>
      <c r="P16" s="2116"/>
      <c r="Q16" s="2098">
        <f t="shared" si="0"/>
        <v>0</v>
      </c>
      <c r="R16" s="2099"/>
      <c r="S16" s="2099"/>
      <c r="T16" s="2099"/>
      <c r="U16" s="2100"/>
      <c r="V16" s="2102">
        <f>'UNOS-INV01'!S37</f>
        <v>0</v>
      </c>
      <c r="W16" s="2099"/>
      <c r="X16" s="2099"/>
      <c r="Y16" s="2099"/>
      <c r="Z16" s="2099"/>
      <c r="AA16" s="2102">
        <f>'UNOS-INV01'!Y37</f>
        <v>0</v>
      </c>
      <c r="AB16" s="2099"/>
      <c r="AC16" s="2099"/>
      <c r="AD16" s="2099"/>
      <c r="AE16" s="2100"/>
      <c r="AF16" s="2102">
        <f>'UNOS-INV01'!AE37</f>
        <v>0</v>
      </c>
      <c r="AG16" s="2099"/>
      <c r="AH16" s="2099"/>
      <c r="AI16" s="2099"/>
      <c r="AJ16" s="2100"/>
    </row>
    <row r="17" spans="1:36" ht="27" customHeight="1">
      <c r="A17" s="1116" t="s">
        <v>1560</v>
      </c>
      <c r="B17" s="1127" t="s">
        <v>706</v>
      </c>
      <c r="C17" s="2115" t="s">
        <v>2473</v>
      </c>
      <c r="D17" s="2115"/>
      <c r="E17" s="2115"/>
      <c r="F17" s="2115"/>
      <c r="G17" s="2115"/>
      <c r="H17" s="2115"/>
      <c r="I17" s="2115"/>
      <c r="J17" s="2115"/>
      <c r="K17" s="2115"/>
      <c r="L17" s="2115"/>
      <c r="M17" s="2115"/>
      <c r="N17" s="2115"/>
      <c r="O17" s="2115"/>
      <c r="P17" s="2116"/>
      <c r="Q17" s="2098">
        <f t="shared" si="0"/>
        <v>0</v>
      </c>
      <c r="R17" s="2099"/>
      <c r="S17" s="2099"/>
      <c r="T17" s="2099"/>
      <c r="U17" s="2100"/>
      <c r="V17" s="2102">
        <f>'UNOS-INV01'!S38</f>
        <v>0</v>
      </c>
      <c r="W17" s="2099"/>
      <c r="X17" s="2099"/>
      <c r="Y17" s="2099"/>
      <c r="Z17" s="2099"/>
      <c r="AA17" s="2102">
        <f>'UNOS-INV01'!Y38</f>
        <v>0</v>
      </c>
      <c r="AB17" s="2099"/>
      <c r="AC17" s="2099"/>
      <c r="AD17" s="2099"/>
      <c r="AE17" s="2100"/>
      <c r="AF17" s="2102">
        <f>'UNOS-INV01'!AE38</f>
        <v>0</v>
      </c>
      <c r="AG17" s="2099"/>
      <c r="AH17" s="2099"/>
      <c r="AI17" s="2099"/>
      <c r="AJ17" s="2100"/>
    </row>
    <row r="18" spans="1:36" ht="15" customHeight="1">
      <c r="A18" s="1116" t="s">
        <v>2474</v>
      </c>
      <c r="B18" s="1127" t="s">
        <v>706</v>
      </c>
      <c r="C18" s="2115" t="s">
        <v>2475</v>
      </c>
      <c r="D18" s="2115"/>
      <c r="E18" s="2115"/>
      <c r="F18" s="2115"/>
      <c r="G18" s="2115"/>
      <c r="H18" s="2115"/>
      <c r="I18" s="2115"/>
      <c r="J18" s="2115"/>
      <c r="K18" s="2115"/>
      <c r="L18" s="2115"/>
      <c r="M18" s="2115"/>
      <c r="N18" s="2115"/>
      <c r="O18" s="2115"/>
      <c r="P18" s="2116"/>
      <c r="Q18" s="2098">
        <f t="shared" si="0"/>
        <v>0</v>
      </c>
      <c r="R18" s="2099"/>
      <c r="S18" s="2099"/>
      <c r="T18" s="2099"/>
      <c r="U18" s="2100"/>
      <c r="V18" s="2102">
        <f>'UNOS-INV01'!S39</f>
        <v>0</v>
      </c>
      <c r="W18" s="2099"/>
      <c r="X18" s="2099"/>
      <c r="Y18" s="2099"/>
      <c r="Z18" s="2099"/>
      <c r="AA18" s="2102">
        <f>'UNOS-INV01'!Y39</f>
        <v>0</v>
      </c>
      <c r="AB18" s="2099"/>
      <c r="AC18" s="2099"/>
      <c r="AD18" s="2099"/>
      <c r="AE18" s="2100"/>
      <c r="AF18" s="2102">
        <f>'UNOS-INV01'!AE39</f>
        <v>0</v>
      </c>
      <c r="AG18" s="2099"/>
      <c r="AH18" s="2099"/>
      <c r="AI18" s="2099"/>
      <c r="AJ18" s="2100"/>
    </row>
    <row r="19" spans="1:36" ht="27" customHeight="1">
      <c r="A19" s="1116" t="s">
        <v>2476</v>
      </c>
      <c r="B19" s="1127" t="s">
        <v>706</v>
      </c>
      <c r="C19" s="2115" t="s">
        <v>1455</v>
      </c>
      <c r="D19" s="2115"/>
      <c r="E19" s="2115"/>
      <c r="F19" s="2115"/>
      <c r="G19" s="2115"/>
      <c r="H19" s="2115"/>
      <c r="I19" s="2115"/>
      <c r="J19" s="2115"/>
      <c r="K19" s="2115"/>
      <c r="L19" s="2115"/>
      <c r="M19" s="2115"/>
      <c r="N19" s="2115"/>
      <c r="O19" s="2115"/>
      <c r="P19" s="2116"/>
      <c r="Q19" s="2098">
        <f t="shared" si="0"/>
        <v>0</v>
      </c>
      <c r="R19" s="2099"/>
      <c r="S19" s="2099"/>
      <c r="T19" s="2099"/>
      <c r="U19" s="2100"/>
      <c r="V19" s="2102">
        <f>'UNOS-INV01'!S40</f>
        <v>0</v>
      </c>
      <c r="W19" s="2099"/>
      <c r="X19" s="2099"/>
      <c r="Y19" s="2099"/>
      <c r="Z19" s="2099"/>
      <c r="AA19" s="2102">
        <f>'UNOS-INV01'!Y40</f>
        <v>0</v>
      </c>
      <c r="AB19" s="2099"/>
      <c r="AC19" s="2099"/>
      <c r="AD19" s="2099"/>
      <c r="AE19" s="2100"/>
      <c r="AF19" s="2102">
        <f>'UNOS-INV01'!AE40</f>
        <v>0</v>
      </c>
      <c r="AG19" s="2099"/>
      <c r="AH19" s="2099"/>
      <c r="AI19" s="2099"/>
      <c r="AJ19" s="2100"/>
    </row>
    <row r="20" spans="1:36" ht="27" customHeight="1">
      <c r="A20" s="1116" t="s">
        <v>1456</v>
      </c>
      <c r="B20" s="1127" t="s">
        <v>706</v>
      </c>
      <c r="C20" s="2115" t="s">
        <v>1457</v>
      </c>
      <c r="D20" s="2115"/>
      <c r="E20" s="2115"/>
      <c r="F20" s="2115"/>
      <c r="G20" s="2115"/>
      <c r="H20" s="2115"/>
      <c r="I20" s="2115"/>
      <c r="J20" s="2115"/>
      <c r="K20" s="2115"/>
      <c r="L20" s="2115"/>
      <c r="M20" s="2115"/>
      <c r="N20" s="2115"/>
      <c r="O20" s="2115"/>
      <c r="P20" s="2116"/>
      <c r="Q20" s="2098">
        <f t="shared" ref="Q20:Q27" si="1">V20+AA20</f>
        <v>0</v>
      </c>
      <c r="R20" s="2099"/>
      <c r="S20" s="2099"/>
      <c r="T20" s="2099"/>
      <c r="U20" s="2100"/>
      <c r="V20" s="2102">
        <f>'UNOS-INV01'!S41</f>
        <v>0</v>
      </c>
      <c r="W20" s="2099"/>
      <c r="X20" s="2099"/>
      <c r="Y20" s="2099"/>
      <c r="Z20" s="2099"/>
      <c r="AA20" s="2102">
        <f>'UNOS-INV01'!Y41</f>
        <v>0</v>
      </c>
      <c r="AB20" s="2099"/>
      <c r="AC20" s="2099"/>
      <c r="AD20" s="2099"/>
      <c r="AE20" s="2100"/>
      <c r="AF20" s="2102">
        <f>'UNOS-INV01'!AE41</f>
        <v>0</v>
      </c>
      <c r="AG20" s="2099"/>
      <c r="AH20" s="2099"/>
      <c r="AI20" s="2099"/>
      <c r="AJ20" s="2100"/>
    </row>
    <row r="21" spans="1:36" ht="23.25" customHeight="1">
      <c r="A21" s="1116" t="s">
        <v>1458</v>
      </c>
      <c r="B21" s="1127" t="s">
        <v>706</v>
      </c>
      <c r="C21" s="2115" t="s">
        <v>597</v>
      </c>
      <c r="D21" s="2115"/>
      <c r="E21" s="2115"/>
      <c r="F21" s="2115"/>
      <c r="G21" s="2115"/>
      <c r="H21" s="2115"/>
      <c r="I21" s="2115"/>
      <c r="J21" s="2115"/>
      <c r="K21" s="2115"/>
      <c r="L21" s="2115"/>
      <c r="M21" s="2115"/>
      <c r="N21" s="2115"/>
      <c r="O21" s="2115"/>
      <c r="P21" s="2116"/>
      <c r="Q21" s="2098">
        <f t="shared" si="1"/>
        <v>0</v>
      </c>
      <c r="R21" s="2099"/>
      <c r="S21" s="2099"/>
      <c r="T21" s="2099"/>
      <c r="U21" s="2100"/>
      <c r="V21" s="2102">
        <f>'UNOS-INV01'!S42</f>
        <v>0</v>
      </c>
      <c r="W21" s="2099"/>
      <c r="X21" s="2099"/>
      <c r="Y21" s="2099"/>
      <c r="Z21" s="2099"/>
      <c r="AA21" s="2102">
        <f>'UNOS-INV01'!Y42</f>
        <v>0</v>
      </c>
      <c r="AB21" s="2099"/>
      <c r="AC21" s="2099"/>
      <c r="AD21" s="2099"/>
      <c r="AE21" s="2100"/>
      <c r="AF21" s="2102">
        <f>'UNOS-INV01'!AE42</f>
        <v>0</v>
      </c>
      <c r="AG21" s="2099"/>
      <c r="AH21" s="2099"/>
      <c r="AI21" s="2099"/>
      <c r="AJ21" s="2100"/>
    </row>
    <row r="22" spans="1:36" ht="23.25" customHeight="1">
      <c r="A22" s="1116" t="s">
        <v>598</v>
      </c>
      <c r="B22" s="1127" t="s">
        <v>706</v>
      </c>
      <c r="C22" s="2115" t="s">
        <v>599</v>
      </c>
      <c r="D22" s="2115"/>
      <c r="E22" s="2115"/>
      <c r="F22" s="2115"/>
      <c r="G22" s="2115"/>
      <c r="H22" s="2115"/>
      <c r="I22" s="2115"/>
      <c r="J22" s="2115"/>
      <c r="K22" s="2115"/>
      <c r="L22" s="2115"/>
      <c r="M22" s="2115"/>
      <c r="N22" s="2115"/>
      <c r="O22" s="2115"/>
      <c r="P22" s="2116"/>
      <c r="Q22" s="2098">
        <f t="shared" si="1"/>
        <v>0</v>
      </c>
      <c r="R22" s="2099"/>
      <c r="S22" s="2099"/>
      <c r="T22" s="2099"/>
      <c r="U22" s="2100"/>
      <c r="V22" s="2102">
        <f>'UNOS-INV01'!S43</f>
        <v>0</v>
      </c>
      <c r="W22" s="2099"/>
      <c r="X22" s="2099"/>
      <c r="Y22" s="2099"/>
      <c r="Z22" s="2099"/>
      <c r="AA22" s="2102">
        <f>'UNOS-INV01'!Y43</f>
        <v>0</v>
      </c>
      <c r="AB22" s="2099"/>
      <c r="AC22" s="2099"/>
      <c r="AD22" s="2099"/>
      <c r="AE22" s="2100"/>
      <c r="AF22" s="2102">
        <f>'UNOS-INV01'!AE43</f>
        <v>0</v>
      </c>
      <c r="AG22" s="2099"/>
      <c r="AH22" s="2099"/>
      <c r="AI22" s="2099"/>
      <c r="AJ22" s="2100"/>
    </row>
    <row r="23" spans="1:36" ht="15" customHeight="1">
      <c r="A23" s="1116" t="s">
        <v>600</v>
      </c>
      <c r="B23" s="1127" t="s">
        <v>706</v>
      </c>
      <c r="C23" s="2115" t="s">
        <v>2181</v>
      </c>
      <c r="D23" s="2115"/>
      <c r="E23" s="2115"/>
      <c r="F23" s="2115"/>
      <c r="G23" s="2115"/>
      <c r="H23" s="2115"/>
      <c r="I23" s="2115"/>
      <c r="J23" s="2115"/>
      <c r="K23" s="2115"/>
      <c r="L23" s="2115"/>
      <c r="M23" s="2115"/>
      <c r="N23" s="2115"/>
      <c r="O23" s="2115"/>
      <c r="P23" s="2116"/>
      <c r="Q23" s="2098">
        <f t="shared" si="1"/>
        <v>0</v>
      </c>
      <c r="R23" s="2099"/>
      <c r="S23" s="2099"/>
      <c r="T23" s="2099"/>
      <c r="U23" s="2100"/>
      <c r="V23" s="2102">
        <f>'UNOS-INV01'!S44</f>
        <v>0</v>
      </c>
      <c r="W23" s="2099"/>
      <c r="X23" s="2099"/>
      <c r="Y23" s="2099"/>
      <c r="Z23" s="2099"/>
      <c r="AA23" s="2102">
        <f>'UNOS-INV01'!Y44</f>
        <v>0</v>
      </c>
      <c r="AB23" s="2099"/>
      <c r="AC23" s="2099"/>
      <c r="AD23" s="2099"/>
      <c r="AE23" s="2100"/>
      <c r="AF23" s="2102">
        <f>'UNOS-INV01'!AE44</f>
        <v>0</v>
      </c>
      <c r="AG23" s="2099"/>
      <c r="AH23" s="2099"/>
      <c r="AI23" s="2099"/>
      <c r="AJ23" s="2100"/>
    </row>
    <row r="24" spans="1:36" ht="15">
      <c r="A24" s="1131" t="s">
        <v>2182</v>
      </c>
      <c r="B24" s="2107" t="s">
        <v>2183</v>
      </c>
      <c r="C24" s="2108"/>
      <c r="D24" s="2108"/>
      <c r="E24" s="2108"/>
      <c r="F24" s="2108"/>
      <c r="G24" s="2108"/>
      <c r="H24" s="2108"/>
      <c r="I24" s="2108"/>
      <c r="J24" s="2108"/>
      <c r="K24" s="2108"/>
      <c r="L24" s="2108"/>
      <c r="M24" s="2108"/>
      <c r="N24" s="2108"/>
      <c r="O24" s="2108"/>
      <c r="P24" s="2109"/>
      <c r="Q24" s="2098">
        <f t="shared" si="1"/>
        <v>0</v>
      </c>
      <c r="R24" s="2099"/>
      <c r="S24" s="2099"/>
      <c r="T24" s="2099"/>
      <c r="U24" s="2100"/>
      <c r="V24" s="2099">
        <f>SUM(V25:V27)</f>
        <v>0</v>
      </c>
      <c r="W24" s="2099"/>
      <c r="X24" s="2099"/>
      <c r="Y24" s="2099"/>
      <c r="Z24" s="2099"/>
      <c r="AA24" s="2102">
        <f>SUM(AA25:AA27)</f>
        <v>0</v>
      </c>
      <c r="AB24" s="2099"/>
      <c r="AC24" s="2099"/>
      <c r="AD24" s="2099"/>
      <c r="AE24" s="2100"/>
      <c r="AF24" s="2102">
        <f>SUM(AF25:AF27)</f>
        <v>0</v>
      </c>
      <c r="AG24" s="2099"/>
      <c r="AH24" s="2099"/>
      <c r="AI24" s="2099"/>
      <c r="AJ24" s="2100"/>
    </row>
    <row r="25" spans="1:36" ht="13.5" customHeight="1">
      <c r="A25" s="1116" t="s">
        <v>2184</v>
      </c>
      <c r="B25" s="1127" t="s">
        <v>706</v>
      </c>
      <c r="C25" s="2115" t="s">
        <v>509</v>
      </c>
      <c r="D25" s="2115"/>
      <c r="E25" s="2115"/>
      <c r="F25" s="2115"/>
      <c r="G25" s="2115"/>
      <c r="H25" s="2115"/>
      <c r="I25" s="2115"/>
      <c r="J25" s="2115"/>
      <c r="K25" s="2115"/>
      <c r="L25" s="2115"/>
      <c r="M25" s="2115"/>
      <c r="N25" s="2115"/>
      <c r="O25" s="2115"/>
      <c r="P25" s="2116"/>
      <c r="Q25" s="2098">
        <f t="shared" si="1"/>
        <v>0</v>
      </c>
      <c r="R25" s="2099"/>
      <c r="S25" s="2099"/>
      <c r="T25" s="2099"/>
      <c r="U25" s="2100"/>
      <c r="V25" s="2102">
        <f>'UNOS-INV01'!S47</f>
        <v>0</v>
      </c>
      <c r="W25" s="2099"/>
      <c r="X25" s="2099"/>
      <c r="Y25" s="2099"/>
      <c r="Z25" s="2099"/>
      <c r="AA25" s="2102">
        <f>'UNOS-INV01'!Y47</f>
        <v>0</v>
      </c>
      <c r="AB25" s="2099"/>
      <c r="AC25" s="2099"/>
      <c r="AD25" s="2099"/>
      <c r="AE25" s="2100"/>
      <c r="AF25" s="2102">
        <f>'UNOS-INV01'!AE47</f>
        <v>0</v>
      </c>
      <c r="AG25" s="2099"/>
      <c r="AH25" s="2099"/>
      <c r="AI25" s="2099"/>
      <c r="AJ25" s="2100"/>
    </row>
    <row r="26" spans="1:36" ht="12.75" customHeight="1">
      <c r="A26" s="1116" t="s">
        <v>510</v>
      </c>
      <c r="B26" s="1127" t="s">
        <v>706</v>
      </c>
      <c r="C26" s="2115" t="s">
        <v>511</v>
      </c>
      <c r="D26" s="2115"/>
      <c r="E26" s="2115"/>
      <c r="F26" s="2115"/>
      <c r="G26" s="2115"/>
      <c r="H26" s="2115"/>
      <c r="I26" s="2115"/>
      <c r="J26" s="2115"/>
      <c r="K26" s="2115"/>
      <c r="L26" s="2115"/>
      <c r="M26" s="2115"/>
      <c r="N26" s="2115"/>
      <c r="O26" s="2115"/>
      <c r="P26" s="2116"/>
      <c r="Q26" s="2098">
        <f t="shared" si="1"/>
        <v>0</v>
      </c>
      <c r="R26" s="2099"/>
      <c r="S26" s="2099"/>
      <c r="T26" s="2099"/>
      <c r="U26" s="2100"/>
      <c r="V26" s="2102">
        <f>'UNOS-INV01'!S48</f>
        <v>0</v>
      </c>
      <c r="W26" s="2099"/>
      <c r="X26" s="2099"/>
      <c r="Y26" s="2099"/>
      <c r="Z26" s="2099"/>
      <c r="AA26" s="2102">
        <f>'UNOS-INV01'!Y48</f>
        <v>0</v>
      </c>
      <c r="AB26" s="2099"/>
      <c r="AC26" s="2099"/>
      <c r="AD26" s="2099"/>
      <c r="AE26" s="2100"/>
      <c r="AF26" s="2102">
        <f>'UNOS-INV01'!AE48</f>
        <v>0</v>
      </c>
      <c r="AG26" s="2099"/>
      <c r="AH26" s="2099"/>
      <c r="AI26" s="2099"/>
      <c r="AJ26" s="2100"/>
    </row>
    <row r="27" spans="1:36" ht="15">
      <c r="A27" s="1116" t="s">
        <v>512</v>
      </c>
      <c r="B27" s="1127" t="s">
        <v>706</v>
      </c>
      <c r="C27" s="2115" t="s">
        <v>513</v>
      </c>
      <c r="D27" s="2115"/>
      <c r="E27" s="2115"/>
      <c r="F27" s="2115"/>
      <c r="G27" s="2115"/>
      <c r="H27" s="2115"/>
      <c r="I27" s="2115"/>
      <c r="J27" s="2115"/>
      <c r="K27" s="2115"/>
      <c r="L27" s="2115"/>
      <c r="M27" s="2115"/>
      <c r="N27" s="2115"/>
      <c r="O27" s="2115"/>
      <c r="P27" s="2116"/>
      <c r="Q27" s="2098">
        <f t="shared" si="1"/>
        <v>0</v>
      </c>
      <c r="R27" s="2099"/>
      <c r="S27" s="2099"/>
      <c r="T27" s="2099"/>
      <c r="U27" s="2100"/>
      <c r="V27" s="2102">
        <f>'UNOS-INV01'!S49</f>
        <v>0</v>
      </c>
      <c r="W27" s="2099"/>
      <c r="X27" s="2099"/>
      <c r="Y27" s="2099"/>
      <c r="Z27" s="2099"/>
      <c r="AA27" s="2102">
        <f>'UNOS-INV01'!Y49</f>
        <v>0</v>
      </c>
      <c r="AB27" s="2099"/>
      <c r="AC27" s="2099"/>
      <c r="AD27" s="2099"/>
      <c r="AE27" s="2100"/>
      <c r="AF27" s="2102">
        <f>'UNOS-INV01'!AE49</f>
        <v>0</v>
      </c>
      <c r="AG27" s="2099"/>
      <c r="AH27" s="2099"/>
      <c r="AI27" s="2099"/>
      <c r="AJ27" s="2100"/>
    </row>
    <row r="28" spans="1:36" ht="14.25" customHeight="1">
      <c r="A28" s="1131" t="s">
        <v>2275</v>
      </c>
      <c r="B28" s="2117" t="s">
        <v>514</v>
      </c>
      <c r="C28" s="2118"/>
      <c r="D28" s="2118"/>
      <c r="E28" s="2118"/>
      <c r="F28" s="2118"/>
      <c r="G28" s="2118"/>
      <c r="H28" s="2118"/>
      <c r="I28" s="2118"/>
      <c r="J28" s="2118"/>
      <c r="K28" s="2118"/>
      <c r="L28" s="2118"/>
      <c r="M28" s="2118"/>
      <c r="N28" s="2118"/>
      <c r="O28" s="2118"/>
      <c r="P28" s="2119"/>
      <c r="Q28" s="2098">
        <f>V28</f>
        <v>0</v>
      </c>
      <c r="R28" s="2099"/>
      <c r="S28" s="2099"/>
      <c r="T28" s="2099"/>
      <c r="U28" s="2100"/>
      <c r="V28" s="2102">
        <f>'UNOS-INV01'!S52</f>
        <v>0</v>
      </c>
      <c r="W28" s="2099"/>
      <c r="X28" s="2099"/>
      <c r="Y28" s="2099"/>
      <c r="Z28" s="2099"/>
      <c r="AA28" s="2102" t="s">
        <v>1498</v>
      </c>
      <c r="AB28" s="2099"/>
      <c r="AC28" s="2099"/>
      <c r="AD28" s="2099"/>
      <c r="AE28" s="2100"/>
      <c r="AF28" s="2102" t="s">
        <v>1498</v>
      </c>
      <c r="AG28" s="2099"/>
      <c r="AH28" s="2099"/>
      <c r="AI28" s="2099"/>
      <c r="AJ28" s="2100"/>
    </row>
    <row r="29" spans="1:36" ht="12.75" customHeight="1">
      <c r="A29" s="1131" t="s">
        <v>2276</v>
      </c>
      <c r="B29" s="2117" t="s">
        <v>1499</v>
      </c>
      <c r="C29" s="2118"/>
      <c r="D29" s="2118"/>
      <c r="E29" s="2118"/>
      <c r="F29" s="2118"/>
      <c r="G29" s="2118"/>
      <c r="H29" s="2118"/>
      <c r="I29" s="2118"/>
      <c r="J29" s="2118"/>
      <c r="K29" s="2118"/>
      <c r="L29" s="2118"/>
      <c r="M29" s="2118"/>
      <c r="N29" s="2118"/>
      <c r="O29" s="2118"/>
      <c r="P29" s="2119"/>
      <c r="Q29" s="2098">
        <f t="shared" ref="Q29:Q40" si="2">V29+AA29</f>
        <v>0</v>
      </c>
      <c r="R29" s="2099"/>
      <c r="S29" s="2099"/>
      <c r="T29" s="2099"/>
      <c r="U29" s="2100"/>
      <c r="V29" s="2099">
        <f>V30+V31</f>
        <v>0</v>
      </c>
      <c r="W29" s="2099"/>
      <c r="X29" s="2099"/>
      <c r="Y29" s="2099"/>
      <c r="Z29" s="2099"/>
      <c r="AA29" s="2102">
        <f>AA30+AA31</f>
        <v>0</v>
      </c>
      <c r="AB29" s="2099"/>
      <c r="AC29" s="2099"/>
      <c r="AD29" s="2099"/>
      <c r="AE29" s="2100"/>
      <c r="AF29" s="2102">
        <f>AF30+AF31</f>
        <v>0</v>
      </c>
      <c r="AG29" s="2099"/>
      <c r="AH29" s="2099"/>
      <c r="AI29" s="2099"/>
      <c r="AJ29" s="2100"/>
    </row>
    <row r="30" spans="1:36" ht="14.25" customHeight="1">
      <c r="A30" s="1116" t="s">
        <v>1500</v>
      </c>
      <c r="B30" s="1127" t="s">
        <v>706</v>
      </c>
      <c r="C30" s="2115" t="s">
        <v>529</v>
      </c>
      <c r="D30" s="2115"/>
      <c r="E30" s="2115"/>
      <c r="F30" s="2115"/>
      <c r="G30" s="2115"/>
      <c r="H30" s="2115"/>
      <c r="I30" s="2115"/>
      <c r="J30" s="2115"/>
      <c r="K30" s="2115"/>
      <c r="L30" s="2115"/>
      <c r="M30" s="2115"/>
      <c r="N30" s="2115"/>
      <c r="O30" s="2115"/>
      <c r="P30" s="2116"/>
      <c r="Q30" s="2098">
        <f t="shared" si="2"/>
        <v>0</v>
      </c>
      <c r="R30" s="2099"/>
      <c r="S30" s="2099"/>
      <c r="T30" s="2099"/>
      <c r="U30" s="2100"/>
      <c r="V30" s="2102">
        <f>'UNOS-INV01'!S55</f>
        <v>0</v>
      </c>
      <c r="W30" s="2099"/>
      <c r="X30" s="2099"/>
      <c r="Y30" s="2099"/>
      <c r="Z30" s="2099"/>
      <c r="AA30" s="2102">
        <f>'UNOS-INV01'!Y55</f>
        <v>0</v>
      </c>
      <c r="AB30" s="2099"/>
      <c r="AC30" s="2099"/>
      <c r="AD30" s="2099"/>
      <c r="AE30" s="2100"/>
      <c r="AF30" s="2102">
        <f>'UNOS-INV01'!AE55</f>
        <v>0</v>
      </c>
      <c r="AG30" s="2099"/>
      <c r="AH30" s="2099"/>
      <c r="AI30" s="2099"/>
      <c r="AJ30" s="2100"/>
    </row>
    <row r="31" spans="1:36" ht="15">
      <c r="A31" s="1116" t="s">
        <v>530</v>
      </c>
      <c r="B31" s="1127" t="s">
        <v>706</v>
      </c>
      <c r="C31" s="2115" t="s">
        <v>531</v>
      </c>
      <c r="D31" s="2115"/>
      <c r="E31" s="2115"/>
      <c r="F31" s="2115"/>
      <c r="G31" s="2115"/>
      <c r="H31" s="2115"/>
      <c r="I31" s="2115"/>
      <c r="J31" s="2115"/>
      <c r="K31" s="2115"/>
      <c r="L31" s="2115"/>
      <c r="M31" s="2115"/>
      <c r="N31" s="2115"/>
      <c r="O31" s="2115"/>
      <c r="P31" s="2116"/>
      <c r="Q31" s="2098">
        <f t="shared" si="2"/>
        <v>0</v>
      </c>
      <c r="R31" s="2099"/>
      <c r="S31" s="2099"/>
      <c r="T31" s="2099"/>
      <c r="U31" s="2100"/>
      <c r="V31" s="2102">
        <f>'UNOS-INV01'!S56</f>
        <v>0</v>
      </c>
      <c r="W31" s="2099"/>
      <c r="X31" s="2099"/>
      <c r="Y31" s="2099"/>
      <c r="Z31" s="2099"/>
      <c r="AA31" s="2102">
        <f>'UNOS-INV01'!Y56</f>
        <v>0</v>
      </c>
      <c r="AB31" s="2099"/>
      <c r="AC31" s="2099"/>
      <c r="AD31" s="2099"/>
      <c r="AE31" s="2100"/>
      <c r="AF31" s="2102">
        <f>'UNOS-INV01'!AE56</f>
        <v>0</v>
      </c>
      <c r="AG31" s="2099"/>
      <c r="AH31" s="2099"/>
      <c r="AI31" s="2099"/>
      <c r="AJ31" s="2100"/>
    </row>
    <row r="32" spans="1:36" ht="12.75" customHeight="1">
      <c r="A32" s="1131" t="s">
        <v>2277</v>
      </c>
      <c r="B32" s="2117" t="s">
        <v>532</v>
      </c>
      <c r="C32" s="2118"/>
      <c r="D32" s="2118"/>
      <c r="E32" s="2118"/>
      <c r="F32" s="2118"/>
      <c r="G32" s="2118"/>
      <c r="H32" s="2118"/>
      <c r="I32" s="2118"/>
      <c r="J32" s="2118"/>
      <c r="K32" s="2118"/>
      <c r="L32" s="2118"/>
      <c r="M32" s="2118"/>
      <c r="N32" s="2118"/>
      <c r="O32" s="2118"/>
      <c r="P32" s="2119"/>
      <c r="Q32" s="2098">
        <f t="shared" si="2"/>
        <v>0</v>
      </c>
      <c r="R32" s="2099"/>
      <c r="S32" s="2099"/>
      <c r="T32" s="2099"/>
      <c r="U32" s="2100"/>
      <c r="V32" s="2099">
        <f>SUM(V33:V36)</f>
        <v>0</v>
      </c>
      <c r="W32" s="2099"/>
      <c r="X32" s="2099"/>
      <c r="Y32" s="2099"/>
      <c r="Z32" s="2099"/>
      <c r="AA32" s="2102">
        <f>SUM(AA33:AA36)</f>
        <v>0</v>
      </c>
      <c r="AB32" s="2099"/>
      <c r="AC32" s="2099"/>
      <c r="AD32" s="2099"/>
      <c r="AE32" s="2100"/>
      <c r="AF32" s="2102">
        <f>SUM(AF33:AF36)</f>
        <v>0</v>
      </c>
      <c r="AG32" s="2099"/>
      <c r="AH32" s="2099"/>
      <c r="AI32" s="2099"/>
      <c r="AJ32" s="2100"/>
    </row>
    <row r="33" spans="1:36" ht="15">
      <c r="A33" s="1116" t="s">
        <v>2278</v>
      </c>
      <c r="B33" s="1127" t="s">
        <v>706</v>
      </c>
      <c r="C33" s="2115" t="s">
        <v>533</v>
      </c>
      <c r="D33" s="2115"/>
      <c r="E33" s="2115"/>
      <c r="F33" s="2115"/>
      <c r="G33" s="2115"/>
      <c r="H33" s="2115"/>
      <c r="I33" s="2115"/>
      <c r="J33" s="2115"/>
      <c r="K33" s="2115"/>
      <c r="L33" s="2115"/>
      <c r="M33" s="2115"/>
      <c r="N33" s="2115"/>
      <c r="O33" s="2115"/>
      <c r="P33" s="2116"/>
      <c r="Q33" s="2098">
        <f t="shared" si="2"/>
        <v>0</v>
      </c>
      <c r="R33" s="2099"/>
      <c r="S33" s="2099"/>
      <c r="T33" s="2099"/>
      <c r="U33" s="2100"/>
      <c r="V33" s="2102">
        <f>'UNOS-INV01'!S57</f>
        <v>0</v>
      </c>
      <c r="W33" s="2099"/>
      <c r="X33" s="2099"/>
      <c r="Y33" s="2099"/>
      <c r="Z33" s="2099"/>
      <c r="AA33" s="2102">
        <f>'UNOS-INV01'!Y57</f>
        <v>0</v>
      </c>
      <c r="AB33" s="2099"/>
      <c r="AC33" s="2099"/>
      <c r="AD33" s="2099"/>
      <c r="AE33" s="2100"/>
      <c r="AF33" s="2102">
        <f>'UNOS-INV01'!AE57</f>
        <v>0</v>
      </c>
      <c r="AG33" s="2099"/>
      <c r="AH33" s="2099"/>
      <c r="AI33" s="2099"/>
      <c r="AJ33" s="2100"/>
    </row>
    <row r="34" spans="1:36" ht="15">
      <c r="A34" s="1116" t="s">
        <v>2279</v>
      </c>
      <c r="B34" s="1127" t="s">
        <v>706</v>
      </c>
      <c r="C34" s="2115" t="s">
        <v>534</v>
      </c>
      <c r="D34" s="2115"/>
      <c r="E34" s="2115"/>
      <c r="F34" s="2115"/>
      <c r="G34" s="2115"/>
      <c r="H34" s="2115"/>
      <c r="I34" s="2115"/>
      <c r="J34" s="2115"/>
      <c r="K34" s="2115"/>
      <c r="L34" s="2115"/>
      <c r="M34" s="2115"/>
      <c r="N34" s="2115"/>
      <c r="O34" s="2115"/>
      <c r="P34" s="2116"/>
      <c r="Q34" s="2098">
        <f t="shared" si="2"/>
        <v>0</v>
      </c>
      <c r="R34" s="2099"/>
      <c r="S34" s="2099"/>
      <c r="T34" s="2099"/>
      <c r="U34" s="2100"/>
      <c r="V34" s="2102">
        <f>'UNOS-INV01'!S58</f>
        <v>0</v>
      </c>
      <c r="W34" s="2099"/>
      <c r="X34" s="2099"/>
      <c r="Y34" s="2099"/>
      <c r="Z34" s="2099"/>
      <c r="AA34" s="2102">
        <f>'UNOS-INV01'!Y58</f>
        <v>0</v>
      </c>
      <c r="AB34" s="2099"/>
      <c r="AC34" s="2099"/>
      <c r="AD34" s="2099"/>
      <c r="AE34" s="2100"/>
      <c r="AF34" s="2102">
        <f>'UNOS-INV01'!AE58</f>
        <v>0</v>
      </c>
      <c r="AG34" s="2099"/>
      <c r="AH34" s="2099"/>
      <c r="AI34" s="2099"/>
      <c r="AJ34" s="2100"/>
    </row>
    <row r="35" spans="1:36" ht="15">
      <c r="A35" s="1116" t="s">
        <v>2280</v>
      </c>
      <c r="B35" s="1127" t="s">
        <v>706</v>
      </c>
      <c r="C35" s="2115" t="s">
        <v>535</v>
      </c>
      <c r="D35" s="2115"/>
      <c r="E35" s="2115"/>
      <c r="F35" s="2115"/>
      <c r="G35" s="2115"/>
      <c r="H35" s="2115"/>
      <c r="I35" s="2115"/>
      <c r="J35" s="2115"/>
      <c r="K35" s="2115"/>
      <c r="L35" s="2115"/>
      <c r="M35" s="2115"/>
      <c r="N35" s="2115"/>
      <c r="O35" s="2115"/>
      <c r="P35" s="2116"/>
      <c r="Q35" s="2098">
        <f t="shared" si="2"/>
        <v>0</v>
      </c>
      <c r="R35" s="2099"/>
      <c r="S35" s="2099"/>
      <c r="T35" s="2099"/>
      <c r="U35" s="2100"/>
      <c r="V35" s="2102">
        <f>'UNOS-INV01'!S59</f>
        <v>0</v>
      </c>
      <c r="W35" s="2099"/>
      <c r="X35" s="2099"/>
      <c r="Y35" s="2099"/>
      <c r="Z35" s="2099"/>
      <c r="AA35" s="2102">
        <f>'UNOS-INV01'!Y59</f>
        <v>0</v>
      </c>
      <c r="AB35" s="2099"/>
      <c r="AC35" s="2099"/>
      <c r="AD35" s="2099"/>
      <c r="AE35" s="2100"/>
      <c r="AF35" s="2102">
        <f>'UNOS-INV01'!AE59</f>
        <v>0</v>
      </c>
      <c r="AG35" s="2099"/>
      <c r="AH35" s="2099"/>
      <c r="AI35" s="2099"/>
      <c r="AJ35" s="2100"/>
    </row>
    <row r="36" spans="1:36" ht="15">
      <c r="A36" s="1116" t="s">
        <v>2281</v>
      </c>
      <c r="B36" s="1127" t="s">
        <v>706</v>
      </c>
      <c r="C36" s="2115" t="s">
        <v>536</v>
      </c>
      <c r="D36" s="2115"/>
      <c r="E36" s="2115"/>
      <c r="F36" s="2115"/>
      <c r="G36" s="2115"/>
      <c r="H36" s="2115"/>
      <c r="I36" s="2115"/>
      <c r="J36" s="2115"/>
      <c r="K36" s="2115"/>
      <c r="L36" s="2115"/>
      <c r="M36" s="2115"/>
      <c r="N36" s="2115"/>
      <c r="O36" s="2115"/>
      <c r="P36" s="2116"/>
      <c r="Q36" s="2098">
        <f t="shared" si="2"/>
        <v>0</v>
      </c>
      <c r="R36" s="2099"/>
      <c r="S36" s="2099"/>
      <c r="T36" s="2099"/>
      <c r="U36" s="2100"/>
      <c r="V36" s="2102">
        <f>'UNOS-INV01'!S60</f>
        <v>0</v>
      </c>
      <c r="W36" s="2099"/>
      <c r="X36" s="2099"/>
      <c r="Y36" s="2099"/>
      <c r="Z36" s="2099"/>
      <c r="AA36" s="2102">
        <f>'UNOS-INV01'!Y60</f>
        <v>0</v>
      </c>
      <c r="AB36" s="2099"/>
      <c r="AC36" s="2099"/>
      <c r="AD36" s="2099"/>
      <c r="AE36" s="2100"/>
      <c r="AF36" s="2102">
        <f>'UNOS-INV01'!AE60</f>
        <v>0</v>
      </c>
      <c r="AG36" s="2099"/>
      <c r="AH36" s="2099"/>
      <c r="AI36" s="2099"/>
      <c r="AJ36" s="2100"/>
    </row>
    <row r="37" spans="1:36" ht="12.75" customHeight="1">
      <c r="A37" s="1131" t="s">
        <v>2282</v>
      </c>
      <c r="B37" s="2117" t="s">
        <v>537</v>
      </c>
      <c r="C37" s="2118"/>
      <c r="D37" s="2118"/>
      <c r="E37" s="2118"/>
      <c r="F37" s="2118"/>
      <c r="G37" s="2118"/>
      <c r="H37" s="2118"/>
      <c r="I37" s="2118"/>
      <c r="J37" s="2118"/>
      <c r="K37" s="2118"/>
      <c r="L37" s="2118"/>
      <c r="M37" s="2118"/>
      <c r="N37" s="2118"/>
      <c r="O37" s="2118"/>
      <c r="P37" s="2119"/>
      <c r="Q37" s="2098">
        <f>V37</f>
        <v>0</v>
      </c>
      <c r="R37" s="2099"/>
      <c r="S37" s="2099"/>
      <c r="T37" s="2099"/>
      <c r="U37" s="2100"/>
      <c r="V37" s="2102">
        <f>'UNOS-INV01'!S61</f>
        <v>0</v>
      </c>
      <c r="W37" s="2099"/>
      <c r="X37" s="2099"/>
      <c r="Y37" s="2099"/>
      <c r="Z37" s="2099"/>
      <c r="AA37" s="2102" t="s">
        <v>2162</v>
      </c>
      <c r="AB37" s="2099"/>
      <c r="AC37" s="2099"/>
      <c r="AD37" s="2099"/>
      <c r="AE37" s="2100"/>
      <c r="AF37" s="2102" t="s">
        <v>1498</v>
      </c>
      <c r="AG37" s="2099"/>
      <c r="AH37" s="2099"/>
      <c r="AI37" s="2099"/>
      <c r="AJ37" s="2100"/>
    </row>
    <row r="38" spans="1:36" ht="3.75" customHeight="1">
      <c r="A38" s="212"/>
      <c r="B38" s="213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099">
        <f t="shared" si="2"/>
        <v>0</v>
      </c>
      <c r="R38" s="2099"/>
      <c r="S38" s="2099"/>
      <c r="T38" s="2099"/>
      <c r="U38" s="2099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92"/>
      <c r="AG38" s="292"/>
      <c r="AH38" s="292"/>
      <c r="AI38" s="292"/>
      <c r="AJ38" s="292"/>
    </row>
    <row r="39" spans="1:36" ht="12.75" customHeight="1">
      <c r="A39" s="1131" t="s">
        <v>2283</v>
      </c>
      <c r="B39" s="2117" t="s">
        <v>538</v>
      </c>
      <c r="C39" s="2118"/>
      <c r="D39" s="2118"/>
      <c r="E39" s="2118"/>
      <c r="F39" s="2118"/>
      <c r="G39" s="2118"/>
      <c r="H39" s="2118"/>
      <c r="I39" s="2118"/>
      <c r="J39" s="2118"/>
      <c r="K39" s="2118"/>
      <c r="L39" s="2118"/>
      <c r="M39" s="2118"/>
      <c r="N39" s="2118"/>
      <c r="O39" s="2118"/>
      <c r="P39" s="2119"/>
      <c r="Q39" s="2098">
        <f t="shared" si="2"/>
        <v>0</v>
      </c>
      <c r="R39" s="2099"/>
      <c r="S39" s="2099"/>
      <c r="T39" s="2099"/>
      <c r="U39" s="2100"/>
      <c r="V39" s="2102">
        <f>'UNOS-INV01'!S62</f>
        <v>0</v>
      </c>
      <c r="W39" s="2099"/>
      <c r="X39" s="2099"/>
      <c r="Y39" s="2099"/>
      <c r="Z39" s="2100"/>
      <c r="AA39" s="2102">
        <f>'UNOS-INV01'!Y62</f>
        <v>0</v>
      </c>
      <c r="AB39" s="2099"/>
      <c r="AC39" s="2099"/>
      <c r="AD39" s="2099"/>
      <c r="AE39" s="2100"/>
      <c r="AF39" s="2102">
        <f>'UNOS-INV01'!AE62</f>
        <v>0</v>
      </c>
      <c r="AG39" s="2099"/>
      <c r="AH39" s="2099"/>
      <c r="AI39" s="2099"/>
      <c r="AJ39" s="2100"/>
    </row>
    <row r="40" spans="1:36" ht="15">
      <c r="A40" s="1131" t="s">
        <v>540</v>
      </c>
      <c r="B40" s="2117" t="s">
        <v>539</v>
      </c>
      <c r="C40" s="2118"/>
      <c r="D40" s="2118"/>
      <c r="E40" s="2118"/>
      <c r="F40" s="2118"/>
      <c r="G40" s="2118"/>
      <c r="H40" s="2118"/>
      <c r="I40" s="2118"/>
      <c r="J40" s="2118"/>
      <c r="K40" s="2118"/>
      <c r="L40" s="2118"/>
      <c r="M40" s="2118"/>
      <c r="N40" s="2118"/>
      <c r="O40" s="2118"/>
      <c r="P40" s="2119"/>
      <c r="Q40" s="2098">
        <f t="shared" si="2"/>
        <v>0</v>
      </c>
      <c r="R40" s="2099"/>
      <c r="S40" s="2099"/>
      <c r="T40" s="2099"/>
      <c r="U40" s="2100"/>
      <c r="V40" s="2102">
        <f>'UNOS-INV01'!S63</f>
        <v>0</v>
      </c>
      <c r="W40" s="2099"/>
      <c r="X40" s="2099"/>
      <c r="Y40" s="2099"/>
      <c r="Z40" s="2100"/>
      <c r="AA40" s="2102">
        <f>'UNOS-INV01'!Y63</f>
        <v>0</v>
      </c>
      <c r="AB40" s="2099"/>
      <c r="AC40" s="2099"/>
      <c r="AD40" s="2099"/>
      <c r="AE40" s="2100"/>
      <c r="AF40" s="2102">
        <f>'UNOS-INV01'!AE63</f>
        <v>0</v>
      </c>
      <c r="AG40" s="2099"/>
      <c r="AH40" s="2099"/>
      <c r="AI40" s="2099"/>
      <c r="AJ40" s="2100"/>
    </row>
    <row r="41" spans="1:36" ht="15">
      <c r="A41" s="1131" t="s">
        <v>2288</v>
      </c>
      <c r="B41" s="2117" t="s">
        <v>337</v>
      </c>
      <c r="C41" s="2118"/>
      <c r="D41" s="2118"/>
      <c r="E41" s="2118"/>
      <c r="F41" s="2118"/>
      <c r="G41" s="2118"/>
      <c r="H41" s="2118"/>
      <c r="I41" s="2118"/>
      <c r="J41" s="2118"/>
      <c r="K41" s="2118"/>
      <c r="L41" s="2118"/>
      <c r="M41" s="2118"/>
      <c r="N41" s="2118"/>
      <c r="O41" s="2118"/>
      <c r="P41" s="2119"/>
      <c r="Q41" s="2098">
        <f>AA41</f>
        <v>0</v>
      </c>
      <c r="R41" s="2099"/>
      <c r="S41" s="2099"/>
      <c r="T41" s="2099"/>
      <c r="U41" s="2100"/>
      <c r="V41" s="2102" t="s">
        <v>413</v>
      </c>
      <c r="W41" s="2099"/>
      <c r="X41" s="2099"/>
      <c r="Y41" s="2099"/>
      <c r="Z41" s="2100"/>
      <c r="AA41" s="2102">
        <f>'UNOS-INV01'!Y64</f>
        <v>0</v>
      </c>
      <c r="AB41" s="2099"/>
      <c r="AC41" s="2099"/>
      <c r="AD41" s="2099"/>
      <c r="AE41" s="2100"/>
      <c r="AF41" s="2102">
        <f>'UNOS-INV01'!AE64</f>
        <v>0</v>
      </c>
      <c r="AG41" s="2099"/>
      <c r="AH41" s="2099"/>
      <c r="AI41" s="2099"/>
      <c r="AJ41" s="2100"/>
    </row>
    <row r="42" spans="1:36" ht="11.25" customHeight="1">
      <c r="B42" s="215" t="s">
        <v>1476</v>
      </c>
      <c r="C42" s="216" t="s">
        <v>1158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211"/>
      <c r="R42" s="211"/>
      <c r="S42" s="211"/>
      <c r="T42" s="211"/>
      <c r="U42" s="211"/>
      <c r="V42" s="381" t="s">
        <v>881</v>
      </c>
      <c r="W42" s="382" t="s">
        <v>2477</v>
      </c>
      <c r="X42" s="38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</row>
    <row r="43" spans="1:36" ht="11.25" customHeight="1">
      <c r="B43" s="215" t="s">
        <v>1159</v>
      </c>
      <c r="C43" s="216" t="s">
        <v>2318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211"/>
      <c r="R43" s="211"/>
      <c r="S43" s="211"/>
      <c r="T43" s="211"/>
      <c r="U43" s="211"/>
      <c r="V43" s="381"/>
      <c r="W43" s="382" t="s">
        <v>2478</v>
      </c>
      <c r="X43" s="38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</row>
    <row r="44" spans="1:36" ht="11.25" customHeight="1">
      <c r="B44" s="199"/>
      <c r="C44" s="216" t="s">
        <v>1067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211"/>
      <c r="R44" s="211"/>
      <c r="S44" s="211"/>
      <c r="T44" s="211"/>
      <c r="U44" s="211"/>
      <c r="V44" s="382" t="s">
        <v>2479</v>
      </c>
      <c r="W44" s="382" t="s">
        <v>2480</v>
      </c>
      <c r="X44" s="382"/>
      <c r="Y44" s="382"/>
      <c r="Z44" s="382"/>
      <c r="AA44" s="382"/>
      <c r="AB44" s="382"/>
      <c r="AC44" s="382"/>
      <c r="AD44" s="382"/>
      <c r="AE44" s="382"/>
      <c r="AF44" s="211"/>
      <c r="AG44" s="211"/>
      <c r="AH44" s="211"/>
      <c r="AI44" s="211"/>
    </row>
    <row r="45" spans="1:36" ht="11.25" customHeight="1">
      <c r="B45" s="199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211"/>
      <c r="R45" s="211"/>
      <c r="S45" s="211"/>
      <c r="T45" s="211"/>
      <c r="U45" s="211"/>
      <c r="V45" s="382"/>
      <c r="W45" s="382" t="s">
        <v>2326</v>
      </c>
      <c r="X45" s="382"/>
      <c r="Y45" s="382"/>
      <c r="Z45" s="382"/>
      <c r="AA45" s="382"/>
      <c r="AB45" s="382"/>
      <c r="AC45" s="382"/>
      <c r="AD45" s="382"/>
      <c r="AE45" s="382"/>
      <c r="AF45" s="211"/>
      <c r="AG45" s="211"/>
      <c r="AH45" s="211"/>
      <c r="AI45" s="211"/>
    </row>
    <row r="46" spans="1:36" ht="11.25" customHeight="1">
      <c r="W46" s="383" t="s">
        <v>2327</v>
      </c>
      <c r="AJ46" s="293" t="s">
        <v>2929</v>
      </c>
    </row>
    <row r="47" spans="1:36" ht="14.25" customHeight="1"/>
  </sheetData>
  <mergeCells count="196">
    <mergeCell ref="AA40:AE40"/>
    <mergeCell ref="AF40:AJ40"/>
    <mergeCell ref="B39:P39"/>
    <mergeCell ref="Q39:U39"/>
    <mergeCell ref="V39:Z39"/>
    <mergeCell ref="AA39:AE39"/>
    <mergeCell ref="AF41:AJ41"/>
    <mergeCell ref="Q38:U38"/>
    <mergeCell ref="B41:P41"/>
    <mergeCell ref="Q41:U41"/>
    <mergeCell ref="V41:Z41"/>
    <mergeCell ref="AA41:AE41"/>
    <mergeCell ref="AF39:AJ39"/>
    <mergeCell ref="B40:P40"/>
    <mergeCell ref="Q40:U40"/>
    <mergeCell ref="V40:Z40"/>
    <mergeCell ref="AF36:AJ36"/>
    <mergeCell ref="B37:P37"/>
    <mergeCell ref="Q37:U37"/>
    <mergeCell ref="V37:Z37"/>
    <mergeCell ref="AA37:AE37"/>
    <mergeCell ref="AF37:AJ37"/>
    <mergeCell ref="C36:P36"/>
    <mergeCell ref="Q36:U36"/>
    <mergeCell ref="V36:Z36"/>
    <mergeCell ref="AA36:AE36"/>
    <mergeCell ref="AF34:AJ34"/>
    <mergeCell ref="C35:P35"/>
    <mergeCell ref="Q35:U35"/>
    <mergeCell ref="V35:Z35"/>
    <mergeCell ref="AA35:AE35"/>
    <mergeCell ref="AF35:AJ35"/>
    <mergeCell ref="C34:P34"/>
    <mergeCell ref="Q34:U34"/>
    <mergeCell ref="V34:Z34"/>
    <mergeCell ref="AA34:AE34"/>
    <mergeCell ref="AF32:AJ32"/>
    <mergeCell ref="C33:P33"/>
    <mergeCell ref="Q33:U33"/>
    <mergeCell ref="V33:Z33"/>
    <mergeCell ref="AA33:AE33"/>
    <mergeCell ref="AF33:AJ33"/>
    <mergeCell ref="B32:P32"/>
    <mergeCell ref="Q32:U32"/>
    <mergeCell ref="V32:Z32"/>
    <mergeCell ref="AA32:AE32"/>
    <mergeCell ref="AF30:AJ30"/>
    <mergeCell ref="C31:P31"/>
    <mergeCell ref="Q31:U31"/>
    <mergeCell ref="V31:Z31"/>
    <mergeCell ref="AA31:AE31"/>
    <mergeCell ref="AF31:AJ31"/>
    <mergeCell ref="C30:P30"/>
    <mergeCell ref="Q30:U30"/>
    <mergeCell ref="V30:Z30"/>
    <mergeCell ref="AA30:AE30"/>
    <mergeCell ref="AF28:AJ28"/>
    <mergeCell ref="B29:P29"/>
    <mergeCell ref="Q29:U29"/>
    <mergeCell ref="V29:Z29"/>
    <mergeCell ref="AA29:AE29"/>
    <mergeCell ref="AF29:AJ29"/>
    <mergeCell ref="B28:P28"/>
    <mergeCell ref="Q28:U28"/>
    <mergeCell ref="V28:Z28"/>
    <mergeCell ref="AA28:AE28"/>
    <mergeCell ref="AF26:AJ26"/>
    <mergeCell ref="C27:P27"/>
    <mergeCell ref="Q27:U27"/>
    <mergeCell ref="V27:Z27"/>
    <mergeCell ref="AA27:AE27"/>
    <mergeCell ref="AF27:AJ27"/>
    <mergeCell ref="C26:P26"/>
    <mergeCell ref="Q26:U26"/>
    <mergeCell ref="V26:Z26"/>
    <mergeCell ref="AA26:AE26"/>
    <mergeCell ref="AF24:AJ24"/>
    <mergeCell ref="C25:P25"/>
    <mergeCell ref="Q25:U25"/>
    <mergeCell ref="V25:Z25"/>
    <mergeCell ref="AA25:AE25"/>
    <mergeCell ref="AF25:AJ25"/>
    <mergeCell ref="B24:P24"/>
    <mergeCell ref="Q24:U24"/>
    <mergeCell ref="V24:Z24"/>
    <mergeCell ref="AA24:AE24"/>
    <mergeCell ref="AF22:AJ22"/>
    <mergeCell ref="C23:P23"/>
    <mergeCell ref="Q23:U23"/>
    <mergeCell ref="V23:Z23"/>
    <mergeCell ref="AA23:AE23"/>
    <mergeCell ref="AF23:AJ23"/>
    <mergeCell ref="C22:P22"/>
    <mergeCell ref="Q22:U22"/>
    <mergeCell ref="V22:Z22"/>
    <mergeCell ref="AA22:AE22"/>
    <mergeCell ref="AF20:AJ20"/>
    <mergeCell ref="C21:P21"/>
    <mergeCell ref="Q21:U21"/>
    <mergeCell ref="V21:Z21"/>
    <mergeCell ref="AA21:AE21"/>
    <mergeCell ref="AF21:AJ21"/>
    <mergeCell ref="C20:P20"/>
    <mergeCell ref="Q20:U20"/>
    <mergeCell ref="V20:Z20"/>
    <mergeCell ref="AA20:AE20"/>
    <mergeCell ref="AF18:AJ18"/>
    <mergeCell ref="C19:P19"/>
    <mergeCell ref="Q19:U19"/>
    <mergeCell ref="V19:Z19"/>
    <mergeCell ref="AA19:AE19"/>
    <mergeCell ref="AF19:AJ19"/>
    <mergeCell ref="C18:P18"/>
    <mergeCell ref="Q18:U18"/>
    <mergeCell ref="V18:Z18"/>
    <mergeCell ref="AA18:AE18"/>
    <mergeCell ref="AF16:AJ16"/>
    <mergeCell ref="C17:P17"/>
    <mergeCell ref="Q17:U17"/>
    <mergeCell ref="V17:Z17"/>
    <mergeCell ref="AA17:AE17"/>
    <mergeCell ref="AF17:AJ17"/>
    <mergeCell ref="C16:P16"/>
    <mergeCell ref="Q16:U16"/>
    <mergeCell ref="V16:Z16"/>
    <mergeCell ref="AA16:AE16"/>
    <mergeCell ref="AF14:AJ14"/>
    <mergeCell ref="C15:P15"/>
    <mergeCell ref="Q15:U15"/>
    <mergeCell ref="V15:Z15"/>
    <mergeCell ref="AA15:AE15"/>
    <mergeCell ref="AF15:AJ15"/>
    <mergeCell ref="B14:P14"/>
    <mergeCell ref="Q14:U14"/>
    <mergeCell ref="V14:Z14"/>
    <mergeCell ref="AA14:AE14"/>
    <mergeCell ref="AF12:AJ12"/>
    <mergeCell ref="B13:P13"/>
    <mergeCell ref="Q13:U13"/>
    <mergeCell ref="V13:Z13"/>
    <mergeCell ref="AA13:AE13"/>
    <mergeCell ref="AF13:AJ13"/>
    <mergeCell ref="C12:P12"/>
    <mergeCell ref="Q12:U12"/>
    <mergeCell ref="V12:Z12"/>
    <mergeCell ref="AA12:AE12"/>
    <mergeCell ref="AF10:AJ10"/>
    <mergeCell ref="C11:P11"/>
    <mergeCell ref="Q11:U11"/>
    <mergeCell ref="V11:Z11"/>
    <mergeCell ref="AA11:AE11"/>
    <mergeCell ref="AF11:AJ11"/>
    <mergeCell ref="C10:P10"/>
    <mergeCell ref="Q10:U10"/>
    <mergeCell ref="V10:Z10"/>
    <mergeCell ref="AA10:AE10"/>
    <mergeCell ref="AF8:AJ8"/>
    <mergeCell ref="B9:P9"/>
    <mergeCell ref="Q9:U9"/>
    <mergeCell ref="V9:Z9"/>
    <mergeCell ref="AA9:AE9"/>
    <mergeCell ref="AF9:AJ9"/>
    <mergeCell ref="C8:P8"/>
    <mergeCell ref="Q8:U8"/>
    <mergeCell ref="V8:Z8"/>
    <mergeCell ref="AA8:AE8"/>
    <mergeCell ref="AF6:AJ6"/>
    <mergeCell ref="B7:P7"/>
    <mergeCell ref="Q7:U7"/>
    <mergeCell ref="V7:Z7"/>
    <mergeCell ref="AA7:AE7"/>
    <mergeCell ref="AF7:AJ7"/>
    <mergeCell ref="B6:P6"/>
    <mergeCell ref="Q6:U6"/>
    <mergeCell ref="V6:Z6"/>
    <mergeCell ref="AA6:AE6"/>
    <mergeCell ref="AF4:AJ4"/>
    <mergeCell ref="B5:P5"/>
    <mergeCell ref="Q5:U5"/>
    <mergeCell ref="V5:Z5"/>
    <mergeCell ref="AA5:AE5"/>
    <mergeCell ref="AF5:AJ5"/>
    <mergeCell ref="B4:P4"/>
    <mergeCell ref="Q4:U4"/>
    <mergeCell ref="V4:Z4"/>
    <mergeCell ref="AA4:AE4"/>
    <mergeCell ref="AF2:AJ2"/>
    <mergeCell ref="B3:P3"/>
    <mergeCell ref="Q3:U3"/>
    <mergeCell ref="V3:Z3"/>
    <mergeCell ref="AA3:AE3"/>
    <mergeCell ref="AF3:AJ3"/>
    <mergeCell ref="B2:P2"/>
    <mergeCell ref="Q2:U2"/>
    <mergeCell ref="V2:Z2"/>
    <mergeCell ref="AA2:AE2"/>
  </mergeCells>
  <phoneticPr fontId="60" type="noConversion"/>
  <pageMargins left="0.73" right="0.57999999999999996" top="0.2" bottom="0.17" header="0.15" footer="0.13"/>
  <pageSetup paperSize="9" scale="75" orientation="landscape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4" enableFormatConditionsCalculation="0">
    <tabColor indexed="27"/>
  </sheetPr>
  <dimension ref="A1:BA37"/>
  <sheetViews>
    <sheetView showGridLines="0" topLeftCell="A4" workbookViewId="0">
      <selection activeCell="AO31" sqref="AO31:AZ31"/>
    </sheetView>
  </sheetViews>
  <sheetFormatPr defaultColWidth="3" defaultRowHeight="12.75"/>
  <cols>
    <col min="1" max="1" width="4.42578125" style="63" customWidth="1"/>
    <col min="2" max="6" width="3" style="64" customWidth="1"/>
    <col min="7" max="7" width="2.42578125" style="64" customWidth="1"/>
    <col min="8" max="15" width="3" style="64" customWidth="1"/>
    <col min="16" max="16" width="3.28515625" style="64" customWidth="1"/>
    <col min="17" max="19" width="3" style="64" customWidth="1"/>
    <col min="20" max="20" width="2.140625" style="64" customWidth="1"/>
    <col min="21" max="21" width="1" style="64" customWidth="1"/>
    <col min="22" max="22" width="2.42578125" style="64" customWidth="1"/>
    <col min="23" max="24" width="3" style="64" customWidth="1"/>
    <col min="25" max="25" width="0.85546875" style="64" customWidth="1"/>
    <col min="26" max="29" width="3" style="64" customWidth="1"/>
    <col min="30" max="30" width="2.42578125" style="64" customWidth="1"/>
    <col min="31" max="32" width="3" style="64" customWidth="1"/>
    <col min="33" max="33" width="0.7109375" style="64" customWidth="1"/>
    <col min="34" max="37" width="3" style="64" customWidth="1"/>
    <col min="38" max="38" width="2.7109375" style="64" customWidth="1"/>
    <col min="39" max="40" width="3" style="64" customWidth="1"/>
    <col min="41" max="41" width="0.7109375" style="64" customWidth="1"/>
    <col min="42" max="48" width="3" style="64" customWidth="1"/>
    <col min="49" max="49" width="0.5703125" style="64" customWidth="1"/>
    <col min="50" max="16384" width="3" style="64"/>
  </cols>
  <sheetData>
    <row r="1" spans="1:53">
      <c r="A1" s="65" t="s">
        <v>1972</v>
      </c>
      <c r="AV1" s="64" t="s">
        <v>505</v>
      </c>
    </row>
    <row r="2" spans="1:53">
      <c r="A2" s="66"/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9"/>
      <c r="V2" s="2141" t="s">
        <v>863</v>
      </c>
      <c r="W2" s="2142"/>
      <c r="X2" s="2142"/>
      <c r="Y2" s="2142"/>
      <c r="Z2" s="2142"/>
      <c r="AA2" s="2142"/>
      <c r="AB2" s="2142"/>
      <c r="AC2" s="2143"/>
      <c r="AD2" s="2141" t="s">
        <v>2026</v>
      </c>
      <c r="AE2" s="2142"/>
      <c r="AF2" s="2142"/>
      <c r="AG2" s="2142"/>
      <c r="AH2" s="2142"/>
      <c r="AI2" s="2142"/>
      <c r="AJ2" s="2142"/>
      <c r="AK2" s="2142"/>
      <c r="AL2" s="2142"/>
      <c r="AM2" s="2142"/>
      <c r="AN2" s="2142"/>
      <c r="AO2" s="2142"/>
      <c r="AP2" s="2142"/>
      <c r="AQ2" s="2142"/>
      <c r="AR2" s="2142"/>
      <c r="AS2" s="2142"/>
      <c r="AT2" s="2142"/>
      <c r="AU2" s="2142"/>
      <c r="AV2" s="2142"/>
      <c r="AW2" s="2142"/>
      <c r="AX2" s="2142"/>
      <c r="AY2" s="2142"/>
      <c r="AZ2" s="2142"/>
      <c r="BA2" s="2143"/>
    </row>
    <row r="3" spans="1:53">
      <c r="A3" s="70"/>
      <c r="B3" s="71"/>
      <c r="U3" s="72"/>
      <c r="V3" s="73" t="s">
        <v>864</v>
      </c>
      <c r="W3" s="74"/>
      <c r="X3" s="75"/>
      <c r="Y3" s="75"/>
      <c r="Z3" s="75"/>
      <c r="AA3" s="75"/>
      <c r="AB3" s="75"/>
      <c r="AC3" s="76"/>
      <c r="AD3" s="73" t="s">
        <v>864</v>
      </c>
      <c r="AE3" s="74"/>
      <c r="AF3" s="75"/>
      <c r="AG3" s="75"/>
      <c r="AH3" s="75"/>
      <c r="AI3" s="75"/>
      <c r="AJ3" s="75"/>
      <c r="AK3" s="76"/>
      <c r="AL3" s="73" t="s">
        <v>864</v>
      </c>
      <c r="AM3" s="74"/>
      <c r="AN3" s="75"/>
      <c r="AO3" s="75"/>
      <c r="AP3" s="75"/>
      <c r="AQ3" s="75"/>
      <c r="AR3" s="75"/>
      <c r="AS3" s="76"/>
      <c r="AT3" s="73" t="s">
        <v>864</v>
      </c>
      <c r="AU3" s="74"/>
      <c r="AV3" s="75"/>
      <c r="AW3" s="75"/>
      <c r="AX3" s="75"/>
      <c r="AY3" s="75"/>
      <c r="AZ3" s="75"/>
      <c r="BA3" s="76"/>
    </row>
    <row r="4" spans="1:53">
      <c r="A4" s="70"/>
      <c r="B4" s="71"/>
      <c r="U4" s="72"/>
      <c r="V4" s="79"/>
      <c r="W4" s="78"/>
      <c r="X4" s="78"/>
      <c r="Y4" s="78"/>
      <c r="Z4" s="78"/>
      <c r="AA4" s="78"/>
      <c r="AB4" s="78"/>
      <c r="AC4" s="80"/>
      <c r="AD4" s="2162">
        <f>'UNOS-INV01'!L6</f>
        <v>0</v>
      </c>
      <c r="AE4" s="2163"/>
      <c r="AF4" s="2163"/>
      <c r="AG4" s="2163"/>
      <c r="AH4" s="2163"/>
      <c r="AI4" s="2163"/>
      <c r="AJ4" s="2163"/>
      <c r="AK4" s="2164"/>
      <c r="AL4" s="79"/>
      <c r="AM4" s="78"/>
      <c r="AN4" s="78"/>
      <c r="AO4" s="78"/>
      <c r="AP4" s="78"/>
      <c r="AQ4" s="78"/>
      <c r="AR4" s="78"/>
      <c r="AS4" s="80"/>
      <c r="AT4" s="79"/>
      <c r="AU4" s="78"/>
      <c r="AV4" s="78"/>
      <c r="AW4" s="78"/>
      <c r="AX4" s="78"/>
      <c r="AY4" s="78"/>
      <c r="AZ4" s="78"/>
      <c r="BA4" s="80"/>
    </row>
    <row r="5" spans="1:53">
      <c r="A5" s="70" t="s">
        <v>165</v>
      </c>
      <c r="B5" s="71"/>
      <c r="H5" s="83"/>
      <c r="I5" s="83"/>
      <c r="J5" s="83"/>
      <c r="K5" s="83"/>
      <c r="L5" s="83"/>
      <c r="M5" s="83"/>
      <c r="N5" s="83"/>
      <c r="O5" s="83"/>
      <c r="U5" s="72"/>
      <c r="V5" s="81" t="s">
        <v>865</v>
      </c>
      <c r="W5" s="77"/>
      <c r="X5" s="2159"/>
      <c r="Y5" s="2159"/>
      <c r="Z5" s="2159"/>
      <c r="AA5" s="2159"/>
      <c r="AB5" s="2159"/>
      <c r="AC5" s="2160"/>
      <c r="AD5" s="81" t="s">
        <v>865</v>
      </c>
      <c r="AE5" s="77"/>
      <c r="AF5" s="2159">
        <f>'UNOS-INV01'!L7</f>
        <v>0</v>
      </c>
      <c r="AG5" s="2159"/>
      <c r="AH5" s="2159"/>
      <c r="AI5" s="2159"/>
      <c r="AJ5" s="2159"/>
      <c r="AK5" s="2160"/>
      <c r="AL5" s="81" t="s">
        <v>865</v>
      </c>
      <c r="AM5" s="77"/>
      <c r="AN5" s="2159"/>
      <c r="AO5" s="2159"/>
      <c r="AP5" s="2159"/>
      <c r="AQ5" s="2159"/>
      <c r="AR5" s="2159"/>
      <c r="AS5" s="2160"/>
      <c r="AT5" s="81" t="s">
        <v>865</v>
      </c>
      <c r="AU5" s="77"/>
      <c r="AV5" s="2159"/>
      <c r="AW5" s="2159"/>
      <c r="AX5" s="2159"/>
      <c r="AY5" s="2159"/>
      <c r="AZ5" s="2159"/>
      <c r="BA5" s="2160"/>
    </row>
    <row r="6" spans="1:53">
      <c r="A6" s="70"/>
      <c r="B6" s="71"/>
      <c r="H6" s="2085"/>
      <c r="I6" s="2085"/>
      <c r="J6" s="2085"/>
      <c r="K6" s="2085"/>
      <c r="L6" s="2085"/>
      <c r="M6" s="2085"/>
      <c r="N6" s="2085"/>
      <c r="O6" s="2085"/>
      <c r="U6" s="72"/>
      <c r="V6" s="81" t="s">
        <v>1802</v>
      </c>
      <c r="W6" s="77"/>
      <c r="X6" s="2159"/>
      <c r="Y6" s="2159"/>
      <c r="Z6" s="2159"/>
      <c r="AA6" s="2159"/>
      <c r="AB6" s="2159"/>
      <c r="AC6" s="2160"/>
      <c r="AD6" s="81" t="s">
        <v>1802</v>
      </c>
      <c r="AE6" s="77"/>
      <c r="AF6" s="2159"/>
      <c r="AG6" s="2159"/>
      <c r="AH6" s="2159"/>
      <c r="AI6" s="2159"/>
      <c r="AJ6" s="2159"/>
      <c r="AK6" s="2160"/>
      <c r="AL6" s="81" t="s">
        <v>1802</v>
      </c>
      <c r="AM6" s="77"/>
      <c r="AN6" s="2159"/>
      <c r="AO6" s="2159"/>
      <c r="AP6" s="2159"/>
      <c r="AQ6" s="2159"/>
      <c r="AR6" s="2159"/>
      <c r="AS6" s="2160"/>
      <c r="AT6" s="81" t="s">
        <v>1802</v>
      </c>
      <c r="AU6" s="77"/>
      <c r="AV6" s="2159"/>
      <c r="AW6" s="2159"/>
      <c r="AX6" s="2159"/>
      <c r="AY6" s="2159"/>
      <c r="AZ6" s="2159"/>
      <c r="BA6" s="2160"/>
    </row>
    <row r="7" spans="1:53" ht="3.75" customHeight="1">
      <c r="A7" s="70"/>
      <c r="B7" s="71"/>
      <c r="H7" s="2085"/>
      <c r="I7" s="2085"/>
      <c r="J7" s="2085"/>
      <c r="K7" s="2085"/>
      <c r="L7" s="2085"/>
      <c r="M7" s="2085"/>
      <c r="N7" s="2085"/>
      <c r="O7" s="2085"/>
      <c r="U7" s="72"/>
      <c r="V7" s="81"/>
      <c r="W7" s="77"/>
      <c r="X7" s="77"/>
      <c r="Y7" s="77"/>
      <c r="Z7" s="77"/>
      <c r="AA7" s="77"/>
      <c r="AB7" s="77"/>
      <c r="AC7" s="82"/>
      <c r="AD7" s="81"/>
      <c r="AE7" s="77"/>
      <c r="AF7" s="77"/>
      <c r="AG7" s="77"/>
      <c r="AH7" s="77"/>
      <c r="AI7" s="77"/>
      <c r="AJ7" s="77"/>
      <c r="AK7" s="82"/>
      <c r="AL7" s="81"/>
      <c r="AM7" s="77"/>
      <c r="AN7" s="77"/>
      <c r="AO7" s="77"/>
      <c r="AP7" s="77"/>
      <c r="AQ7" s="77"/>
      <c r="AR7" s="77"/>
      <c r="AS7" s="82"/>
      <c r="AT7" s="81"/>
      <c r="AU7" s="77"/>
      <c r="AV7" s="77"/>
      <c r="AW7" s="77"/>
      <c r="AX7" s="77"/>
      <c r="AY7" s="77"/>
      <c r="AZ7" s="77"/>
      <c r="BA7" s="82"/>
    </row>
    <row r="8" spans="1:53">
      <c r="A8" s="70" t="s">
        <v>1492</v>
      </c>
      <c r="B8" s="71"/>
      <c r="H8" s="2085"/>
      <c r="I8" s="2085"/>
      <c r="J8" s="2085"/>
      <c r="K8" s="2085"/>
      <c r="L8" s="2085"/>
      <c r="M8" s="2085"/>
      <c r="N8" s="2085"/>
      <c r="O8" s="2085"/>
      <c r="U8" s="72"/>
      <c r="V8" s="81"/>
      <c r="W8" s="86">
        <v>0</v>
      </c>
      <c r="X8" s="86">
        <v>0</v>
      </c>
      <c r="Y8" s="265"/>
      <c r="Z8" s="85">
        <v>0</v>
      </c>
      <c r="AA8" s="85">
        <v>0</v>
      </c>
      <c r="AB8" s="85">
        <v>0</v>
      </c>
      <c r="AC8" s="84">
        <v>0</v>
      </c>
      <c r="AD8" s="81"/>
      <c r="AE8" s="86">
        <v>0</v>
      </c>
      <c r="AF8" s="86">
        <v>0</v>
      </c>
      <c r="AG8" s="265"/>
      <c r="AH8" s="85">
        <v>0</v>
      </c>
      <c r="AI8" s="85">
        <v>0</v>
      </c>
      <c r="AJ8" s="85">
        <v>0</v>
      </c>
      <c r="AK8" s="84">
        <v>0</v>
      </c>
      <c r="AL8" s="81"/>
      <c r="AM8" s="86">
        <v>0</v>
      </c>
      <c r="AN8" s="86">
        <v>0</v>
      </c>
      <c r="AO8" s="265"/>
      <c r="AP8" s="85">
        <v>0</v>
      </c>
      <c r="AQ8" s="85">
        <v>0</v>
      </c>
      <c r="AR8" s="85">
        <v>0</v>
      </c>
      <c r="AS8" s="84">
        <v>0</v>
      </c>
      <c r="AT8" s="81"/>
      <c r="AU8" s="86">
        <v>0</v>
      </c>
      <c r="AV8" s="86">
        <v>0</v>
      </c>
      <c r="AW8" s="265"/>
      <c r="AX8" s="85">
        <v>0</v>
      </c>
      <c r="AY8" s="85">
        <v>0</v>
      </c>
      <c r="AZ8" s="85">
        <v>0</v>
      </c>
      <c r="BA8" s="84">
        <v>0</v>
      </c>
    </row>
    <row r="9" spans="1:53" ht="12.75" customHeight="1">
      <c r="A9" s="70"/>
      <c r="B9" s="71"/>
      <c r="U9" s="72"/>
      <c r="V9" s="200"/>
      <c r="W9" s="201"/>
      <c r="X9" s="201" t="s">
        <v>1804</v>
      </c>
      <c r="Y9" s="201"/>
      <c r="Z9" s="201"/>
      <c r="AA9" s="92" t="s">
        <v>864</v>
      </c>
      <c r="AB9" s="201"/>
      <c r="AC9" s="202"/>
      <c r="AD9" s="200"/>
      <c r="AE9" s="201"/>
      <c r="AF9" s="201" t="s">
        <v>1804</v>
      </c>
      <c r="AG9" s="201"/>
      <c r="AH9" s="201"/>
      <c r="AI9" s="92" t="s">
        <v>864</v>
      </c>
      <c r="AJ9" s="201"/>
      <c r="AK9" s="202"/>
      <c r="AL9" s="200"/>
      <c r="AM9" s="201"/>
      <c r="AN9" s="201" t="s">
        <v>1804</v>
      </c>
      <c r="AO9" s="201"/>
      <c r="AP9" s="201"/>
      <c r="AQ9" s="92" t="s">
        <v>864</v>
      </c>
      <c r="AR9" s="201"/>
      <c r="AS9" s="202"/>
      <c r="AT9" s="200"/>
      <c r="AU9" s="201"/>
      <c r="AV9" s="201" t="s">
        <v>1804</v>
      </c>
      <c r="AW9" s="201"/>
      <c r="AX9" s="201"/>
      <c r="AY9" s="92" t="s">
        <v>864</v>
      </c>
      <c r="AZ9" s="201"/>
      <c r="BA9" s="202"/>
    </row>
    <row r="10" spans="1:53" ht="6.75" customHeight="1">
      <c r="A10" s="70"/>
      <c r="B10" s="71"/>
      <c r="U10" s="72"/>
      <c r="V10" s="200"/>
      <c r="W10" s="201"/>
      <c r="X10" s="201"/>
      <c r="Y10" s="201"/>
      <c r="Z10" s="201"/>
      <c r="AA10" s="201"/>
      <c r="AB10" s="201"/>
      <c r="AC10" s="202"/>
      <c r="AD10" s="200"/>
      <c r="AE10" s="201"/>
      <c r="AF10" s="201"/>
      <c r="AG10" s="201"/>
      <c r="AH10" s="201"/>
      <c r="AI10" s="201"/>
      <c r="AJ10" s="201"/>
      <c r="AK10" s="202"/>
      <c r="AL10" s="200"/>
      <c r="AM10" s="201"/>
      <c r="AN10" s="201"/>
      <c r="AO10" s="201"/>
      <c r="AP10" s="201"/>
      <c r="AQ10" s="201"/>
      <c r="AR10" s="201"/>
      <c r="AS10" s="202"/>
      <c r="AT10" s="200"/>
      <c r="AU10" s="201"/>
      <c r="AV10" s="201"/>
      <c r="AW10" s="201"/>
      <c r="AX10" s="201"/>
      <c r="AY10" s="201"/>
      <c r="AZ10" s="201"/>
      <c r="BA10" s="202"/>
    </row>
    <row r="11" spans="1:53">
      <c r="A11" s="70"/>
      <c r="B11" s="71"/>
      <c r="U11" s="72"/>
      <c r="V11" s="81" t="s">
        <v>1803</v>
      </c>
      <c r="W11" s="268"/>
      <c r="X11" s="268"/>
      <c r="Y11" s="92"/>
      <c r="Z11" s="268"/>
      <c r="AA11" s="268"/>
      <c r="AB11" s="268"/>
      <c r="AC11" s="269"/>
      <c r="AD11" s="81" t="s">
        <v>1803</v>
      </c>
      <c r="AE11" s="268"/>
      <c r="AF11" s="268"/>
      <c r="AG11" s="92"/>
      <c r="AH11" s="268"/>
      <c r="AI11" s="268"/>
      <c r="AJ11" s="268"/>
      <c r="AK11" s="269"/>
      <c r="AL11" s="81" t="s">
        <v>1803</v>
      </c>
      <c r="AM11" s="268"/>
      <c r="AN11" s="268"/>
      <c r="AO11" s="92"/>
      <c r="AP11" s="268"/>
      <c r="AQ11" s="268"/>
      <c r="AR11" s="268"/>
      <c r="AS11" s="269"/>
      <c r="AT11" s="81" t="s">
        <v>1803</v>
      </c>
      <c r="AU11" s="268"/>
      <c r="AV11" s="268"/>
      <c r="AW11" s="92"/>
      <c r="AX11" s="268"/>
      <c r="AY11" s="268"/>
      <c r="AZ11" s="268"/>
      <c r="BA11" s="269"/>
    </row>
    <row r="12" spans="1:53" s="83" customFormat="1">
      <c r="A12" s="88"/>
      <c r="B12" s="89"/>
      <c r="U12" s="90"/>
      <c r="V12" s="91"/>
      <c r="W12" s="86">
        <v>0</v>
      </c>
      <c r="X12" s="86">
        <v>0</v>
      </c>
      <c r="Y12" s="266"/>
      <c r="Z12" s="93"/>
      <c r="AA12" s="93"/>
      <c r="AB12" s="93"/>
      <c r="AC12" s="87">
        <v>0</v>
      </c>
      <c r="AD12" s="91"/>
      <c r="AE12" s="86">
        <v>0</v>
      </c>
      <c r="AF12" s="86">
        <v>0</v>
      </c>
      <c r="AG12" s="266"/>
      <c r="AH12" s="93">
        <v>0</v>
      </c>
      <c r="AI12" s="93">
        <v>0</v>
      </c>
      <c r="AJ12" s="93">
        <v>0</v>
      </c>
      <c r="AK12" s="87">
        <v>0</v>
      </c>
      <c r="AL12" s="91"/>
      <c r="AM12" s="86">
        <v>0</v>
      </c>
      <c r="AN12" s="86">
        <v>0</v>
      </c>
      <c r="AO12" s="266"/>
      <c r="AP12" s="93">
        <v>0</v>
      </c>
      <c r="AQ12" s="93">
        <v>0</v>
      </c>
      <c r="AR12" s="93">
        <v>0</v>
      </c>
      <c r="AS12" s="87">
        <v>0</v>
      </c>
      <c r="AT12" s="91"/>
      <c r="AU12" s="86">
        <v>0</v>
      </c>
      <c r="AV12" s="86">
        <v>0</v>
      </c>
      <c r="AW12" s="266"/>
      <c r="AX12" s="93">
        <v>0</v>
      </c>
      <c r="AY12" s="93">
        <v>0</v>
      </c>
      <c r="AZ12" s="93">
        <v>0</v>
      </c>
      <c r="BA12" s="87">
        <v>0</v>
      </c>
    </row>
    <row r="13" spans="1:53">
      <c r="A13" s="94"/>
      <c r="B13" s="95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7"/>
      <c r="V13" s="98"/>
      <c r="W13" s="2161" t="s">
        <v>1802</v>
      </c>
      <c r="X13" s="2161"/>
      <c r="Y13" s="267"/>
      <c r="Z13" s="203"/>
      <c r="AA13" s="203" t="s">
        <v>865</v>
      </c>
      <c r="AB13" s="203"/>
      <c r="AC13" s="204"/>
      <c r="AD13" s="98"/>
      <c r="AE13" s="2161" t="s">
        <v>1802</v>
      </c>
      <c r="AF13" s="2161"/>
      <c r="AG13" s="267"/>
      <c r="AH13" s="203"/>
      <c r="AI13" s="203" t="s">
        <v>865</v>
      </c>
      <c r="AJ13" s="203"/>
      <c r="AK13" s="204"/>
      <c r="AL13" s="98"/>
      <c r="AM13" s="2161" t="s">
        <v>1802</v>
      </c>
      <c r="AN13" s="2161"/>
      <c r="AO13" s="267"/>
      <c r="AP13" s="203"/>
      <c r="AQ13" s="203" t="s">
        <v>865</v>
      </c>
      <c r="AR13" s="203"/>
      <c r="AS13" s="204"/>
      <c r="AT13" s="98"/>
      <c r="AU13" s="2161" t="s">
        <v>1802</v>
      </c>
      <c r="AV13" s="2161"/>
      <c r="AW13" s="267"/>
      <c r="AX13" s="203"/>
      <c r="AY13" s="203" t="s">
        <v>865</v>
      </c>
      <c r="AZ13" s="203"/>
      <c r="BA13" s="204"/>
    </row>
    <row r="14" spans="1:53" s="83" customFormat="1">
      <c r="A14" s="285" t="s">
        <v>522</v>
      </c>
      <c r="B14" s="89"/>
      <c r="J14" s="83">
        <v>2</v>
      </c>
      <c r="U14" s="90"/>
      <c r="V14" s="91"/>
      <c r="W14" s="92"/>
      <c r="X14" s="92"/>
      <c r="Y14" s="92"/>
      <c r="Z14" s="92">
        <v>3</v>
      </c>
      <c r="AA14" s="92"/>
      <c r="AB14" s="92"/>
      <c r="AC14" s="284"/>
      <c r="AD14" s="92"/>
      <c r="AE14" s="92"/>
      <c r="AF14" s="92"/>
      <c r="AG14" s="92"/>
      <c r="AH14" s="92">
        <v>4</v>
      </c>
      <c r="AI14" s="92"/>
      <c r="AJ14" s="92"/>
      <c r="AK14" s="284"/>
      <c r="AL14" s="91"/>
      <c r="AM14" s="92"/>
      <c r="AN14" s="92"/>
      <c r="AO14" s="92"/>
      <c r="AP14" s="92">
        <v>5</v>
      </c>
      <c r="AQ14" s="92"/>
      <c r="AR14" s="92"/>
      <c r="AS14" s="284"/>
      <c r="AT14" s="92"/>
      <c r="AU14" s="92"/>
      <c r="AV14" s="92"/>
      <c r="AW14" s="92"/>
      <c r="AX14" s="92">
        <v>6</v>
      </c>
      <c r="AY14" s="92"/>
      <c r="AZ14" s="92"/>
      <c r="BA14" s="284"/>
    </row>
    <row r="15" spans="1:53" ht="15.75" customHeight="1">
      <c r="A15" s="99" t="s">
        <v>866</v>
      </c>
      <c r="B15" s="2144" t="s">
        <v>1973</v>
      </c>
      <c r="C15" s="2145"/>
      <c r="D15" s="2145"/>
      <c r="E15" s="2145"/>
      <c r="F15" s="2145"/>
      <c r="G15" s="2146"/>
      <c r="H15" s="2156" t="s">
        <v>867</v>
      </c>
      <c r="I15" s="2157"/>
      <c r="J15" s="2157"/>
      <c r="K15" s="2157"/>
      <c r="L15" s="2157"/>
      <c r="M15" s="2157"/>
      <c r="N15" s="2157"/>
      <c r="O15" s="2157"/>
      <c r="P15" s="2157"/>
      <c r="Q15" s="2157"/>
      <c r="R15" s="2157"/>
      <c r="S15" s="2157"/>
      <c r="T15" s="2157"/>
      <c r="U15" s="2158"/>
      <c r="V15" s="102" t="s">
        <v>2385</v>
      </c>
      <c r="W15" s="2153">
        <f>'UNOS-INV01'!Y68</f>
        <v>0</v>
      </c>
      <c r="X15" s="2154"/>
      <c r="Y15" s="2154"/>
      <c r="Z15" s="2154"/>
      <c r="AA15" s="2154"/>
      <c r="AB15" s="2154"/>
      <c r="AC15" s="2155"/>
      <c r="AD15" s="285" t="s">
        <v>2386</v>
      </c>
      <c r="AE15" s="2153">
        <f t="shared" ref="AE15:AE27" si="0">W15</f>
        <v>0</v>
      </c>
      <c r="AF15" s="2154"/>
      <c r="AG15" s="2154"/>
      <c r="AH15" s="2154"/>
      <c r="AI15" s="2154"/>
      <c r="AJ15" s="2154"/>
      <c r="AK15" s="2155"/>
      <c r="AL15" s="285" t="s">
        <v>2386</v>
      </c>
      <c r="AM15" s="2168"/>
      <c r="AN15" s="2142"/>
      <c r="AO15" s="2142"/>
      <c r="AP15" s="2142"/>
      <c r="AQ15" s="2142"/>
      <c r="AR15" s="2142"/>
      <c r="AS15" s="2143"/>
      <c r="AT15" s="285" t="s">
        <v>2386</v>
      </c>
      <c r="AU15" s="2168"/>
      <c r="AV15" s="2142"/>
      <c r="AW15" s="2142"/>
      <c r="AX15" s="2142"/>
      <c r="AY15" s="2142"/>
      <c r="AZ15" s="2142"/>
      <c r="BA15" s="2143"/>
    </row>
    <row r="16" spans="1:53" ht="24" customHeight="1">
      <c r="A16" s="103" t="s">
        <v>868</v>
      </c>
      <c r="B16" s="2147"/>
      <c r="C16" s="2148"/>
      <c r="D16" s="2148"/>
      <c r="E16" s="2148"/>
      <c r="F16" s="2148"/>
      <c r="G16" s="2149"/>
      <c r="H16" s="2138" t="s">
        <v>869</v>
      </c>
      <c r="I16" s="2139"/>
      <c r="J16" s="2139"/>
      <c r="K16" s="2139"/>
      <c r="L16" s="2139"/>
      <c r="M16" s="2139"/>
      <c r="N16" s="2139"/>
      <c r="O16" s="2139"/>
      <c r="P16" s="2139"/>
      <c r="Q16" s="2139"/>
      <c r="R16" s="2139"/>
      <c r="S16" s="2139"/>
      <c r="T16" s="2139"/>
      <c r="U16" s="2140"/>
      <c r="V16" s="104"/>
      <c r="W16" s="2120">
        <f>'UNOS-INV01'!Y69</f>
        <v>0</v>
      </c>
      <c r="X16" s="2121"/>
      <c r="Y16" s="2121"/>
      <c r="Z16" s="2121"/>
      <c r="AA16" s="2121"/>
      <c r="AB16" s="2121"/>
      <c r="AC16" s="2122"/>
      <c r="AE16" s="2120">
        <f t="shared" si="0"/>
        <v>0</v>
      </c>
      <c r="AF16" s="2121"/>
      <c r="AG16" s="2121"/>
      <c r="AH16" s="2121"/>
      <c r="AI16" s="2121"/>
      <c r="AJ16" s="2121"/>
      <c r="AK16" s="2122"/>
      <c r="AL16" s="105"/>
      <c r="AM16" s="2165"/>
      <c r="AN16" s="2166"/>
      <c r="AO16" s="2166"/>
      <c r="AP16" s="2166"/>
      <c r="AQ16" s="2166"/>
      <c r="AR16" s="2166"/>
      <c r="AS16" s="2167"/>
      <c r="AU16" s="2165"/>
      <c r="AV16" s="2166"/>
      <c r="AW16" s="2166"/>
      <c r="AX16" s="2166"/>
      <c r="AY16" s="2166"/>
      <c r="AZ16" s="2166"/>
      <c r="BA16" s="2167"/>
    </row>
    <row r="17" spans="1:53" ht="21.75" customHeight="1">
      <c r="A17" s="103" t="s">
        <v>870</v>
      </c>
      <c r="B17" s="2150"/>
      <c r="C17" s="2151"/>
      <c r="D17" s="2151"/>
      <c r="E17" s="2151"/>
      <c r="F17" s="2151"/>
      <c r="G17" s="2152"/>
      <c r="H17" s="2138" t="s">
        <v>2258</v>
      </c>
      <c r="I17" s="2139"/>
      <c r="J17" s="2139"/>
      <c r="K17" s="2139"/>
      <c r="L17" s="2139"/>
      <c r="M17" s="2139"/>
      <c r="N17" s="2139"/>
      <c r="O17" s="2139"/>
      <c r="P17" s="2139"/>
      <c r="Q17" s="2139"/>
      <c r="R17" s="2139"/>
      <c r="S17" s="2139"/>
      <c r="T17" s="2139"/>
      <c r="U17" s="2140"/>
      <c r="V17" s="104"/>
      <c r="W17" s="2120">
        <f>'UNOS-INV01'!Y70</f>
        <v>0</v>
      </c>
      <c r="X17" s="2121"/>
      <c r="Y17" s="2121"/>
      <c r="Z17" s="2121"/>
      <c r="AA17" s="2121"/>
      <c r="AB17" s="2121"/>
      <c r="AC17" s="2122"/>
      <c r="AE17" s="2120">
        <f t="shared" si="0"/>
        <v>0</v>
      </c>
      <c r="AF17" s="2121"/>
      <c r="AG17" s="2121"/>
      <c r="AH17" s="2121"/>
      <c r="AI17" s="2121"/>
      <c r="AJ17" s="2121"/>
      <c r="AK17" s="2122"/>
      <c r="AL17" s="105"/>
      <c r="AM17" s="2165"/>
      <c r="AN17" s="2166"/>
      <c r="AO17" s="2166"/>
      <c r="AP17" s="2166"/>
      <c r="AQ17" s="2166"/>
      <c r="AR17" s="2166"/>
      <c r="AS17" s="2167"/>
      <c r="AU17" s="2165"/>
      <c r="AV17" s="2166"/>
      <c r="AW17" s="2166"/>
      <c r="AX17" s="2166"/>
      <c r="AY17" s="2166"/>
      <c r="AZ17" s="2166"/>
      <c r="BA17" s="2167"/>
    </row>
    <row r="18" spans="1:53" ht="15.75">
      <c r="A18" s="103" t="s">
        <v>2259</v>
      </c>
      <c r="B18" s="2138" t="s">
        <v>2627</v>
      </c>
      <c r="C18" s="2139"/>
      <c r="D18" s="2139"/>
      <c r="E18" s="2139"/>
      <c r="F18" s="2139"/>
      <c r="G18" s="2139"/>
      <c r="H18" s="2139"/>
      <c r="I18" s="2139"/>
      <c r="J18" s="2139"/>
      <c r="K18" s="2139"/>
      <c r="L18" s="2139"/>
      <c r="M18" s="2139"/>
      <c r="N18" s="2139"/>
      <c r="O18" s="2139"/>
      <c r="P18" s="2139"/>
      <c r="Q18" s="2139"/>
      <c r="R18" s="2139"/>
      <c r="S18" s="2139"/>
      <c r="T18" s="2139"/>
      <c r="U18" s="2140"/>
      <c r="V18" s="104"/>
      <c r="W18" s="2120">
        <v>0</v>
      </c>
      <c r="X18" s="2121"/>
      <c r="Y18" s="2121"/>
      <c r="Z18" s="2121"/>
      <c r="AA18" s="2121"/>
      <c r="AB18" s="2121"/>
      <c r="AC18" s="2122"/>
      <c r="AE18" s="2120">
        <f t="shared" si="0"/>
        <v>0</v>
      </c>
      <c r="AF18" s="2121"/>
      <c r="AG18" s="2121"/>
      <c r="AH18" s="2121"/>
      <c r="AI18" s="2121"/>
      <c r="AJ18" s="2121"/>
      <c r="AK18" s="2122"/>
      <c r="AL18" s="105"/>
      <c r="AM18" s="2165"/>
      <c r="AN18" s="2166"/>
      <c r="AO18" s="2166"/>
      <c r="AP18" s="2166"/>
      <c r="AQ18" s="2166"/>
      <c r="AR18" s="2166"/>
      <c r="AS18" s="2167"/>
      <c r="AU18" s="2165"/>
      <c r="AV18" s="2166"/>
      <c r="AW18" s="2166"/>
      <c r="AX18" s="2166"/>
      <c r="AY18" s="2166"/>
      <c r="AZ18" s="2166"/>
      <c r="BA18" s="2167"/>
    </row>
    <row r="19" spans="1:53" ht="27.75" customHeight="1">
      <c r="A19" s="103" t="s">
        <v>2260</v>
      </c>
      <c r="B19" s="2123" t="s">
        <v>1974</v>
      </c>
      <c r="C19" s="2124"/>
      <c r="D19" s="2124"/>
      <c r="E19" s="2124"/>
      <c r="F19" s="2124"/>
      <c r="G19" s="2124"/>
      <c r="H19" s="2124"/>
      <c r="I19" s="2124"/>
      <c r="J19" s="2124"/>
      <c r="K19" s="2124"/>
      <c r="L19" s="2124"/>
      <c r="M19" s="2124"/>
      <c r="N19" s="2124"/>
      <c r="O19" s="2124"/>
      <c r="P19" s="2124"/>
      <c r="Q19" s="2124"/>
      <c r="R19" s="2124"/>
      <c r="S19" s="2124"/>
      <c r="T19" s="2124"/>
      <c r="U19" s="2125"/>
      <c r="V19" s="104"/>
      <c r="W19" s="2120">
        <f>SUM(W20:AC25)</f>
        <v>0</v>
      </c>
      <c r="X19" s="2121"/>
      <c r="Y19" s="2121"/>
      <c r="Z19" s="2121"/>
      <c r="AA19" s="2121"/>
      <c r="AB19" s="2121"/>
      <c r="AC19" s="2122"/>
      <c r="AE19" s="2120">
        <f t="shared" si="0"/>
        <v>0</v>
      </c>
      <c r="AF19" s="2121"/>
      <c r="AG19" s="2121"/>
      <c r="AH19" s="2121"/>
      <c r="AI19" s="2121"/>
      <c r="AJ19" s="2121"/>
      <c r="AK19" s="2122"/>
      <c r="AL19" s="105"/>
      <c r="AM19" s="2165"/>
      <c r="AN19" s="2166"/>
      <c r="AO19" s="2166"/>
      <c r="AP19" s="2166"/>
      <c r="AQ19" s="2166"/>
      <c r="AR19" s="2166"/>
      <c r="AS19" s="2167"/>
      <c r="AU19" s="2165"/>
      <c r="AV19" s="2166"/>
      <c r="AW19" s="2166"/>
      <c r="AX19" s="2166"/>
      <c r="AY19" s="2166"/>
      <c r="AZ19" s="2166"/>
      <c r="BA19" s="2167"/>
    </row>
    <row r="20" spans="1:53" ht="15.75">
      <c r="A20" s="103" t="s">
        <v>1800</v>
      </c>
      <c r="B20" s="2126" t="s">
        <v>1136</v>
      </c>
      <c r="C20" s="2127"/>
      <c r="D20" s="2127"/>
      <c r="E20" s="2127"/>
      <c r="F20" s="2127"/>
      <c r="G20" s="2128"/>
      <c r="H20" s="2135" t="s">
        <v>1794</v>
      </c>
      <c r="I20" s="2136"/>
      <c r="J20" s="2136"/>
      <c r="K20" s="2136"/>
      <c r="L20" s="2136"/>
      <c r="M20" s="2136"/>
      <c r="N20" s="2136"/>
      <c r="O20" s="2136"/>
      <c r="P20" s="2136"/>
      <c r="Q20" s="2136"/>
      <c r="R20" s="2136"/>
      <c r="S20" s="2136"/>
      <c r="T20" s="2136"/>
      <c r="U20" s="2137"/>
      <c r="V20" s="104"/>
      <c r="W20" s="2120">
        <f>'INV01-B'!Q8</f>
        <v>0</v>
      </c>
      <c r="X20" s="2121"/>
      <c r="Y20" s="2121"/>
      <c r="Z20" s="2121"/>
      <c r="AA20" s="2121"/>
      <c r="AB20" s="2121"/>
      <c r="AC20" s="2122"/>
      <c r="AE20" s="2120">
        <f t="shared" si="0"/>
        <v>0</v>
      </c>
      <c r="AF20" s="2121"/>
      <c r="AG20" s="2121"/>
      <c r="AH20" s="2121"/>
      <c r="AI20" s="2121"/>
      <c r="AJ20" s="2121"/>
      <c r="AK20" s="2122"/>
      <c r="AL20" s="105"/>
      <c r="AM20" s="2165"/>
      <c r="AN20" s="2166"/>
      <c r="AO20" s="2166"/>
      <c r="AP20" s="2166"/>
      <c r="AQ20" s="2166"/>
      <c r="AR20" s="2166"/>
      <c r="AS20" s="2167"/>
      <c r="AU20" s="2165"/>
      <c r="AV20" s="2166"/>
      <c r="AW20" s="2166"/>
      <c r="AX20" s="2166"/>
      <c r="AY20" s="2166"/>
      <c r="AZ20" s="2166"/>
      <c r="BA20" s="2167"/>
    </row>
    <row r="21" spans="1:53" ht="15.75">
      <c r="A21" s="103" t="s">
        <v>2261</v>
      </c>
      <c r="B21" s="2129"/>
      <c r="C21" s="2130"/>
      <c r="D21" s="2130"/>
      <c r="E21" s="2130"/>
      <c r="F21" s="2130"/>
      <c r="G21" s="2131"/>
      <c r="H21" s="2135" t="s">
        <v>1795</v>
      </c>
      <c r="I21" s="2136"/>
      <c r="J21" s="2136"/>
      <c r="K21" s="2136"/>
      <c r="L21" s="2136"/>
      <c r="M21" s="2136"/>
      <c r="N21" s="2136"/>
      <c r="O21" s="2136"/>
      <c r="P21" s="2136"/>
      <c r="Q21" s="2136"/>
      <c r="R21" s="2136"/>
      <c r="S21" s="2136"/>
      <c r="T21" s="2136"/>
      <c r="U21" s="2137"/>
      <c r="V21" s="104"/>
      <c r="W21" s="2120">
        <f>'INV01-B'!Q9</f>
        <v>0</v>
      </c>
      <c r="X21" s="2121"/>
      <c r="Y21" s="2121"/>
      <c r="Z21" s="2121"/>
      <c r="AA21" s="2121"/>
      <c r="AB21" s="2121"/>
      <c r="AC21" s="2122"/>
      <c r="AE21" s="2120">
        <f t="shared" si="0"/>
        <v>0</v>
      </c>
      <c r="AF21" s="2121"/>
      <c r="AG21" s="2121"/>
      <c r="AH21" s="2121"/>
      <c r="AI21" s="2121"/>
      <c r="AJ21" s="2121"/>
      <c r="AK21" s="2122"/>
      <c r="AL21" s="105"/>
      <c r="AM21" s="2165"/>
      <c r="AN21" s="2166"/>
      <c r="AO21" s="2166"/>
      <c r="AP21" s="2166"/>
      <c r="AQ21" s="2166"/>
      <c r="AR21" s="2166"/>
      <c r="AS21" s="2167"/>
      <c r="AU21" s="2165"/>
      <c r="AV21" s="2166"/>
      <c r="AW21" s="2166"/>
      <c r="AX21" s="2166"/>
      <c r="AY21" s="2166"/>
      <c r="AZ21" s="2166"/>
      <c r="BA21" s="2167"/>
    </row>
    <row r="22" spans="1:53" ht="15.75">
      <c r="A22" s="103" t="s">
        <v>2262</v>
      </c>
      <c r="B22" s="2129"/>
      <c r="C22" s="2130"/>
      <c r="D22" s="2130"/>
      <c r="E22" s="2130"/>
      <c r="F22" s="2130"/>
      <c r="G22" s="2131"/>
      <c r="H22" s="2135" t="s">
        <v>1796</v>
      </c>
      <c r="I22" s="2136"/>
      <c r="J22" s="2136"/>
      <c r="K22" s="2136"/>
      <c r="L22" s="2136"/>
      <c r="M22" s="2136"/>
      <c r="N22" s="2136"/>
      <c r="O22" s="2136"/>
      <c r="P22" s="2136"/>
      <c r="Q22" s="2136"/>
      <c r="R22" s="2136"/>
      <c r="S22" s="2136"/>
      <c r="T22" s="2136"/>
      <c r="U22" s="2137"/>
      <c r="V22" s="104"/>
      <c r="W22" s="2120">
        <f>'INV01-B'!Q13</f>
        <v>0</v>
      </c>
      <c r="X22" s="2121"/>
      <c r="Y22" s="2121"/>
      <c r="Z22" s="2121"/>
      <c r="AA22" s="2121"/>
      <c r="AB22" s="2121"/>
      <c r="AC22" s="2122"/>
      <c r="AE22" s="2120">
        <f t="shared" si="0"/>
        <v>0</v>
      </c>
      <c r="AF22" s="2121"/>
      <c r="AG22" s="2121"/>
      <c r="AH22" s="2121"/>
      <c r="AI22" s="2121"/>
      <c r="AJ22" s="2121"/>
      <c r="AK22" s="2122"/>
      <c r="AL22" s="105"/>
      <c r="AM22" s="2165"/>
      <c r="AN22" s="2166"/>
      <c r="AO22" s="2166"/>
      <c r="AP22" s="2166"/>
      <c r="AQ22" s="2166"/>
      <c r="AR22" s="2166"/>
      <c r="AS22" s="2167"/>
      <c r="AU22" s="2165"/>
      <c r="AV22" s="2166"/>
      <c r="AW22" s="2166"/>
      <c r="AX22" s="2166"/>
      <c r="AY22" s="2166"/>
      <c r="AZ22" s="2166"/>
      <c r="BA22" s="2167"/>
    </row>
    <row r="23" spans="1:53" ht="15.75">
      <c r="A23" s="103" t="s">
        <v>2263</v>
      </c>
      <c r="B23" s="2129"/>
      <c r="C23" s="2130"/>
      <c r="D23" s="2130"/>
      <c r="E23" s="2130"/>
      <c r="F23" s="2130"/>
      <c r="G23" s="2131"/>
      <c r="H23" s="207" t="s">
        <v>1797</v>
      </c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10"/>
      <c r="V23" s="104"/>
      <c r="W23" s="2120">
        <f>'INV01-B'!Q29</f>
        <v>0</v>
      </c>
      <c r="X23" s="2121"/>
      <c r="Y23" s="2121"/>
      <c r="Z23" s="2121"/>
      <c r="AA23" s="2121"/>
      <c r="AB23" s="2121"/>
      <c r="AC23" s="2122"/>
      <c r="AE23" s="2120">
        <f t="shared" si="0"/>
        <v>0</v>
      </c>
      <c r="AF23" s="2121"/>
      <c r="AG23" s="2121"/>
      <c r="AH23" s="2121"/>
      <c r="AI23" s="2121"/>
      <c r="AJ23" s="2121"/>
      <c r="AK23" s="2122"/>
      <c r="AL23" s="105"/>
      <c r="AM23" s="205"/>
      <c r="AN23" s="106"/>
      <c r="AO23" s="106"/>
      <c r="AP23" s="106"/>
      <c r="AQ23" s="106"/>
      <c r="AR23" s="106"/>
      <c r="AS23" s="206"/>
      <c r="AU23" s="205"/>
      <c r="AV23" s="106"/>
      <c r="AW23" s="106"/>
      <c r="AX23" s="106"/>
      <c r="AY23" s="106"/>
      <c r="AZ23" s="106"/>
      <c r="BA23" s="206"/>
    </row>
    <row r="24" spans="1:53" ht="15.75">
      <c r="A24" s="103" t="s">
        <v>703</v>
      </c>
      <c r="B24" s="2129"/>
      <c r="C24" s="2130"/>
      <c r="D24" s="2130"/>
      <c r="E24" s="2130"/>
      <c r="F24" s="2130"/>
      <c r="G24" s="2131"/>
      <c r="H24" s="207" t="s">
        <v>1798</v>
      </c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10"/>
      <c r="V24" s="104"/>
      <c r="W24" s="2120">
        <f>'INV01-B'!Q32</f>
        <v>0</v>
      </c>
      <c r="X24" s="2121"/>
      <c r="Y24" s="2121"/>
      <c r="Z24" s="2121"/>
      <c r="AA24" s="2121"/>
      <c r="AB24" s="2121"/>
      <c r="AC24" s="2122"/>
      <c r="AE24" s="2120">
        <f t="shared" si="0"/>
        <v>0</v>
      </c>
      <c r="AF24" s="2121"/>
      <c r="AG24" s="2121"/>
      <c r="AH24" s="2121"/>
      <c r="AI24" s="2121"/>
      <c r="AJ24" s="2121"/>
      <c r="AK24" s="2122"/>
      <c r="AL24" s="105"/>
      <c r="AM24" s="205"/>
      <c r="AN24" s="106"/>
      <c r="AO24" s="106"/>
      <c r="AP24" s="106"/>
      <c r="AQ24" s="106"/>
      <c r="AR24" s="106"/>
      <c r="AS24" s="206"/>
      <c r="AU24" s="205"/>
      <c r="AV24" s="106"/>
      <c r="AW24" s="106"/>
      <c r="AX24" s="106"/>
      <c r="AY24" s="106"/>
      <c r="AZ24" s="106"/>
      <c r="BA24" s="206"/>
    </row>
    <row r="25" spans="1:53" ht="15.75">
      <c r="A25" s="103" t="s">
        <v>1801</v>
      </c>
      <c r="B25" s="2132"/>
      <c r="C25" s="2133"/>
      <c r="D25" s="2133"/>
      <c r="E25" s="2133"/>
      <c r="F25" s="2133"/>
      <c r="G25" s="2134"/>
      <c r="H25" s="2135" t="s">
        <v>1799</v>
      </c>
      <c r="I25" s="2136"/>
      <c r="J25" s="2136"/>
      <c r="K25" s="2136"/>
      <c r="L25" s="2136"/>
      <c r="M25" s="2136"/>
      <c r="N25" s="2136"/>
      <c r="O25" s="2136"/>
      <c r="P25" s="2136"/>
      <c r="Q25" s="2136"/>
      <c r="R25" s="2136"/>
      <c r="S25" s="2136"/>
      <c r="T25" s="2136"/>
      <c r="U25" s="2137"/>
      <c r="V25" s="104"/>
      <c r="W25" s="2120">
        <f>'INV01-B'!Q37</f>
        <v>0</v>
      </c>
      <c r="X25" s="2121"/>
      <c r="Y25" s="2121"/>
      <c r="Z25" s="2121"/>
      <c r="AA25" s="2121"/>
      <c r="AB25" s="2121"/>
      <c r="AC25" s="2122"/>
      <c r="AE25" s="2120">
        <f t="shared" si="0"/>
        <v>0</v>
      </c>
      <c r="AF25" s="2121"/>
      <c r="AG25" s="2121"/>
      <c r="AH25" s="2121"/>
      <c r="AI25" s="2121"/>
      <c r="AJ25" s="2121"/>
      <c r="AK25" s="2122"/>
      <c r="AL25" s="105"/>
      <c r="AM25" s="2165"/>
      <c r="AN25" s="2166"/>
      <c r="AO25" s="2166"/>
      <c r="AP25" s="2166"/>
      <c r="AQ25" s="2166"/>
      <c r="AR25" s="2166"/>
      <c r="AS25" s="2167"/>
      <c r="AU25" s="2165"/>
      <c r="AV25" s="2166"/>
      <c r="AW25" s="2166"/>
      <c r="AX25" s="2166"/>
      <c r="AY25" s="2166"/>
      <c r="AZ25" s="2166"/>
      <c r="BA25" s="2167"/>
    </row>
    <row r="26" spans="1:53" ht="15.75">
      <c r="A26" s="103" t="s">
        <v>704</v>
      </c>
      <c r="B26" s="2138" t="s">
        <v>1137</v>
      </c>
      <c r="C26" s="2139"/>
      <c r="D26" s="2139"/>
      <c r="E26" s="2139"/>
      <c r="F26" s="2139"/>
      <c r="G26" s="2139"/>
      <c r="H26" s="2139"/>
      <c r="I26" s="2139"/>
      <c r="J26" s="2139"/>
      <c r="K26" s="2139"/>
      <c r="L26" s="2139"/>
      <c r="M26" s="2139"/>
      <c r="N26" s="2139"/>
      <c r="O26" s="2139"/>
      <c r="P26" s="2139"/>
      <c r="Q26" s="2139"/>
      <c r="R26" s="2139"/>
      <c r="S26" s="2139"/>
      <c r="T26" s="2139"/>
      <c r="U26" s="2140"/>
      <c r="V26" s="104"/>
      <c r="W26" s="2120">
        <f>W19-W27+'UNOS-INV01'!Y27</f>
        <v>0</v>
      </c>
      <c r="X26" s="2121"/>
      <c r="Y26" s="2121"/>
      <c r="Z26" s="2121"/>
      <c r="AA26" s="2121"/>
      <c r="AB26" s="2121"/>
      <c r="AC26" s="2122"/>
      <c r="AE26" s="2120">
        <f t="shared" si="0"/>
        <v>0</v>
      </c>
      <c r="AF26" s="2121"/>
      <c r="AG26" s="2121"/>
      <c r="AH26" s="2121"/>
      <c r="AI26" s="2121"/>
      <c r="AJ26" s="2121"/>
      <c r="AK26" s="2122"/>
      <c r="AL26" s="105"/>
      <c r="AM26" s="2165"/>
      <c r="AN26" s="2166"/>
      <c r="AO26" s="2166"/>
      <c r="AP26" s="2166"/>
      <c r="AQ26" s="2166"/>
      <c r="AR26" s="2166"/>
      <c r="AS26" s="2167"/>
      <c r="AU26" s="2165"/>
      <c r="AV26" s="2166"/>
      <c r="AW26" s="2166"/>
      <c r="AX26" s="2166"/>
      <c r="AY26" s="2166"/>
      <c r="AZ26" s="2166"/>
      <c r="BA26" s="2167"/>
    </row>
    <row r="27" spans="1:53" ht="15.75">
      <c r="A27" s="115" t="s">
        <v>705</v>
      </c>
      <c r="B27" s="2170" t="s">
        <v>1138</v>
      </c>
      <c r="C27" s="2171"/>
      <c r="D27" s="2171"/>
      <c r="E27" s="2171"/>
      <c r="F27" s="2171"/>
      <c r="G27" s="2171"/>
      <c r="H27" s="2171"/>
      <c r="I27" s="2171"/>
      <c r="J27" s="2171"/>
      <c r="K27" s="2171"/>
      <c r="L27" s="2171"/>
      <c r="M27" s="2171"/>
      <c r="N27" s="2171"/>
      <c r="O27" s="2171"/>
      <c r="P27" s="2171"/>
      <c r="Q27" s="2171"/>
      <c r="R27" s="2171"/>
      <c r="S27" s="2171"/>
      <c r="T27" s="2171"/>
      <c r="U27" s="2172"/>
      <c r="V27" s="263"/>
      <c r="W27" s="2173">
        <f>'UNOS-INV01'!Y28</f>
        <v>0</v>
      </c>
      <c r="X27" s="2174"/>
      <c r="Y27" s="2174"/>
      <c r="Z27" s="2174"/>
      <c r="AA27" s="2174"/>
      <c r="AB27" s="2174"/>
      <c r="AC27" s="2175"/>
      <c r="AD27" s="96"/>
      <c r="AE27" s="2173">
        <f t="shared" si="0"/>
        <v>0</v>
      </c>
      <c r="AF27" s="2174"/>
      <c r="AG27" s="2174"/>
      <c r="AH27" s="2174"/>
      <c r="AI27" s="2174"/>
      <c r="AJ27" s="2174"/>
      <c r="AK27" s="2175"/>
      <c r="AL27" s="264"/>
      <c r="AM27" s="2176"/>
      <c r="AN27" s="2177"/>
      <c r="AO27" s="2177"/>
      <c r="AP27" s="2177"/>
      <c r="AQ27" s="2177"/>
      <c r="AR27" s="2177"/>
      <c r="AS27" s="2178"/>
      <c r="AT27" s="96"/>
      <c r="AU27" s="2176"/>
      <c r="AV27" s="2177"/>
      <c r="AW27" s="2177"/>
      <c r="AX27" s="2177"/>
      <c r="AY27" s="2177"/>
      <c r="AZ27" s="2177"/>
      <c r="BA27" s="2178"/>
    </row>
    <row r="28" spans="1:53">
      <c r="A28" s="107" t="s">
        <v>500</v>
      </c>
    </row>
    <row r="29" spans="1:53">
      <c r="A29" s="107"/>
    </row>
    <row r="31" spans="1:53">
      <c r="E31" s="1101">
        <f>FirmaSjediste</f>
        <v>0</v>
      </c>
      <c r="F31" s="83" t="s">
        <v>503</v>
      </c>
      <c r="H31" s="283" t="s">
        <v>502</v>
      </c>
      <c r="I31" s="1113" t="str">
        <f>ObracunPredaja</f>
        <v>28.2.2012.</v>
      </c>
      <c r="J31" s="108"/>
      <c r="K31" s="108"/>
      <c r="L31" s="64" t="s">
        <v>2268</v>
      </c>
      <c r="M31" s="100"/>
      <c r="N31" s="100"/>
      <c r="O31" s="355">
        <f>RacunovodjaIme</f>
        <v>0</v>
      </c>
      <c r="P31" s="101"/>
      <c r="Q31" s="101"/>
      <c r="R31" s="108"/>
      <c r="S31" s="101"/>
      <c r="T31" s="101"/>
      <c r="U31" s="108"/>
      <c r="V31" s="108"/>
      <c r="W31" s="108"/>
      <c r="X31" s="108"/>
      <c r="Y31" s="108"/>
      <c r="Z31" s="108"/>
      <c r="AC31" s="283" t="s">
        <v>707</v>
      </c>
      <c r="AD31" s="2169">
        <f>RacunovodjaTelefon</f>
        <v>0</v>
      </c>
      <c r="AE31" s="2169"/>
      <c r="AF31" s="2169"/>
      <c r="AG31" s="2169"/>
      <c r="AH31" s="2169"/>
      <c r="AI31" s="2169"/>
      <c r="AJ31" s="2169"/>
      <c r="AM31" s="64" t="s">
        <v>686</v>
      </c>
      <c r="AO31" s="2179">
        <f t="shared" ref="AO31:AZ31" si="1">FirmaDirekor</f>
        <v>0</v>
      </c>
      <c r="AP31" s="2179">
        <f t="shared" si="1"/>
        <v>0</v>
      </c>
      <c r="AQ31" s="2179">
        <f t="shared" si="1"/>
        <v>0</v>
      </c>
      <c r="AR31" s="2179">
        <f t="shared" si="1"/>
        <v>0</v>
      </c>
      <c r="AS31" s="2179">
        <f t="shared" si="1"/>
        <v>0</v>
      </c>
      <c r="AT31" s="2179">
        <f t="shared" si="1"/>
        <v>0</v>
      </c>
      <c r="AU31" s="2179">
        <f t="shared" si="1"/>
        <v>0</v>
      </c>
      <c r="AV31" s="2179">
        <f t="shared" si="1"/>
        <v>0</v>
      </c>
      <c r="AW31" s="2179">
        <f t="shared" si="1"/>
        <v>0</v>
      </c>
      <c r="AX31" s="2179">
        <f t="shared" si="1"/>
        <v>0</v>
      </c>
      <c r="AY31" s="2179">
        <f t="shared" si="1"/>
        <v>0</v>
      </c>
      <c r="AZ31" s="2179">
        <f t="shared" si="1"/>
        <v>0</v>
      </c>
    </row>
    <row r="32" spans="1:53">
      <c r="O32" s="77" t="s">
        <v>708</v>
      </c>
      <c r="AT32" s="83" t="s">
        <v>501</v>
      </c>
    </row>
    <row r="34" spans="1:53">
      <c r="BA34" s="283"/>
    </row>
    <row r="35" spans="1:53">
      <c r="A35" s="109"/>
    </row>
    <row r="36" spans="1:53">
      <c r="BA36" s="283" t="s">
        <v>848</v>
      </c>
    </row>
    <row r="37" spans="1:53">
      <c r="BA37" s="283"/>
    </row>
  </sheetData>
  <mergeCells count="79">
    <mergeCell ref="AM27:AS27"/>
    <mergeCell ref="AU19:BA19"/>
    <mergeCell ref="AU20:BA20"/>
    <mergeCell ref="AU27:BA27"/>
    <mergeCell ref="AO31:AZ31"/>
    <mergeCell ref="AU21:BA21"/>
    <mergeCell ref="AM25:AS25"/>
    <mergeCell ref="AU25:BA25"/>
    <mergeCell ref="AU22:BA22"/>
    <mergeCell ref="AM22:AS22"/>
    <mergeCell ref="AM26:AS26"/>
    <mergeCell ref="AU26:BA26"/>
    <mergeCell ref="AD31:AJ31"/>
    <mergeCell ref="B27:U27"/>
    <mergeCell ref="W27:AC27"/>
    <mergeCell ref="AE27:AK27"/>
    <mergeCell ref="AE22:AK22"/>
    <mergeCell ref="AE23:AK23"/>
    <mergeCell ref="AE24:AK24"/>
    <mergeCell ref="W23:AC23"/>
    <mergeCell ref="W24:AC24"/>
    <mergeCell ref="W22:AC22"/>
    <mergeCell ref="W25:AC25"/>
    <mergeCell ref="B26:U26"/>
    <mergeCell ref="W26:AC26"/>
    <mergeCell ref="AE25:AK25"/>
    <mergeCell ref="AE26:AK26"/>
    <mergeCell ref="AE21:AK21"/>
    <mergeCell ref="AM21:AS21"/>
    <mergeCell ref="AD2:BA2"/>
    <mergeCell ref="AV6:BA6"/>
    <mergeCell ref="AU13:AV13"/>
    <mergeCell ref="AE13:AF13"/>
    <mergeCell ref="AM13:AN13"/>
    <mergeCell ref="AF6:AK6"/>
    <mergeCell ref="AN6:AS6"/>
    <mergeCell ref="AU18:BA18"/>
    <mergeCell ref="AM15:AS15"/>
    <mergeCell ref="AU15:BA15"/>
    <mergeCell ref="AE16:AK16"/>
    <mergeCell ref="AE15:AK15"/>
    <mergeCell ref="AU16:BA16"/>
    <mergeCell ref="AM16:AS16"/>
    <mergeCell ref="AD4:AK4"/>
    <mergeCell ref="AV5:BA5"/>
    <mergeCell ref="AF5:AK5"/>
    <mergeCell ref="AN5:AS5"/>
    <mergeCell ref="AE20:AK20"/>
    <mergeCell ref="AM20:AS20"/>
    <mergeCell ref="AE17:AK17"/>
    <mergeCell ref="AE19:AK19"/>
    <mergeCell ref="AM19:AS19"/>
    <mergeCell ref="AM17:AS17"/>
    <mergeCell ref="AU17:BA17"/>
    <mergeCell ref="AE18:AK18"/>
    <mergeCell ref="AM18:AS18"/>
    <mergeCell ref="B18:U18"/>
    <mergeCell ref="W18:AC18"/>
    <mergeCell ref="V2:AC2"/>
    <mergeCell ref="H17:U17"/>
    <mergeCell ref="W17:AC17"/>
    <mergeCell ref="B15:G17"/>
    <mergeCell ref="W15:AC15"/>
    <mergeCell ref="H15:U15"/>
    <mergeCell ref="H6:O8"/>
    <mergeCell ref="X6:AC6"/>
    <mergeCell ref="H16:U16"/>
    <mergeCell ref="W16:AC16"/>
    <mergeCell ref="W13:X13"/>
    <mergeCell ref="X5:AC5"/>
    <mergeCell ref="W19:AC19"/>
    <mergeCell ref="B19:U19"/>
    <mergeCell ref="B20:G25"/>
    <mergeCell ref="H25:U25"/>
    <mergeCell ref="H22:U22"/>
    <mergeCell ref="H21:U21"/>
    <mergeCell ref="H20:U20"/>
    <mergeCell ref="W21:AC21"/>
    <mergeCell ref="W20:AC20"/>
  </mergeCells>
  <phoneticPr fontId="0" type="noConversion"/>
  <printOptions horizontalCentered="1"/>
  <pageMargins left="0.18" right="0" top="0.55118110236220474" bottom="0.55118110236220474" header="0.39370078740157483" footer="0.25"/>
  <pageSetup paperSize="9" scale="95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 enableFormatConditionsCalculation="0">
    <tabColor indexed="47"/>
  </sheetPr>
  <dimension ref="A1:AG34"/>
  <sheetViews>
    <sheetView showGridLines="0" workbookViewId="0">
      <selection activeCell="N15" sqref="N15:U15"/>
    </sheetView>
  </sheetViews>
  <sheetFormatPr defaultRowHeight="12.75"/>
  <cols>
    <col min="1" max="1" width="3" style="2" customWidth="1"/>
    <col min="2" max="2" width="2.42578125" style="2" customWidth="1"/>
    <col min="3" max="3" width="2.5703125" style="2" customWidth="1"/>
    <col min="4" max="4" width="2.7109375" style="2" customWidth="1"/>
    <col min="5" max="5" width="2.5703125" style="2" customWidth="1"/>
    <col min="6" max="6" width="2.7109375" style="2" customWidth="1"/>
    <col min="7" max="8" width="2.5703125" style="2" customWidth="1"/>
    <col min="9" max="9" width="2.7109375" style="2" customWidth="1"/>
    <col min="10" max="10" width="2.5703125" style="2" customWidth="1"/>
    <col min="11" max="11" width="2.7109375" style="2" customWidth="1"/>
    <col min="12" max="13" width="2.5703125" style="2" customWidth="1"/>
    <col min="14" max="14" width="2.7109375" style="2" customWidth="1"/>
    <col min="15" max="15" width="2.5703125" style="2" customWidth="1"/>
    <col min="16" max="16" width="2.7109375" style="2" customWidth="1"/>
    <col min="17" max="18" width="2.5703125" style="2" customWidth="1"/>
    <col min="19" max="19" width="2.7109375" style="2" customWidth="1"/>
    <col min="20" max="20" width="2.5703125" style="2" customWidth="1"/>
    <col min="21" max="21" width="2.7109375" style="2" customWidth="1"/>
    <col min="22" max="23" width="2.5703125" style="2" customWidth="1"/>
    <col min="24" max="24" width="2.7109375" style="2" customWidth="1"/>
    <col min="25" max="25" width="2.85546875" style="2" customWidth="1"/>
    <col min="26" max="26" width="3.42578125" style="2" customWidth="1"/>
    <col min="27" max="27" width="2.85546875" style="2" customWidth="1"/>
    <col min="28" max="28" width="3" style="2" customWidth="1"/>
    <col min="29" max="29" width="3.140625" style="2" customWidth="1"/>
    <col min="30" max="30" width="2.7109375" style="2" customWidth="1"/>
    <col min="31" max="31" width="2.85546875" style="2" customWidth="1"/>
    <col min="32" max="32" width="3.140625" style="2" customWidth="1"/>
    <col min="33" max="33" width="2.85546875" style="2" customWidth="1"/>
    <col min="34" max="34" width="3.7109375" style="2" customWidth="1"/>
    <col min="35" max="35" width="2.7109375" style="2" customWidth="1"/>
    <col min="36" max="36" width="2.5703125" style="2" customWidth="1"/>
    <col min="37" max="37" width="2.7109375" style="2" customWidth="1"/>
    <col min="38" max="39" width="2.5703125" style="2" customWidth="1"/>
    <col min="40" max="40" width="2.7109375" style="2" customWidth="1"/>
    <col min="41" max="41" width="2.5703125" style="2" customWidth="1"/>
    <col min="42" max="42" width="2.7109375" style="2" customWidth="1"/>
    <col min="43" max="44" width="2.5703125" style="2" customWidth="1"/>
    <col min="45" max="45" width="2.7109375" style="2" customWidth="1"/>
    <col min="46" max="46" width="2.5703125" style="2" customWidth="1"/>
    <col min="47" max="47" width="2.7109375" style="2" customWidth="1"/>
    <col min="48" max="49" width="2.5703125" style="2" customWidth="1"/>
    <col min="50" max="50" width="2.7109375" style="2" customWidth="1"/>
    <col min="51" max="51" width="2.5703125" style="2" customWidth="1"/>
    <col min="52" max="52" width="2.7109375" style="2" customWidth="1"/>
    <col min="53" max="54" width="2.5703125" style="2" customWidth="1"/>
    <col min="55" max="55" width="2.7109375" style="2" customWidth="1"/>
    <col min="56" max="56" width="2.5703125" style="2" customWidth="1"/>
    <col min="57" max="57" width="2.7109375" style="2" customWidth="1"/>
    <col min="58" max="59" width="2.5703125" style="2" customWidth="1"/>
    <col min="60" max="60" width="2.7109375" style="2" customWidth="1"/>
    <col min="61" max="61" width="2.5703125" style="2" customWidth="1"/>
    <col min="62" max="62" width="2.7109375" style="2" customWidth="1"/>
    <col min="63" max="64" width="2.5703125" style="2" customWidth="1"/>
    <col min="65" max="65" width="2.7109375" style="2" customWidth="1"/>
    <col min="66" max="66" width="2.5703125" style="2" customWidth="1"/>
    <col min="67" max="67" width="2.7109375" style="2" customWidth="1"/>
    <col min="68" max="69" width="2.5703125" style="2" customWidth="1"/>
    <col min="70" max="70" width="2.7109375" style="2" customWidth="1"/>
    <col min="71" max="71" width="2.5703125" style="2" customWidth="1"/>
    <col min="72" max="72" width="2.7109375" style="2" customWidth="1"/>
    <col min="73" max="74" width="2.5703125" style="2" customWidth="1"/>
    <col min="75" max="75" width="2.7109375" style="2" customWidth="1"/>
    <col min="76" max="76" width="2.5703125" style="2" customWidth="1"/>
    <col min="77" max="77" width="2.7109375" style="2" customWidth="1"/>
    <col min="78" max="79" width="2.5703125" style="2" customWidth="1"/>
    <col min="80" max="80" width="2.7109375" style="2" customWidth="1"/>
    <col min="81" max="81" width="2.5703125" style="2" customWidth="1"/>
    <col min="82" max="82" width="2.7109375" style="2" customWidth="1"/>
    <col min="83" max="83" width="2.5703125" style="2" customWidth="1"/>
    <col min="84" max="16384" width="9.140625" style="2"/>
  </cols>
  <sheetData>
    <row r="1" spans="1:33" ht="15.75">
      <c r="B1" s="2185">
        <f>FirmaNaziv</f>
        <v>0</v>
      </c>
      <c r="C1" s="2185"/>
      <c r="D1" s="2185"/>
      <c r="E1" s="2185"/>
      <c r="F1" s="2185"/>
      <c r="G1" s="2185"/>
      <c r="H1" s="2185"/>
      <c r="I1" s="2185"/>
      <c r="J1" s="2185"/>
      <c r="K1" s="2185"/>
      <c r="L1" s="2185"/>
      <c r="M1" s="2185"/>
      <c r="N1" s="2185"/>
      <c r="O1" s="2185"/>
      <c r="P1" s="2185"/>
      <c r="Q1" s="2185"/>
      <c r="AD1" s="6" t="s">
        <v>695</v>
      </c>
    </row>
    <row r="2" spans="1:33" ht="15.75">
      <c r="B2" s="2182" t="s">
        <v>1451</v>
      </c>
      <c r="C2" s="2182"/>
      <c r="D2" s="2182"/>
      <c r="E2" s="2182"/>
      <c r="F2" s="2182"/>
      <c r="G2" s="2182"/>
      <c r="H2" s="2182"/>
      <c r="I2" s="2182"/>
      <c r="J2" s="2182"/>
      <c r="K2" s="2182"/>
      <c r="L2" s="2182"/>
      <c r="M2" s="2182"/>
      <c r="N2" s="2182"/>
      <c r="O2" s="2182"/>
      <c r="P2" s="2182"/>
      <c r="Q2" s="2182"/>
      <c r="S2" s="7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33">
      <c r="B3" s="2186" t="s">
        <v>2264</v>
      </c>
      <c r="C3" s="1912"/>
      <c r="D3" s="1912"/>
      <c r="E3" s="1912"/>
      <c r="F3" s="1912"/>
      <c r="G3" s="1912"/>
      <c r="H3" s="1912"/>
      <c r="I3" s="1912"/>
      <c r="J3" s="1912"/>
      <c r="K3" s="1912"/>
      <c r="L3" s="1912"/>
      <c r="M3" s="1912"/>
      <c r="N3" s="1912"/>
      <c r="O3" s="1912"/>
      <c r="P3" s="1912"/>
      <c r="S3" s="7"/>
      <c r="T3" s="7"/>
      <c r="U3" s="7"/>
      <c r="V3" s="2012"/>
      <c r="W3" s="2012"/>
      <c r="X3" s="2012"/>
      <c r="Y3" s="2012"/>
      <c r="Z3" s="2012"/>
      <c r="AA3" s="2012"/>
      <c r="AB3" s="2012"/>
      <c r="AC3" s="2012"/>
      <c r="AD3" s="7"/>
      <c r="AE3" s="7"/>
      <c r="AF3" s="7"/>
    </row>
    <row r="4" spans="1:33" s="25" customFormat="1" ht="19.5" customHeight="1">
      <c r="C4" s="354" t="str">
        <f>MID(FirmaID,1,1)</f>
        <v/>
      </c>
      <c r="D4" s="354" t="str">
        <f>MID(FirmaID,2,1)</f>
        <v/>
      </c>
      <c r="E4" s="354" t="str">
        <f>MID(FirmaID,3,1)</f>
        <v/>
      </c>
      <c r="F4" s="354" t="str">
        <f>MID(FirmaID,4,1)</f>
        <v/>
      </c>
      <c r="G4" s="354" t="str">
        <f>MID(FirmaID,5,1)</f>
        <v/>
      </c>
      <c r="H4" s="354" t="str">
        <f>MID(FirmaID,6,1)</f>
        <v/>
      </c>
      <c r="I4" s="354" t="str">
        <f>MID(FirmaID,7,1)</f>
        <v/>
      </c>
      <c r="J4" s="354" t="str">
        <f>MID(FirmaID,8,1)</f>
        <v/>
      </c>
      <c r="K4" s="354" t="str">
        <f>MID(FirmaID,9,1)</f>
        <v/>
      </c>
      <c r="L4" s="354" t="str">
        <f>MID(FirmaID,10,1)</f>
        <v/>
      </c>
      <c r="M4" s="354" t="str">
        <f>MID(FirmaID,11,1)</f>
        <v/>
      </c>
      <c r="N4" s="354" t="str">
        <f>MID(FirmaID,12,1)</f>
        <v/>
      </c>
      <c r="O4" s="354" t="str">
        <f>MID(FirmaID,13,1)</f>
        <v/>
      </c>
    </row>
    <row r="5" spans="1:33">
      <c r="V5" s="2188"/>
      <c r="W5" s="2188"/>
      <c r="X5" s="2188"/>
      <c r="Y5" s="2188"/>
      <c r="Z5" s="2188"/>
      <c r="AA5" s="2188"/>
      <c r="AB5" s="2188"/>
      <c r="AC5" s="2188"/>
      <c r="AD5" s="34"/>
    </row>
    <row r="6" spans="1:33" ht="14.25">
      <c r="A6" s="7"/>
      <c r="B6" s="2187" t="str">
        <f>FirmaSjediste &amp; "    " &amp; FirmaAdresa</f>
        <v xml:space="preserve">    </v>
      </c>
      <c r="C6" s="2187"/>
      <c r="D6" s="2187"/>
      <c r="E6" s="2187"/>
      <c r="F6" s="2187"/>
      <c r="G6" s="2187"/>
      <c r="H6" s="2187"/>
      <c r="I6" s="2187"/>
      <c r="J6" s="2187"/>
      <c r="K6" s="2187"/>
      <c r="L6" s="2187"/>
      <c r="M6" s="2187"/>
      <c r="N6" s="2187"/>
      <c r="O6" s="2187"/>
      <c r="P6" s="2187"/>
      <c r="W6" s="7"/>
      <c r="X6" s="7"/>
      <c r="Y6" s="7"/>
      <c r="Z6" s="7"/>
      <c r="AA6" s="7"/>
      <c r="AB6" s="7"/>
      <c r="AC6" s="7"/>
    </row>
    <row r="7" spans="1:33" ht="15" customHeight="1">
      <c r="B7" s="2182" t="s">
        <v>1031</v>
      </c>
      <c r="C7" s="2182"/>
      <c r="D7" s="2182"/>
      <c r="E7" s="2182"/>
      <c r="F7" s="2182"/>
      <c r="G7" s="2182"/>
      <c r="H7" s="2182"/>
      <c r="I7" s="2182"/>
      <c r="J7" s="2182"/>
      <c r="K7" s="2182"/>
      <c r="L7" s="2182"/>
      <c r="M7" s="2182"/>
      <c r="N7" s="2182"/>
      <c r="O7" s="2182"/>
      <c r="P7" s="2182"/>
      <c r="Q7" s="7"/>
      <c r="R7" s="7"/>
      <c r="S7" s="7"/>
      <c r="W7" s="7"/>
      <c r="X7" s="455" t="str">
        <f>MID(FirmaPTT,1,1)</f>
        <v/>
      </c>
      <c r="Y7" s="455" t="str">
        <f>MID(FirmaPTT,2,1)</f>
        <v/>
      </c>
      <c r="Z7" s="455" t="str">
        <f>MID(FirmaPTT,3,1)</f>
        <v/>
      </c>
      <c r="AA7" s="455" t="str">
        <f>MID(FirmaPTT,4,1)</f>
        <v/>
      </c>
      <c r="AB7" s="455" t="str">
        <f>MID(FirmaPTT,5,1)</f>
        <v/>
      </c>
      <c r="AC7" s="7"/>
    </row>
    <row r="8" spans="1:33" ht="15" customHeight="1">
      <c r="Q8" s="7"/>
      <c r="R8" s="7"/>
      <c r="S8" s="7"/>
      <c r="W8" s="7"/>
      <c r="X8" s="2182" t="s">
        <v>1358</v>
      </c>
      <c r="Y8" s="2182"/>
      <c r="Z8" s="2182"/>
      <c r="AA8" s="2182"/>
      <c r="AB8" s="2182"/>
      <c r="AC8" s="35"/>
    </row>
    <row r="9" spans="1:33" ht="15">
      <c r="A9" s="7"/>
      <c r="B9" s="306">
        <f>FirmaDjeNaziv</f>
        <v>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7"/>
      <c r="R9" s="7"/>
      <c r="T9" s="7"/>
      <c r="W9" s="7"/>
      <c r="X9" s="455" t="str">
        <f>MID(FirmaDjeSifra,1,1)</f>
        <v/>
      </c>
      <c r="Y9" s="455" t="str">
        <f>MID(FirmaDjeSifra,2,1)</f>
        <v/>
      </c>
      <c r="Z9" s="455" t="str">
        <f>MID(FirmaDjeSifra,3,1)</f>
        <v/>
      </c>
      <c r="AA9" s="455" t="str">
        <f>MID(FirmaDjeSifra,4,1)</f>
        <v/>
      </c>
      <c r="AB9" s="455" t="str">
        <f>MID(FirmaDjeSifra,5,1)</f>
        <v/>
      </c>
      <c r="AC9" s="7"/>
    </row>
    <row r="10" spans="1:33" ht="14.25" customHeight="1">
      <c r="A10" s="7"/>
      <c r="B10" s="2182" t="s">
        <v>1032</v>
      </c>
      <c r="C10" s="2182"/>
      <c r="D10" s="2182"/>
      <c r="E10" s="2182"/>
      <c r="F10" s="2182"/>
      <c r="G10" s="2182"/>
      <c r="H10" s="2182"/>
      <c r="I10" s="2182"/>
      <c r="J10" s="2182"/>
      <c r="K10" s="2182"/>
      <c r="L10" s="2182"/>
      <c r="M10" s="2182"/>
      <c r="N10" s="2182"/>
      <c r="O10" s="2182"/>
      <c r="P10" s="2182"/>
      <c r="Q10" s="7"/>
      <c r="R10" s="7"/>
      <c r="T10" s="7"/>
      <c r="W10" s="7"/>
      <c r="X10" s="2182" t="s">
        <v>1148</v>
      </c>
      <c r="Y10" s="2182"/>
      <c r="Z10" s="2182"/>
      <c r="AA10" s="2182"/>
      <c r="AB10" s="2182"/>
      <c r="AC10" s="7"/>
    </row>
    <row r="13" spans="1:33" ht="18.75">
      <c r="A13" s="2189" t="s">
        <v>1034</v>
      </c>
      <c r="B13" s="2189"/>
      <c r="C13" s="2189"/>
      <c r="D13" s="2189"/>
      <c r="E13" s="2189"/>
      <c r="F13" s="2189"/>
      <c r="G13" s="2189"/>
      <c r="H13" s="2189"/>
      <c r="I13" s="2189"/>
      <c r="J13" s="2189"/>
      <c r="K13" s="2189"/>
      <c r="L13" s="2189"/>
      <c r="M13" s="2189"/>
      <c r="N13" s="2189"/>
      <c r="O13" s="2189"/>
      <c r="P13" s="2189"/>
      <c r="Q13" s="2189"/>
      <c r="R13" s="2189"/>
      <c r="S13" s="2189"/>
      <c r="T13" s="2189"/>
      <c r="U13" s="2189"/>
      <c r="V13" s="2189"/>
      <c r="W13" s="2189"/>
      <c r="X13" s="2189"/>
      <c r="Y13" s="2189"/>
      <c r="Z13" s="2189"/>
      <c r="AA13" s="2189"/>
      <c r="AB13" s="2189"/>
      <c r="AC13" s="2189"/>
      <c r="AD13" s="2189"/>
      <c r="AE13" s="2189"/>
      <c r="AF13" s="2189"/>
      <c r="AG13" s="2189"/>
    </row>
    <row r="14" spans="1:33" ht="15.75">
      <c r="A14" s="2190" t="s">
        <v>1033</v>
      </c>
      <c r="B14" s="2190"/>
      <c r="C14" s="2190"/>
      <c r="D14" s="2190"/>
      <c r="E14" s="2190"/>
      <c r="F14" s="2190"/>
      <c r="G14" s="2190"/>
      <c r="H14" s="2190"/>
      <c r="I14" s="2190"/>
      <c r="J14" s="2190"/>
      <c r="K14" s="2190"/>
      <c r="L14" s="2190"/>
      <c r="M14" s="2190"/>
      <c r="N14" s="2190"/>
      <c r="O14" s="2190"/>
      <c r="P14" s="2190"/>
      <c r="Q14" s="2190"/>
      <c r="R14" s="2190"/>
      <c r="S14" s="2190"/>
      <c r="T14" s="2190"/>
      <c r="U14" s="2190"/>
      <c r="V14" s="2190"/>
      <c r="W14" s="2190"/>
      <c r="X14" s="2190"/>
      <c r="Y14" s="2190"/>
      <c r="Z14" s="2190"/>
      <c r="AA14" s="2190"/>
      <c r="AB14" s="2190"/>
      <c r="AC14" s="2190"/>
      <c r="AD14" s="2190"/>
      <c r="AE14" s="2190"/>
      <c r="AF14" s="2190"/>
      <c r="AG14" s="2190"/>
    </row>
    <row r="15" spans="1:33">
      <c r="M15" s="6" t="s">
        <v>1035</v>
      </c>
      <c r="N15" s="1902" t="str">
        <f>ObracunOdDatuma &amp; "  do  " &amp; ObracunDoDatuma &amp; ObracunGodina</f>
        <v>1.1.  do  31.12.2011</v>
      </c>
      <c r="O15" s="1902"/>
      <c r="P15" s="1902"/>
      <c r="Q15" s="1902"/>
      <c r="R15" s="1902"/>
      <c r="S15" s="1902"/>
      <c r="T15" s="1902"/>
      <c r="U15" s="1902"/>
      <c r="V15" s="3" t="s">
        <v>2268</v>
      </c>
    </row>
    <row r="17" spans="1:33" ht="32.25" customHeight="1">
      <c r="A17" s="1890" t="s">
        <v>2265</v>
      </c>
      <c r="B17" s="1890"/>
      <c r="C17" s="1890" t="s">
        <v>1037</v>
      </c>
      <c r="D17" s="1890"/>
      <c r="E17" s="1890"/>
      <c r="F17" s="1890"/>
      <c r="G17" s="1890"/>
      <c r="H17" s="1890"/>
      <c r="I17" s="1890"/>
      <c r="J17" s="1890"/>
      <c r="K17" s="1890"/>
      <c r="L17" s="1890"/>
      <c r="M17" s="1890"/>
      <c r="N17" s="1890"/>
      <c r="O17" s="1890"/>
      <c r="P17" s="1890"/>
      <c r="Q17" s="1890"/>
      <c r="R17" s="1890"/>
      <c r="S17" s="1890"/>
      <c r="T17" s="1890"/>
      <c r="U17" s="1890"/>
      <c r="V17" s="1890"/>
      <c r="W17" s="1890"/>
      <c r="X17" s="1890" t="s">
        <v>1038</v>
      </c>
      <c r="Y17" s="1890"/>
      <c r="Z17" s="1890"/>
      <c r="AA17" s="1890" t="s">
        <v>1181</v>
      </c>
      <c r="AB17" s="1890"/>
      <c r="AC17" s="1890"/>
      <c r="AD17" s="1890"/>
      <c r="AE17" s="1890"/>
      <c r="AF17" s="1890"/>
      <c r="AG17" s="1890"/>
    </row>
    <row r="18" spans="1:33">
      <c r="A18" s="1939">
        <v>0</v>
      </c>
      <c r="B18" s="1939"/>
      <c r="C18" s="1939">
        <v>1</v>
      </c>
      <c r="D18" s="1939"/>
      <c r="E18" s="1939"/>
      <c r="F18" s="1939"/>
      <c r="G18" s="1939"/>
      <c r="H18" s="1939"/>
      <c r="I18" s="1939"/>
      <c r="J18" s="1939"/>
      <c r="K18" s="1939"/>
      <c r="L18" s="1939"/>
      <c r="M18" s="1939"/>
      <c r="N18" s="1939"/>
      <c r="O18" s="1939"/>
      <c r="P18" s="1939"/>
      <c r="Q18" s="1939"/>
      <c r="R18" s="1939"/>
      <c r="S18" s="1939"/>
      <c r="T18" s="1939"/>
      <c r="U18" s="1939"/>
      <c r="V18" s="1939"/>
      <c r="W18" s="1939"/>
      <c r="X18" s="1890">
        <v>2</v>
      </c>
      <c r="Y18" s="1890"/>
      <c r="Z18" s="1890"/>
      <c r="AA18" s="1939">
        <v>3</v>
      </c>
      <c r="AB18" s="1939"/>
      <c r="AC18" s="1939"/>
      <c r="AD18" s="1939"/>
      <c r="AE18" s="1939"/>
      <c r="AF18" s="1939"/>
      <c r="AG18" s="1939"/>
    </row>
    <row r="19" spans="1:33" ht="22.5" customHeight="1">
      <c r="A19" s="1939">
        <v>1</v>
      </c>
      <c r="B19" s="1939"/>
      <c r="C19" s="2180" t="s">
        <v>151</v>
      </c>
      <c r="D19" s="2180"/>
      <c r="E19" s="2180"/>
      <c r="F19" s="2180"/>
      <c r="G19" s="2180"/>
      <c r="H19" s="2180"/>
      <c r="I19" s="2180"/>
      <c r="J19" s="2180"/>
      <c r="K19" s="2180"/>
      <c r="L19" s="2180"/>
      <c r="M19" s="2180"/>
      <c r="N19" s="2180"/>
      <c r="O19" s="2180"/>
      <c r="P19" s="2180"/>
      <c r="Q19" s="2180"/>
      <c r="R19" s="2180"/>
      <c r="S19" s="2180"/>
      <c r="T19" s="2180"/>
      <c r="U19" s="2180"/>
      <c r="V19" s="2180"/>
      <c r="W19" s="2180"/>
      <c r="X19" s="1869" t="s">
        <v>2385</v>
      </c>
      <c r="Y19" s="1869"/>
      <c r="Z19" s="1869"/>
      <c r="AA19" s="2183">
        <f>UNOS1!E7</f>
        <v>0</v>
      </c>
      <c r="AB19" s="2183"/>
      <c r="AC19" s="2183"/>
      <c r="AD19" s="2183"/>
      <c r="AE19" s="2183"/>
      <c r="AF19" s="2183"/>
      <c r="AG19" s="2183"/>
    </row>
    <row r="20" spans="1:33" ht="16.5" customHeight="1">
      <c r="A20" s="1939">
        <v>2</v>
      </c>
      <c r="B20" s="1939"/>
      <c r="C20" s="1943" t="s">
        <v>152</v>
      </c>
      <c r="D20" s="1943"/>
      <c r="E20" s="1943"/>
      <c r="F20" s="1943"/>
      <c r="G20" s="1943"/>
      <c r="H20" s="1943"/>
      <c r="I20" s="1943"/>
      <c r="J20" s="1943"/>
      <c r="K20" s="1943"/>
      <c r="L20" s="1943"/>
      <c r="M20" s="1943"/>
      <c r="N20" s="1943"/>
      <c r="O20" s="1943"/>
      <c r="P20" s="1943"/>
      <c r="Q20" s="1943"/>
      <c r="R20" s="1943"/>
      <c r="S20" s="1943"/>
      <c r="T20" s="1943"/>
      <c r="U20" s="1943"/>
      <c r="V20" s="1943"/>
      <c r="W20" s="1943"/>
      <c r="X20" s="1869" t="s">
        <v>2386</v>
      </c>
      <c r="Y20" s="1869"/>
      <c r="Z20" s="1869"/>
      <c r="AA20" s="2184">
        <f>UNOS1!E8</f>
        <v>5.0000000000000001E-4</v>
      </c>
      <c r="AB20" s="2184"/>
      <c r="AC20" s="2184"/>
      <c r="AD20" s="2184"/>
      <c r="AE20" s="2184"/>
      <c r="AF20" s="2184"/>
      <c r="AG20" s="2184"/>
    </row>
    <row r="21" spans="1:33" ht="29.25" customHeight="1">
      <c r="A21" s="1939">
        <v>3</v>
      </c>
      <c r="B21" s="1939"/>
      <c r="C21" s="2180" t="s">
        <v>698</v>
      </c>
      <c r="D21" s="2180"/>
      <c r="E21" s="2180"/>
      <c r="F21" s="2180"/>
      <c r="G21" s="2180"/>
      <c r="H21" s="2180"/>
      <c r="I21" s="2180"/>
      <c r="J21" s="2180"/>
      <c r="K21" s="2180"/>
      <c r="L21" s="2180"/>
      <c r="M21" s="2180"/>
      <c r="N21" s="2180"/>
      <c r="O21" s="2180"/>
      <c r="P21" s="2180"/>
      <c r="Q21" s="2180"/>
      <c r="R21" s="2180"/>
      <c r="S21" s="2180"/>
      <c r="T21" s="2180"/>
      <c r="U21" s="2180"/>
      <c r="V21" s="2180"/>
      <c r="W21" s="2180"/>
      <c r="X21" s="1869" t="s">
        <v>1025</v>
      </c>
      <c r="Y21" s="1869"/>
      <c r="Z21" s="1869"/>
      <c r="AA21" s="2183">
        <f>UNOS1!E9</f>
        <v>0</v>
      </c>
      <c r="AB21" s="2183"/>
      <c r="AC21" s="2183"/>
      <c r="AD21" s="2183"/>
      <c r="AE21" s="2183"/>
      <c r="AF21" s="2183"/>
      <c r="AG21" s="2183"/>
    </row>
    <row r="22" spans="1:33" ht="19.5" customHeight="1">
      <c r="A22" s="1939">
        <v>4</v>
      </c>
      <c r="B22" s="1939"/>
      <c r="C22" s="1943" t="s">
        <v>1026</v>
      </c>
      <c r="D22" s="1943"/>
      <c r="E22" s="1943"/>
      <c r="F22" s="1943"/>
      <c r="G22" s="1943"/>
      <c r="H22" s="1943"/>
      <c r="I22" s="1943"/>
      <c r="J22" s="1943"/>
      <c r="K22" s="1943"/>
      <c r="L22" s="1943"/>
      <c r="M22" s="1943"/>
      <c r="N22" s="1943"/>
      <c r="O22" s="1943"/>
      <c r="P22" s="1943"/>
      <c r="Q22" s="1943"/>
      <c r="R22" s="1943"/>
      <c r="S22" s="1943"/>
      <c r="T22" s="1943"/>
      <c r="U22" s="1943"/>
      <c r="V22" s="1943"/>
      <c r="W22" s="1943"/>
      <c r="X22" s="1869" t="s">
        <v>1027</v>
      </c>
      <c r="Y22" s="1869"/>
      <c r="Z22" s="1869"/>
      <c r="AA22" s="2183">
        <f>UNOS1!E10</f>
        <v>0</v>
      </c>
      <c r="AB22" s="2183"/>
      <c r="AC22" s="2183"/>
      <c r="AD22" s="2183"/>
      <c r="AE22" s="2183"/>
      <c r="AF22" s="2183"/>
      <c r="AG22" s="2183"/>
    </row>
    <row r="23" spans="1:33" ht="30" customHeight="1">
      <c r="A23" s="1939">
        <v>5</v>
      </c>
      <c r="B23" s="1939"/>
      <c r="C23" s="2180" t="s">
        <v>1028</v>
      </c>
      <c r="D23" s="2180"/>
      <c r="E23" s="2180"/>
      <c r="F23" s="2180"/>
      <c r="G23" s="2180"/>
      <c r="H23" s="2180"/>
      <c r="I23" s="2180"/>
      <c r="J23" s="2180"/>
      <c r="K23" s="2180"/>
      <c r="L23" s="2180"/>
      <c r="M23" s="2180"/>
      <c r="N23" s="2180"/>
      <c r="O23" s="2180"/>
      <c r="P23" s="2180"/>
      <c r="Q23" s="2180"/>
      <c r="R23" s="2180"/>
      <c r="S23" s="2180"/>
      <c r="T23" s="2180"/>
      <c r="U23" s="2180"/>
      <c r="V23" s="2180"/>
      <c r="W23" s="2180"/>
      <c r="X23" s="1869" t="s">
        <v>1029</v>
      </c>
      <c r="Y23" s="1869"/>
      <c r="Z23" s="1869"/>
      <c r="AA23" s="2183">
        <f>IF(AA21-AA22&lt;0,0,AA21-AA22)</f>
        <v>0</v>
      </c>
      <c r="AB23" s="2183"/>
      <c r="AC23" s="2183"/>
      <c r="AD23" s="2183"/>
      <c r="AE23" s="2183"/>
      <c r="AF23" s="2183"/>
      <c r="AG23" s="2183"/>
    </row>
    <row r="24" spans="1:33" ht="31.5" customHeight="1">
      <c r="A24" s="1939">
        <v>6</v>
      </c>
      <c r="B24" s="1939"/>
      <c r="C24" s="2180" t="s">
        <v>1030</v>
      </c>
      <c r="D24" s="2180"/>
      <c r="E24" s="2180"/>
      <c r="F24" s="2180"/>
      <c r="G24" s="2180"/>
      <c r="H24" s="2180"/>
      <c r="I24" s="2180"/>
      <c r="J24" s="2180"/>
      <c r="K24" s="2180"/>
      <c r="L24" s="2180"/>
      <c r="M24" s="2180"/>
      <c r="N24" s="2180"/>
      <c r="O24" s="2180"/>
      <c r="P24" s="2180"/>
      <c r="Q24" s="2180"/>
      <c r="R24" s="2180"/>
      <c r="S24" s="2180"/>
      <c r="T24" s="2180"/>
      <c r="U24" s="2180"/>
      <c r="V24" s="2180"/>
      <c r="W24" s="2180"/>
      <c r="X24" s="1869" t="s">
        <v>437</v>
      </c>
      <c r="Y24" s="1869"/>
      <c r="Z24" s="1869"/>
      <c r="AA24" s="2183">
        <f>IF(AA22-AA21&lt;0,0,AA22-AA21)</f>
        <v>0</v>
      </c>
      <c r="AB24" s="2183"/>
      <c r="AC24" s="2183"/>
      <c r="AD24" s="2183"/>
      <c r="AE24" s="2183"/>
      <c r="AF24" s="2183"/>
      <c r="AG24" s="2183"/>
    </row>
    <row r="26" spans="1:33">
      <c r="C26" s="2181" t="str">
        <f>FirmaSjediste &amp; ", " &amp; ObracunPredaja &amp; " godine"</f>
        <v>, 28.2.2012. godine</v>
      </c>
      <c r="D26" s="2181"/>
      <c r="E26" s="2181"/>
      <c r="F26" s="2181"/>
      <c r="G26" s="2181"/>
      <c r="H26" s="2181"/>
      <c r="I26" s="2181"/>
      <c r="J26" s="2181"/>
      <c r="K26" s="2181"/>
      <c r="L26" s="2181"/>
    </row>
    <row r="27" spans="1:33">
      <c r="X27" s="1938">
        <f>FirmaDirekor</f>
        <v>0</v>
      </c>
      <c r="Y27" s="1938"/>
      <c r="Z27" s="1938"/>
      <c r="AA27" s="1938"/>
      <c r="AB27" s="1938"/>
      <c r="AC27" s="1938"/>
      <c r="AD27" s="1938"/>
      <c r="AE27" s="1938"/>
      <c r="AF27" s="1938"/>
    </row>
    <row r="28" spans="1:33">
      <c r="C28" s="1938">
        <f>RacunovodjaIme</f>
        <v>0</v>
      </c>
      <c r="D28" s="1938"/>
      <c r="E28" s="1938"/>
      <c r="F28" s="1938"/>
      <c r="G28" s="1938"/>
      <c r="H28" s="1938"/>
      <c r="I28" s="1938"/>
      <c r="J28" s="1938"/>
      <c r="K28" s="1938"/>
      <c r="L28" s="1938"/>
      <c r="X28" s="2014"/>
      <c r="Y28" s="2014"/>
      <c r="Z28" s="2014"/>
      <c r="AA28" s="2014"/>
      <c r="AB28" s="2014"/>
      <c r="AC28" s="2014"/>
      <c r="AD28" s="2014"/>
      <c r="AE28" s="2014"/>
      <c r="AF28" s="2014"/>
    </row>
    <row r="29" spans="1:33" ht="15.75">
      <c r="C29" s="2014"/>
      <c r="D29" s="2014"/>
      <c r="E29" s="2014"/>
      <c r="F29" s="2014"/>
      <c r="G29" s="2014"/>
      <c r="H29" s="2014"/>
      <c r="I29" s="2014"/>
      <c r="J29" s="2014"/>
      <c r="K29" s="2014"/>
      <c r="L29" s="2014"/>
      <c r="S29" s="27" t="s">
        <v>686</v>
      </c>
      <c r="X29" s="2182" t="s">
        <v>149</v>
      </c>
      <c r="Y29" s="2182"/>
      <c r="Z29" s="2182"/>
      <c r="AA29" s="2182"/>
      <c r="AB29" s="2182"/>
      <c r="AC29" s="2182"/>
      <c r="AD29" s="2182"/>
      <c r="AE29" s="2182"/>
      <c r="AF29" s="2182"/>
    </row>
    <row r="30" spans="1:33" ht="15.75">
      <c r="C30" s="2182" t="s">
        <v>1619</v>
      </c>
      <c r="D30" s="2182"/>
      <c r="E30" s="2182"/>
      <c r="F30" s="2182"/>
      <c r="G30" s="2182"/>
      <c r="H30" s="2182"/>
      <c r="I30" s="2182"/>
      <c r="J30" s="2182"/>
      <c r="K30" s="2182"/>
      <c r="L30" s="2182"/>
    </row>
    <row r="31" spans="1:33" ht="12.75" customHeight="1">
      <c r="X31" s="2180" t="s">
        <v>853</v>
      </c>
      <c r="Y31" s="2180"/>
      <c r="Z31" s="2180"/>
      <c r="AA31" s="2180" t="s">
        <v>150</v>
      </c>
      <c r="AB31" s="2180"/>
      <c r="AC31" s="2180"/>
      <c r="AD31" s="2180"/>
      <c r="AE31" s="2180"/>
      <c r="AF31" s="2180"/>
    </row>
    <row r="32" spans="1:33">
      <c r="X32" s="2180"/>
      <c r="Y32" s="2180"/>
      <c r="Z32" s="2180"/>
      <c r="AA32" s="2180"/>
      <c r="AB32" s="2180"/>
      <c r="AC32" s="2180"/>
      <c r="AD32" s="2180"/>
      <c r="AE32" s="2180"/>
      <c r="AF32" s="2180"/>
    </row>
    <row r="33" spans="24:32">
      <c r="X33" s="2180"/>
      <c r="Y33" s="2180"/>
      <c r="Z33" s="2180"/>
      <c r="AA33" s="2180"/>
      <c r="AB33" s="2180"/>
      <c r="AC33" s="2180"/>
      <c r="AD33" s="2180"/>
      <c r="AE33" s="2180"/>
      <c r="AF33" s="2180"/>
    </row>
    <row r="34" spans="24:32">
      <c r="X34" s="2180"/>
      <c r="Y34" s="2180"/>
      <c r="Z34" s="2180"/>
      <c r="AA34" s="2180"/>
      <c r="AB34" s="2180"/>
      <c r="AC34" s="2180"/>
      <c r="AD34" s="2180"/>
      <c r="AE34" s="2180"/>
      <c r="AF34" s="2180"/>
    </row>
  </sheetData>
  <mergeCells count="52">
    <mergeCell ref="A18:B18"/>
    <mergeCell ref="N15:U15"/>
    <mergeCell ref="X8:AB8"/>
    <mergeCell ref="X10:AB10"/>
    <mergeCell ref="A14:AG14"/>
    <mergeCell ref="X18:Z18"/>
    <mergeCell ref="C18:W18"/>
    <mergeCell ref="B1:Q1"/>
    <mergeCell ref="B2:Q2"/>
    <mergeCell ref="B3:P3"/>
    <mergeCell ref="A17:B17"/>
    <mergeCell ref="X17:Z17"/>
    <mergeCell ref="B6:P6"/>
    <mergeCell ref="B7:P7"/>
    <mergeCell ref="B10:P10"/>
    <mergeCell ref="V3:AC3"/>
    <mergeCell ref="V5:AC5"/>
    <mergeCell ref="C17:W17"/>
    <mergeCell ref="A13:AG13"/>
    <mergeCell ref="A19:B19"/>
    <mergeCell ref="A20:B20"/>
    <mergeCell ref="A21:B21"/>
    <mergeCell ref="A22:B22"/>
    <mergeCell ref="C28:L29"/>
    <mergeCell ref="A24:B24"/>
    <mergeCell ref="C24:W24"/>
    <mergeCell ref="C22:W22"/>
    <mergeCell ref="A23:B23"/>
    <mergeCell ref="C19:W19"/>
    <mergeCell ref="C20:W20"/>
    <mergeCell ref="C21:W21"/>
    <mergeCell ref="X19:Z19"/>
    <mergeCell ref="X21:Z21"/>
    <mergeCell ref="X20:Z20"/>
    <mergeCell ref="AA17:AG17"/>
    <mergeCell ref="AA18:AG18"/>
    <mergeCell ref="AA19:AG19"/>
    <mergeCell ref="AA20:AG20"/>
    <mergeCell ref="AA21:AG21"/>
    <mergeCell ref="AA22:AG22"/>
    <mergeCell ref="AA23:AG23"/>
    <mergeCell ref="AA24:AG24"/>
    <mergeCell ref="X27:AF28"/>
    <mergeCell ref="X29:AF29"/>
    <mergeCell ref="X22:Z22"/>
    <mergeCell ref="AA31:AF34"/>
    <mergeCell ref="X31:Z34"/>
    <mergeCell ref="X23:Z23"/>
    <mergeCell ref="X24:Z24"/>
    <mergeCell ref="C26:L26"/>
    <mergeCell ref="C30:L30"/>
    <mergeCell ref="C23:W2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indexed="52"/>
  </sheetPr>
  <dimension ref="A1:AG34"/>
  <sheetViews>
    <sheetView showGridLines="0" workbookViewId="0">
      <selection activeCell="R21" sqref="R21:Y21"/>
    </sheetView>
  </sheetViews>
  <sheetFormatPr defaultRowHeight="12.75"/>
  <cols>
    <col min="1" max="1" width="3" style="308" customWidth="1"/>
    <col min="2" max="2" width="2.42578125" style="308" customWidth="1"/>
    <col min="3" max="3" width="2.5703125" style="308" customWidth="1"/>
    <col min="4" max="4" width="2.7109375" style="308" customWidth="1"/>
    <col min="5" max="5" width="2.5703125" style="308" customWidth="1"/>
    <col min="6" max="6" width="2.7109375" style="308" customWidth="1"/>
    <col min="7" max="8" width="2.5703125" style="308" customWidth="1"/>
    <col min="9" max="9" width="2.7109375" style="308" customWidth="1"/>
    <col min="10" max="10" width="2.5703125" style="308" customWidth="1"/>
    <col min="11" max="11" width="2.7109375" style="308" customWidth="1"/>
    <col min="12" max="13" width="2.5703125" style="308" customWidth="1"/>
    <col min="14" max="14" width="2.7109375" style="308" customWidth="1"/>
    <col min="15" max="15" width="2.5703125" style="308" customWidth="1"/>
    <col min="16" max="16" width="2.7109375" style="308" customWidth="1"/>
    <col min="17" max="18" width="2.5703125" style="308" customWidth="1"/>
    <col min="19" max="19" width="2.7109375" style="308" customWidth="1"/>
    <col min="20" max="20" width="2.5703125" style="308" customWidth="1"/>
    <col min="21" max="21" width="2.7109375" style="308" customWidth="1"/>
    <col min="22" max="23" width="2.5703125" style="308" customWidth="1"/>
    <col min="24" max="24" width="2.7109375" style="308" customWidth="1"/>
    <col min="25" max="25" width="2.85546875" style="308" customWidth="1"/>
    <col min="26" max="26" width="3.42578125" style="308" customWidth="1"/>
    <col min="27" max="27" width="2.85546875" style="308" customWidth="1"/>
    <col min="28" max="28" width="3" style="308" customWidth="1"/>
    <col min="29" max="29" width="3.140625" style="308" customWidth="1"/>
    <col min="30" max="30" width="2.7109375" style="308" customWidth="1"/>
    <col min="31" max="31" width="2.85546875" style="308" customWidth="1"/>
    <col min="32" max="32" width="3.140625" style="308" customWidth="1"/>
    <col min="33" max="33" width="2.85546875" style="308" customWidth="1"/>
    <col min="34" max="34" width="3.7109375" style="308" customWidth="1"/>
    <col min="35" max="35" width="2.7109375" style="308" customWidth="1"/>
    <col min="36" max="36" width="2.5703125" style="308" customWidth="1"/>
    <col min="37" max="37" width="2.7109375" style="308" customWidth="1"/>
    <col min="38" max="39" width="2.5703125" style="308" customWidth="1"/>
    <col min="40" max="40" width="2.7109375" style="308" customWidth="1"/>
    <col min="41" max="41" width="2.5703125" style="308" customWidth="1"/>
    <col min="42" max="42" width="2.7109375" style="308" customWidth="1"/>
    <col min="43" max="44" width="2.5703125" style="308" customWidth="1"/>
    <col min="45" max="45" width="2.7109375" style="308" customWidth="1"/>
    <col min="46" max="46" width="2.5703125" style="308" customWidth="1"/>
    <col min="47" max="47" width="2.7109375" style="308" customWidth="1"/>
    <col min="48" max="49" width="2.5703125" style="308" customWidth="1"/>
    <col min="50" max="50" width="2.7109375" style="308" customWidth="1"/>
    <col min="51" max="51" width="2.5703125" style="308" customWidth="1"/>
    <col min="52" max="52" width="2.7109375" style="308" customWidth="1"/>
    <col min="53" max="54" width="2.5703125" style="308" customWidth="1"/>
    <col min="55" max="55" width="2.7109375" style="308" customWidth="1"/>
    <col min="56" max="56" width="2.5703125" style="308" customWidth="1"/>
    <col min="57" max="57" width="2.7109375" style="308" customWidth="1"/>
    <col min="58" max="59" width="2.5703125" style="308" customWidth="1"/>
    <col min="60" max="60" width="2.7109375" style="308" customWidth="1"/>
    <col min="61" max="61" width="2.5703125" style="308" customWidth="1"/>
    <col min="62" max="62" width="2.7109375" style="308" customWidth="1"/>
    <col min="63" max="64" width="2.5703125" style="308" customWidth="1"/>
    <col min="65" max="65" width="2.7109375" style="308" customWidth="1"/>
    <col min="66" max="66" width="2.5703125" style="308" customWidth="1"/>
    <col min="67" max="67" width="2.7109375" style="308" customWidth="1"/>
    <col min="68" max="69" width="2.5703125" style="308" customWidth="1"/>
    <col min="70" max="70" width="2.7109375" style="308" customWidth="1"/>
    <col min="71" max="71" width="2.5703125" style="308" customWidth="1"/>
    <col min="72" max="72" width="2.7109375" style="308" customWidth="1"/>
    <col min="73" max="74" width="2.5703125" style="308" customWidth="1"/>
    <col min="75" max="75" width="2.7109375" style="308" customWidth="1"/>
    <col min="76" max="76" width="2.5703125" style="308" customWidth="1"/>
    <col min="77" max="77" width="2.7109375" style="308" customWidth="1"/>
    <col min="78" max="79" width="2.5703125" style="308" customWidth="1"/>
    <col min="80" max="80" width="2.7109375" style="308" customWidth="1"/>
    <col min="81" max="81" width="2.5703125" style="308" customWidth="1"/>
    <col min="82" max="82" width="2.7109375" style="308" customWidth="1"/>
    <col min="83" max="83" width="2.5703125" style="308" customWidth="1"/>
    <col min="84" max="16384" width="9.140625" style="308"/>
  </cols>
  <sheetData>
    <row r="1" spans="1:32" ht="15.75">
      <c r="Y1" s="797"/>
      <c r="Z1" s="797"/>
      <c r="AA1" s="797"/>
      <c r="AB1" s="797"/>
      <c r="AC1" s="797"/>
      <c r="AD1" s="797"/>
      <c r="AE1" s="797"/>
    </row>
    <row r="2" spans="1:32" ht="18.75">
      <c r="P2" s="430" t="s">
        <v>947</v>
      </c>
    </row>
    <row r="3" spans="1:32" ht="18.75">
      <c r="H3" s="432"/>
      <c r="P3" s="431" t="s">
        <v>1777</v>
      </c>
    </row>
    <row r="4" spans="1:32" ht="15.75">
      <c r="H4" s="433"/>
      <c r="I4" s="433"/>
      <c r="J4" s="433"/>
      <c r="K4" s="433"/>
      <c r="P4" s="431" t="s">
        <v>1293</v>
      </c>
      <c r="W4" s="433"/>
      <c r="X4" s="433"/>
      <c r="Y4" s="433"/>
    </row>
    <row r="5" spans="1:32" s="432" customFormat="1" ht="18.75"/>
    <row r="6" spans="1:32" s="433" customFormat="1" ht="15.75">
      <c r="AB6" s="797" t="s">
        <v>691</v>
      </c>
    </row>
    <row r="7" spans="1:32" s="433" customFormat="1" ht="15.75"/>
    <row r="9" spans="1:32" ht="15.75">
      <c r="B9" s="2214">
        <f>FirmaNaziv</f>
        <v>0</v>
      </c>
      <c r="C9" s="2214"/>
      <c r="D9" s="2214"/>
      <c r="E9" s="2214"/>
      <c r="F9" s="2214"/>
      <c r="G9" s="2214"/>
      <c r="H9" s="2214"/>
      <c r="I9" s="2214"/>
      <c r="J9" s="2214"/>
      <c r="K9" s="2214"/>
      <c r="L9" s="2214"/>
      <c r="M9" s="2214"/>
      <c r="N9" s="2214"/>
      <c r="O9" s="2214"/>
      <c r="P9" s="2214"/>
      <c r="Q9" s="2214"/>
    </row>
    <row r="10" spans="1:32" ht="15.75">
      <c r="B10" s="2194" t="s">
        <v>692</v>
      </c>
      <c r="C10" s="2194"/>
      <c r="D10" s="2194"/>
      <c r="E10" s="2194"/>
      <c r="F10" s="2194"/>
      <c r="G10" s="2194"/>
      <c r="H10" s="2194"/>
      <c r="I10" s="2194"/>
      <c r="J10" s="2194"/>
      <c r="K10" s="2194"/>
      <c r="L10" s="2194"/>
      <c r="M10" s="2194"/>
      <c r="N10" s="2194"/>
      <c r="O10" s="2194"/>
      <c r="P10" s="2194"/>
      <c r="Q10" s="2194"/>
      <c r="S10" s="434"/>
      <c r="T10" s="435"/>
      <c r="U10" s="435"/>
      <c r="V10" s="435"/>
      <c r="W10" s="435"/>
      <c r="X10" s="436" t="str">
        <f>MID(FirmaPTT,1,1)</f>
        <v/>
      </c>
      <c r="Y10" s="436" t="str">
        <f>MID(FirmaPTT,2,1)</f>
        <v/>
      </c>
      <c r="Z10" s="436" t="str">
        <f>MID(FirmaPTT,3,1)</f>
        <v/>
      </c>
      <c r="AA10" s="436" t="str">
        <f>MID(FirmaPTT,4,1)</f>
        <v/>
      </c>
      <c r="AB10" s="436" t="str">
        <f>MID(FirmaPTT,5,1)</f>
        <v/>
      </c>
      <c r="AC10" s="435"/>
      <c r="AD10" s="435"/>
      <c r="AE10" s="435"/>
      <c r="AF10" s="435"/>
    </row>
    <row r="11" spans="1:32" ht="15.75">
      <c r="B11" s="2216">
        <f>FirmaID</f>
        <v>0</v>
      </c>
      <c r="C11" s="2216"/>
      <c r="D11" s="2216"/>
      <c r="E11" s="2216"/>
      <c r="F11" s="2216"/>
      <c r="G11" s="2216"/>
      <c r="H11" s="2216"/>
      <c r="I11" s="2216"/>
      <c r="J11" s="2216"/>
      <c r="K11" s="2216"/>
      <c r="L11" s="2216"/>
      <c r="M11" s="2216"/>
      <c r="N11" s="2216"/>
      <c r="O11" s="2216"/>
      <c r="P11" s="2216"/>
      <c r="Q11" s="2216"/>
      <c r="S11" s="434"/>
      <c r="T11" s="435"/>
      <c r="U11" s="435"/>
      <c r="V11" s="435"/>
      <c r="W11" s="435"/>
      <c r="X11" s="1892" t="s">
        <v>694</v>
      </c>
      <c r="Y11" s="1892"/>
      <c r="Z11" s="1892"/>
      <c r="AA11" s="1892"/>
      <c r="AB11" s="1892"/>
      <c r="AC11" s="435"/>
      <c r="AD11" s="435"/>
      <c r="AE11" s="435"/>
      <c r="AF11" s="435"/>
    </row>
    <row r="12" spans="1:32" ht="15.75" customHeight="1">
      <c r="B12" s="2215" t="s">
        <v>693</v>
      </c>
      <c r="C12" s="1892"/>
      <c r="D12" s="1892"/>
      <c r="E12" s="1892"/>
      <c r="F12" s="1892"/>
      <c r="G12" s="1892"/>
      <c r="H12" s="1892"/>
      <c r="I12" s="1892"/>
      <c r="J12" s="1892"/>
      <c r="K12" s="1892"/>
      <c r="L12" s="1892"/>
      <c r="M12" s="1892"/>
      <c r="N12" s="1892"/>
      <c r="O12" s="1892"/>
      <c r="P12" s="1892"/>
      <c r="S12" s="434"/>
      <c r="T12" s="434"/>
      <c r="U12" s="434"/>
      <c r="AD12" s="434"/>
      <c r="AE12" s="434"/>
      <c r="AF12" s="434"/>
    </row>
    <row r="13" spans="1:32">
      <c r="V13" s="2217"/>
      <c r="W13" s="2217"/>
      <c r="X13" s="2217"/>
      <c r="Y13" s="2217"/>
      <c r="Z13" s="2217"/>
      <c r="AA13" s="2217"/>
      <c r="AB13" s="2217"/>
      <c r="AC13" s="2217"/>
      <c r="AD13" s="437"/>
    </row>
    <row r="14" spans="1:32" ht="14.25">
      <c r="A14" s="434"/>
      <c r="B14" s="2218" t="str">
        <f>FirmaSjediste &amp; ",    " &amp; FirmaAdresa</f>
        <v xml:space="preserve">,    </v>
      </c>
      <c r="C14" s="2218"/>
      <c r="D14" s="2218"/>
      <c r="E14" s="2218"/>
      <c r="F14" s="2218"/>
      <c r="G14" s="2218"/>
      <c r="H14" s="2218"/>
      <c r="I14" s="2218"/>
      <c r="J14" s="2218"/>
      <c r="K14" s="2218"/>
      <c r="L14" s="2218"/>
      <c r="M14" s="2218"/>
      <c r="N14" s="2218"/>
      <c r="O14" s="2218"/>
      <c r="P14" s="2218"/>
      <c r="W14" s="434"/>
      <c r="X14" s="434"/>
      <c r="Y14" s="434"/>
      <c r="Z14" s="434"/>
      <c r="AA14" s="434"/>
      <c r="AB14" s="434"/>
      <c r="AC14" s="434"/>
    </row>
    <row r="15" spans="1:32" ht="15" customHeight="1">
      <c r="B15" s="2194" t="s">
        <v>1031</v>
      </c>
      <c r="C15" s="2194"/>
      <c r="D15" s="2194"/>
      <c r="E15" s="2194"/>
      <c r="F15" s="2194"/>
      <c r="G15" s="2194"/>
      <c r="H15" s="2194"/>
      <c r="I15" s="2194"/>
      <c r="J15" s="2194"/>
      <c r="K15" s="2194"/>
      <c r="L15" s="2194"/>
      <c r="M15" s="2194"/>
      <c r="N15" s="2194"/>
      <c r="O15" s="2194"/>
      <c r="P15" s="2194"/>
      <c r="Q15" s="434"/>
      <c r="R15" s="434"/>
      <c r="S15" s="434"/>
      <c r="W15" s="434"/>
      <c r="X15" s="435"/>
      <c r="Y15" s="435"/>
      <c r="Z15" s="435"/>
      <c r="AA15" s="435"/>
      <c r="AB15" s="435"/>
      <c r="AC15" s="434"/>
    </row>
    <row r="16" spans="1:32" ht="15" customHeight="1">
      <c r="Q16" s="434"/>
      <c r="R16" s="434"/>
      <c r="S16" s="434"/>
      <c r="W16" s="434"/>
      <c r="X16" s="2194"/>
      <c r="Y16" s="2194"/>
      <c r="Z16" s="2194"/>
      <c r="AA16" s="2194"/>
      <c r="AB16" s="2194"/>
      <c r="AC16" s="438"/>
    </row>
    <row r="17" spans="1:33">
      <c r="A17" s="434"/>
      <c r="B17" s="380">
        <f>FirmaDjeNaziv</f>
        <v>0</v>
      </c>
      <c r="C17" s="380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434"/>
      <c r="R17" s="434"/>
      <c r="T17" s="434"/>
      <c r="W17" s="434"/>
      <c r="AC17" s="434"/>
    </row>
    <row r="18" spans="1:33" ht="14.25" customHeight="1">
      <c r="A18" s="434"/>
      <c r="B18" s="2194" t="s">
        <v>1032</v>
      </c>
      <c r="C18" s="2194"/>
      <c r="D18" s="2194"/>
      <c r="E18" s="2194"/>
      <c r="F18" s="2194"/>
      <c r="G18" s="2194"/>
      <c r="H18" s="2194"/>
      <c r="I18" s="2194"/>
      <c r="J18" s="2194"/>
      <c r="K18" s="2194"/>
      <c r="L18" s="2194"/>
      <c r="M18" s="2194"/>
      <c r="N18" s="2194"/>
      <c r="O18" s="2194"/>
      <c r="P18" s="2194"/>
      <c r="Q18" s="434"/>
      <c r="R18" s="434"/>
      <c r="T18" s="434"/>
      <c r="W18" s="434"/>
      <c r="AC18" s="434"/>
    </row>
    <row r="21" spans="1:33" s="433" customFormat="1" ht="15.75">
      <c r="Q21" s="439" t="s">
        <v>1294</v>
      </c>
      <c r="R21" s="2208" t="str">
        <f>ObracunOdDatuma &amp; "  do  " &amp; ObracunDoDatuma &amp; ObracunGodina</f>
        <v>1.1.  do  31.12.2011</v>
      </c>
      <c r="S21" s="2208"/>
      <c r="T21" s="2208"/>
      <c r="U21" s="2208"/>
      <c r="V21" s="2208"/>
      <c r="W21" s="2208"/>
      <c r="X21" s="2208"/>
      <c r="Y21" s="2208"/>
      <c r="Z21" s="440" t="s">
        <v>2269</v>
      </c>
    </row>
    <row r="23" spans="1:33" s="433" customFormat="1" ht="56.25" customHeight="1">
      <c r="A23" s="2191" t="s">
        <v>2265</v>
      </c>
      <c r="B23" s="2191"/>
      <c r="C23" s="2191" t="s">
        <v>1037</v>
      </c>
      <c r="D23" s="2191"/>
      <c r="E23" s="2191"/>
      <c r="F23" s="2191"/>
      <c r="G23" s="2191"/>
      <c r="H23" s="2191"/>
      <c r="I23" s="2191"/>
      <c r="J23" s="2191"/>
      <c r="K23" s="2191"/>
      <c r="L23" s="2191"/>
      <c r="M23" s="2191"/>
      <c r="N23" s="2191"/>
      <c r="O23" s="2191"/>
      <c r="P23" s="2191"/>
      <c r="Q23" s="2191"/>
      <c r="R23" s="2191"/>
      <c r="S23" s="2191"/>
      <c r="T23" s="2191"/>
      <c r="U23" s="2191"/>
      <c r="V23" s="2191"/>
      <c r="W23" s="2191"/>
      <c r="X23" s="2191" t="s">
        <v>1038</v>
      </c>
      <c r="Y23" s="2191"/>
      <c r="Z23" s="2191"/>
      <c r="AA23" s="2191" t="s">
        <v>1017</v>
      </c>
      <c r="AB23" s="2191"/>
      <c r="AC23" s="2191"/>
      <c r="AD23" s="2191"/>
      <c r="AE23" s="2191"/>
      <c r="AF23" s="2191"/>
      <c r="AG23" s="2191"/>
    </row>
    <row r="24" spans="1:33">
      <c r="A24" s="1922">
        <v>1</v>
      </c>
      <c r="B24" s="1922"/>
      <c r="C24" s="1922">
        <v>2</v>
      </c>
      <c r="D24" s="1922"/>
      <c r="E24" s="1922"/>
      <c r="F24" s="1922"/>
      <c r="G24" s="1922"/>
      <c r="H24" s="1922"/>
      <c r="I24" s="1922"/>
      <c r="J24" s="1922"/>
      <c r="K24" s="1922"/>
      <c r="L24" s="1922"/>
      <c r="M24" s="1922"/>
      <c r="N24" s="1922"/>
      <c r="O24" s="1922"/>
      <c r="P24" s="1922"/>
      <c r="Q24" s="1922"/>
      <c r="R24" s="1922"/>
      <c r="S24" s="1922"/>
      <c r="T24" s="1922"/>
      <c r="U24" s="1922"/>
      <c r="V24" s="1922"/>
      <c r="W24" s="1922"/>
      <c r="X24" s="2209">
        <v>3</v>
      </c>
      <c r="Y24" s="2209"/>
      <c r="Z24" s="2209"/>
      <c r="AA24" s="1922">
        <v>4</v>
      </c>
      <c r="AB24" s="1922"/>
      <c r="AC24" s="1922"/>
      <c r="AD24" s="1922"/>
      <c r="AE24" s="1922"/>
      <c r="AF24" s="1922"/>
      <c r="AG24" s="1922"/>
    </row>
    <row r="25" spans="1:33" ht="25.5" customHeight="1">
      <c r="A25" s="2210">
        <v>1</v>
      </c>
      <c r="B25" s="2211"/>
      <c r="C25" s="2203" t="s">
        <v>1295</v>
      </c>
      <c r="D25" s="2204"/>
      <c r="E25" s="2204"/>
      <c r="F25" s="2204"/>
      <c r="G25" s="2204"/>
      <c r="H25" s="2204"/>
      <c r="I25" s="2204"/>
      <c r="J25" s="2204"/>
      <c r="K25" s="2204"/>
      <c r="L25" s="2204"/>
      <c r="M25" s="2204"/>
      <c r="N25" s="2204"/>
      <c r="O25" s="2204"/>
      <c r="P25" s="2204"/>
      <c r="Q25" s="2204"/>
      <c r="R25" s="2204"/>
      <c r="S25" s="2201"/>
      <c r="T25" s="2201"/>
      <c r="U25" s="2201"/>
      <c r="V25" s="2201"/>
      <c r="W25" s="2202"/>
      <c r="X25" s="1877" t="s">
        <v>286</v>
      </c>
      <c r="Y25" s="1877"/>
      <c r="Z25" s="1877"/>
      <c r="AA25" s="2192">
        <f>UNOS1!D35</f>
        <v>0</v>
      </c>
      <c r="AB25" s="2192"/>
      <c r="AC25" s="2192"/>
      <c r="AD25" s="2192"/>
      <c r="AE25" s="2192"/>
      <c r="AF25" s="2192"/>
      <c r="AG25" s="2192"/>
    </row>
    <row r="26" spans="1:33" ht="27.75" customHeight="1">
      <c r="A26" s="2212"/>
      <c r="B26" s="2213"/>
      <c r="C26" s="2205"/>
      <c r="D26" s="2206"/>
      <c r="E26" s="2206"/>
      <c r="F26" s="2206"/>
      <c r="G26" s="2206"/>
      <c r="H26" s="2206"/>
      <c r="I26" s="2206"/>
      <c r="J26" s="2206"/>
      <c r="K26" s="2206"/>
      <c r="L26" s="2206"/>
      <c r="M26" s="2206"/>
      <c r="N26" s="2206"/>
      <c r="O26" s="2206"/>
      <c r="P26" s="2206"/>
      <c r="Q26" s="2206"/>
      <c r="R26" s="2206"/>
      <c r="S26" s="2199"/>
      <c r="T26" s="2199"/>
      <c r="U26" s="2199"/>
      <c r="V26" s="2199"/>
      <c r="W26" s="2200"/>
      <c r="X26" s="1877" t="s">
        <v>287</v>
      </c>
      <c r="Y26" s="1877"/>
      <c r="Z26" s="1877"/>
      <c r="AA26" s="2192">
        <f>UNOS1!D36+UNOS1!D37</f>
        <v>0</v>
      </c>
      <c r="AB26" s="2192"/>
      <c r="AC26" s="2192"/>
      <c r="AD26" s="2192"/>
      <c r="AE26" s="2192"/>
      <c r="AF26" s="2192"/>
      <c r="AG26" s="2192"/>
    </row>
    <row r="27" spans="1:33" ht="29.25" customHeight="1">
      <c r="A27" s="1922">
        <v>2</v>
      </c>
      <c r="B27" s="1922"/>
      <c r="C27" s="2207" t="s">
        <v>1825</v>
      </c>
      <c r="D27" s="2207"/>
      <c r="E27" s="2207"/>
      <c r="F27" s="2207"/>
      <c r="G27" s="2207"/>
      <c r="H27" s="2207"/>
      <c r="I27" s="2207"/>
      <c r="J27" s="2207"/>
      <c r="K27" s="2207"/>
      <c r="L27" s="2207"/>
      <c r="M27" s="2207"/>
      <c r="N27" s="2207"/>
      <c r="O27" s="2207"/>
      <c r="P27" s="2207"/>
      <c r="Q27" s="2207"/>
      <c r="R27" s="2207"/>
      <c r="S27" s="2207"/>
      <c r="T27" s="2207"/>
      <c r="U27" s="2207"/>
      <c r="V27" s="2207"/>
      <c r="W27" s="2207"/>
      <c r="X27" s="1877"/>
      <c r="Y27" s="1877"/>
      <c r="Z27" s="1877"/>
      <c r="AA27" s="2193">
        <f>UNOS1!D40</f>
        <v>5.0000000000000001E-3</v>
      </c>
      <c r="AB27" s="2193"/>
      <c r="AC27" s="2193"/>
      <c r="AD27" s="2193"/>
      <c r="AE27" s="2193"/>
      <c r="AF27" s="2193"/>
      <c r="AG27" s="2193"/>
    </row>
    <row r="28" spans="1:33" ht="45.75" customHeight="1">
      <c r="A28" s="1922">
        <v>3</v>
      </c>
      <c r="B28" s="1922"/>
      <c r="C28" s="2198" t="s">
        <v>1826</v>
      </c>
      <c r="D28" s="2198"/>
      <c r="E28" s="2198"/>
      <c r="F28" s="2198"/>
      <c r="G28" s="2198"/>
      <c r="H28" s="2198"/>
      <c r="I28" s="2198"/>
      <c r="J28" s="2198"/>
      <c r="K28" s="2198"/>
      <c r="L28" s="2198"/>
      <c r="M28" s="2198"/>
      <c r="N28" s="2198"/>
      <c r="O28" s="2198"/>
      <c r="P28" s="2198"/>
      <c r="Q28" s="2198"/>
      <c r="R28" s="2198"/>
      <c r="S28" s="2198"/>
      <c r="T28" s="2198"/>
      <c r="U28" s="2198"/>
      <c r="V28" s="2198"/>
      <c r="W28" s="2198"/>
      <c r="X28" s="1877"/>
      <c r="Y28" s="1877"/>
      <c r="Z28" s="1877"/>
      <c r="AA28" s="2192">
        <f>UNOS1!D41</f>
        <v>0</v>
      </c>
      <c r="AB28" s="2192"/>
      <c r="AC28" s="2192"/>
      <c r="AD28" s="2192"/>
      <c r="AE28" s="2192"/>
      <c r="AF28" s="2192"/>
      <c r="AG28" s="2192"/>
    </row>
    <row r="30" spans="1:33">
      <c r="B30" s="308" t="s">
        <v>2437</v>
      </c>
      <c r="C30" s="2195" t="str">
        <f>FirmaSjediste &amp; ", " &amp; ObracunPredaja &amp; " godine"</f>
        <v>, 28.2.2012. godine</v>
      </c>
      <c r="D30" s="2195"/>
      <c r="E30" s="2195"/>
      <c r="F30" s="2195"/>
      <c r="G30" s="2195"/>
      <c r="H30" s="2195"/>
      <c r="I30" s="2195"/>
      <c r="J30" s="2195"/>
      <c r="K30" s="2195"/>
      <c r="L30" s="2195"/>
    </row>
    <row r="31" spans="1:33">
      <c r="X31" s="2196">
        <f>FirmaDirekor</f>
        <v>0</v>
      </c>
      <c r="Y31" s="2196"/>
      <c r="Z31" s="2196"/>
      <c r="AA31" s="2196"/>
      <c r="AB31" s="2196"/>
      <c r="AC31" s="2196"/>
      <c r="AD31" s="2196"/>
      <c r="AE31" s="2196"/>
      <c r="AF31" s="2196"/>
    </row>
    <row r="32" spans="1:33">
      <c r="C32" s="2196">
        <f>RacunovodjaIme</f>
        <v>0</v>
      </c>
      <c r="D32" s="2196"/>
      <c r="E32" s="2196"/>
      <c r="F32" s="2196"/>
      <c r="G32" s="2196"/>
      <c r="H32" s="2196"/>
      <c r="I32" s="2196"/>
      <c r="J32" s="2196"/>
      <c r="K32" s="2196"/>
      <c r="L32" s="2196"/>
      <c r="R32" s="308" t="s">
        <v>2284</v>
      </c>
      <c r="X32" s="2197"/>
      <c r="Y32" s="2197"/>
      <c r="Z32" s="2197"/>
      <c r="AA32" s="2197"/>
      <c r="AB32" s="2197"/>
      <c r="AC32" s="2197"/>
      <c r="AD32" s="2197"/>
      <c r="AE32" s="2197"/>
      <c r="AF32" s="2197"/>
    </row>
    <row r="33" spans="3:32" ht="15.75">
      <c r="C33" s="2197"/>
      <c r="D33" s="2197"/>
      <c r="E33" s="2197"/>
      <c r="F33" s="2197"/>
      <c r="G33" s="2197"/>
      <c r="H33" s="2197"/>
      <c r="I33" s="2197"/>
      <c r="J33" s="2197"/>
      <c r="K33" s="2197"/>
      <c r="L33" s="2197"/>
      <c r="X33" s="2194" t="s">
        <v>1827</v>
      </c>
      <c r="Y33" s="2194"/>
      <c r="Z33" s="2194"/>
      <c r="AA33" s="2194"/>
      <c r="AB33" s="2194"/>
      <c r="AC33" s="2194"/>
      <c r="AD33" s="2194"/>
      <c r="AE33" s="2194"/>
      <c r="AF33" s="2194"/>
    </row>
    <row r="34" spans="3:32" ht="15.75">
      <c r="C34" s="2194" t="s">
        <v>1619</v>
      </c>
      <c r="D34" s="2194"/>
      <c r="E34" s="2194"/>
      <c r="F34" s="2194"/>
      <c r="G34" s="2194"/>
      <c r="H34" s="2194"/>
      <c r="I34" s="2194"/>
      <c r="J34" s="2194"/>
      <c r="K34" s="2194"/>
      <c r="L34" s="2194"/>
    </row>
  </sheetData>
  <mergeCells count="40">
    <mergeCell ref="B15:P15"/>
    <mergeCell ref="X16:AB16"/>
    <mergeCell ref="B9:Q9"/>
    <mergeCell ref="B10:Q10"/>
    <mergeCell ref="B12:P12"/>
    <mergeCell ref="B11:Q11"/>
    <mergeCell ref="X11:AB11"/>
    <mergeCell ref="V13:AC13"/>
    <mergeCell ref="B14:P14"/>
    <mergeCell ref="B18:P18"/>
    <mergeCell ref="R21:Y21"/>
    <mergeCell ref="A27:B27"/>
    <mergeCell ref="A24:B24"/>
    <mergeCell ref="C24:W24"/>
    <mergeCell ref="X24:Z24"/>
    <mergeCell ref="A25:B26"/>
    <mergeCell ref="A28:B28"/>
    <mergeCell ref="C28:W28"/>
    <mergeCell ref="X28:Z28"/>
    <mergeCell ref="A23:B23"/>
    <mergeCell ref="C23:W23"/>
    <mergeCell ref="X23:Z23"/>
    <mergeCell ref="S26:W26"/>
    <mergeCell ref="S25:W25"/>
    <mergeCell ref="C25:R26"/>
    <mergeCell ref="C27:W27"/>
    <mergeCell ref="AA28:AG28"/>
    <mergeCell ref="AA27:AG27"/>
    <mergeCell ref="C34:L34"/>
    <mergeCell ref="C30:L30"/>
    <mergeCell ref="X31:AF32"/>
    <mergeCell ref="C32:L33"/>
    <mergeCell ref="X33:AF33"/>
    <mergeCell ref="X27:Z27"/>
    <mergeCell ref="AA23:AG23"/>
    <mergeCell ref="X25:Z25"/>
    <mergeCell ref="X26:Z26"/>
    <mergeCell ref="AA25:AG25"/>
    <mergeCell ref="AA26:AG26"/>
    <mergeCell ref="AA24:AG24"/>
  </mergeCells>
  <phoneticPr fontId="0" type="noConversion"/>
  <pageMargins left="0.75" right="0.43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3" enableFormatConditionsCalculation="0">
    <tabColor indexed="17"/>
  </sheetPr>
  <dimension ref="A1:L33"/>
  <sheetViews>
    <sheetView showGridLines="0" workbookViewId="0">
      <selection activeCell="H5" sqref="H5"/>
    </sheetView>
  </sheetViews>
  <sheetFormatPr defaultRowHeight="12.75"/>
  <cols>
    <col min="1" max="1" width="4.42578125" style="2" customWidth="1"/>
    <col min="2" max="2" width="3.140625" style="2" customWidth="1"/>
    <col min="3" max="3" width="10" style="2" customWidth="1"/>
    <col min="4" max="4" width="5.7109375" style="2" customWidth="1"/>
    <col min="5" max="5" width="26.5703125" style="2" customWidth="1"/>
    <col min="6" max="6" width="11.5703125" style="2" customWidth="1"/>
    <col min="7" max="7" width="9.140625" style="2"/>
    <col min="8" max="8" width="13.140625" style="2" customWidth="1"/>
    <col min="9" max="9" width="10.28515625" style="2" customWidth="1"/>
    <col min="10" max="12" width="13.85546875" style="2" customWidth="1"/>
    <col min="13" max="16384" width="9.140625" style="2"/>
  </cols>
  <sheetData>
    <row r="1" spans="1:12" s="13" customFormat="1" ht="15.75" customHeight="1">
      <c r="A1" s="2255">
        <f>FirmaNaziv</f>
        <v>0</v>
      </c>
      <c r="B1" s="2255"/>
      <c r="C1" s="2255"/>
      <c r="D1" s="2255"/>
      <c r="E1" s="2255"/>
      <c r="F1" s="484"/>
      <c r="G1" s="480"/>
    </row>
    <row r="2" spans="1:12" s="13" customFormat="1" ht="15" customHeight="1">
      <c r="A2" s="2256" t="s">
        <v>2669</v>
      </c>
      <c r="B2" s="2256"/>
      <c r="C2" s="2256"/>
      <c r="D2" s="2256"/>
      <c r="E2" s="2256"/>
      <c r="F2" s="485"/>
      <c r="G2" s="482"/>
      <c r="K2" s="2219" t="s">
        <v>2674</v>
      </c>
      <c r="L2" s="2219"/>
    </row>
    <row r="3" spans="1:12" s="13" customFormat="1" ht="16.5" customHeight="1">
      <c r="A3" s="2255" t="str">
        <f>FirmaID &amp; "  ;  " &amp; FirmaDjeSifra</f>
        <v xml:space="preserve">  ;  </v>
      </c>
      <c r="B3" s="2255"/>
      <c r="C3" s="2255"/>
      <c r="D3" s="2255"/>
      <c r="E3" s="2255"/>
      <c r="F3" s="484"/>
      <c r="G3" s="480"/>
      <c r="H3" s="2228" t="s">
        <v>2672</v>
      </c>
      <c r="I3" s="2228"/>
    </row>
    <row r="4" spans="1:12" s="13" customFormat="1" ht="15.75" customHeight="1">
      <c r="A4" s="2256" t="s">
        <v>2670</v>
      </c>
      <c r="B4" s="2256"/>
      <c r="C4" s="2256"/>
      <c r="D4" s="2256"/>
      <c r="E4" s="2256"/>
      <c r="F4" s="290" t="s">
        <v>2673</v>
      </c>
      <c r="G4" s="482"/>
      <c r="J4" s="480"/>
      <c r="K4" s="480"/>
    </row>
    <row r="5" spans="1:12" s="13" customFormat="1" ht="15" customHeight="1">
      <c r="A5" s="2253" t="str">
        <f>FirmaSjediste &amp; ", " &amp; FirmaAdresa &amp; ", " &amp; FirmaTelefon</f>
        <v xml:space="preserve">, , </v>
      </c>
      <c r="B5" s="2253"/>
      <c r="C5" s="2253"/>
      <c r="D5" s="2253"/>
      <c r="E5" s="2253"/>
      <c r="F5" s="486"/>
      <c r="G5" s="483" t="s">
        <v>545</v>
      </c>
      <c r="H5" s="306" t="str">
        <f>ObracunOdDatuma &amp; "  do  " &amp; ObracunDoDatuma &amp; "  "&amp; ObracunGodina</f>
        <v>1.1.  do  31.12.  2011</v>
      </c>
      <c r="I5" s="21"/>
      <c r="J5" s="308" t="s">
        <v>2268</v>
      </c>
    </row>
    <row r="6" spans="1:12" s="13" customFormat="1" ht="17.25" customHeight="1">
      <c r="A6" s="2254" t="s">
        <v>2671</v>
      </c>
      <c r="B6" s="2254"/>
      <c r="C6" s="2254"/>
      <c r="D6" s="2254"/>
      <c r="E6" s="2254"/>
      <c r="F6" s="487"/>
      <c r="G6" s="481"/>
    </row>
    <row r="7" spans="1:12" ht="5.25" customHeight="1">
      <c r="G7" s="6"/>
      <c r="H7" s="38"/>
      <c r="I7" s="38"/>
      <c r="L7" s="28"/>
    </row>
    <row r="8" spans="1:12" s="14" customFormat="1" ht="41.25" customHeight="1">
      <c r="A8" s="30" t="s">
        <v>2265</v>
      </c>
      <c r="B8" s="2240" t="s">
        <v>2547</v>
      </c>
      <c r="C8" s="2241"/>
      <c r="D8" s="2241"/>
      <c r="E8" s="2241"/>
      <c r="F8" s="2242"/>
      <c r="G8" s="30" t="s">
        <v>2483</v>
      </c>
      <c r="H8" s="30" t="s">
        <v>2548</v>
      </c>
      <c r="I8" s="30" t="s">
        <v>2331</v>
      </c>
      <c r="J8" s="30" t="s">
        <v>2332</v>
      </c>
      <c r="K8" s="30" t="s">
        <v>2333</v>
      </c>
      <c r="L8" s="30" t="s">
        <v>2334</v>
      </c>
    </row>
    <row r="9" spans="1:12" s="25" customFormat="1">
      <c r="A9" s="29">
        <v>1</v>
      </c>
      <c r="B9" s="2243">
        <v>2</v>
      </c>
      <c r="C9" s="2244"/>
      <c r="D9" s="2244"/>
      <c r="E9" s="2244"/>
      <c r="F9" s="2245"/>
      <c r="G9" s="29">
        <v>3</v>
      </c>
      <c r="H9" s="29">
        <v>4</v>
      </c>
      <c r="I9" s="29">
        <v>5</v>
      </c>
      <c r="J9" s="29">
        <v>6</v>
      </c>
      <c r="K9" s="29">
        <v>7</v>
      </c>
      <c r="L9" s="29">
        <v>8</v>
      </c>
    </row>
    <row r="10" spans="1:12" s="25" customFormat="1" ht="23.25" customHeight="1">
      <c r="A10" s="2221" t="s">
        <v>673</v>
      </c>
      <c r="B10" s="2246" t="s">
        <v>2335</v>
      </c>
      <c r="C10" s="2247"/>
      <c r="D10" s="2250" t="s">
        <v>2336</v>
      </c>
      <c r="E10" s="2251"/>
      <c r="F10" s="2252"/>
      <c r="G10" s="29" t="s">
        <v>2066</v>
      </c>
      <c r="H10" s="477">
        <f>UNOS1!E45</f>
        <v>0</v>
      </c>
      <c r="I10" s="476">
        <v>5.0000000000000001E-3</v>
      </c>
      <c r="J10" s="500">
        <f>UNOS1!F45</f>
        <v>0</v>
      </c>
      <c r="K10" s="500">
        <f>UNOS1!G45</f>
        <v>0</v>
      </c>
      <c r="L10" s="477">
        <f>J10-K10</f>
        <v>0</v>
      </c>
    </row>
    <row r="11" spans="1:12" s="13" customFormat="1" ht="23.25" customHeight="1">
      <c r="A11" s="2223"/>
      <c r="B11" s="2248"/>
      <c r="C11" s="2249"/>
      <c r="D11" s="1994" t="s">
        <v>2337</v>
      </c>
      <c r="E11" s="1995"/>
      <c r="F11" s="1996"/>
      <c r="G11" s="30" t="s">
        <v>2066</v>
      </c>
      <c r="H11" s="477">
        <f>UNOS1!E46</f>
        <v>0</v>
      </c>
      <c r="I11" s="476">
        <v>5.0000000000000001E-3</v>
      </c>
      <c r="J11" s="501">
        <f>UNOS1!F46</f>
        <v>0</v>
      </c>
      <c r="K11" s="501">
        <f>UNOS1!G46</f>
        <v>0</v>
      </c>
      <c r="L11" s="477">
        <f t="shared" ref="L11:L24" si="0">J11-K11</f>
        <v>0</v>
      </c>
    </row>
    <row r="12" spans="1:12" s="13" customFormat="1" ht="19.5" customHeight="1">
      <c r="A12" s="2221" t="s">
        <v>674</v>
      </c>
      <c r="B12" s="2224" t="s">
        <v>2652</v>
      </c>
      <c r="C12" s="2236" t="s">
        <v>2641</v>
      </c>
      <c r="D12" s="1994" t="s">
        <v>2338</v>
      </c>
      <c r="E12" s="1995"/>
      <c r="F12" s="1996"/>
      <c r="G12" s="30" t="s">
        <v>2653</v>
      </c>
      <c r="H12" s="479">
        <v>0</v>
      </c>
      <c r="I12" s="476" t="s">
        <v>2659</v>
      </c>
      <c r="J12" s="478">
        <v>0</v>
      </c>
      <c r="K12" s="478">
        <v>0</v>
      </c>
      <c r="L12" s="477">
        <f t="shared" si="0"/>
        <v>0</v>
      </c>
    </row>
    <row r="13" spans="1:12" s="13" customFormat="1" ht="19.5" customHeight="1">
      <c r="A13" s="2222"/>
      <c r="B13" s="2225"/>
      <c r="C13" s="2236"/>
      <c r="D13" s="1994" t="s">
        <v>2339</v>
      </c>
      <c r="E13" s="1995"/>
      <c r="F13" s="1996"/>
      <c r="G13" s="30" t="s">
        <v>2653</v>
      </c>
      <c r="H13" s="479">
        <v>0</v>
      </c>
      <c r="I13" s="476" t="s">
        <v>2660</v>
      </c>
      <c r="J13" s="478">
        <v>0</v>
      </c>
      <c r="K13" s="478">
        <v>0</v>
      </c>
      <c r="L13" s="477">
        <f t="shared" si="0"/>
        <v>0</v>
      </c>
    </row>
    <row r="14" spans="1:12" s="13" customFormat="1" ht="19.5" customHeight="1">
      <c r="A14" s="2222"/>
      <c r="B14" s="2225"/>
      <c r="C14" s="2236"/>
      <c r="D14" s="1994" t="s">
        <v>955</v>
      </c>
      <c r="E14" s="1995"/>
      <c r="F14" s="1996"/>
      <c r="G14" s="30" t="s">
        <v>2653</v>
      </c>
      <c r="H14" s="479">
        <v>0</v>
      </c>
      <c r="I14" s="476" t="s">
        <v>2661</v>
      </c>
      <c r="J14" s="478">
        <v>0</v>
      </c>
      <c r="K14" s="478">
        <v>0</v>
      </c>
      <c r="L14" s="477">
        <f t="shared" si="0"/>
        <v>0</v>
      </c>
    </row>
    <row r="15" spans="1:12" s="13" customFormat="1" ht="19.5" customHeight="1">
      <c r="A15" s="2222"/>
      <c r="B15" s="2225"/>
      <c r="C15" s="2236"/>
      <c r="D15" s="1994" t="s">
        <v>956</v>
      </c>
      <c r="E15" s="1995"/>
      <c r="F15" s="1996"/>
      <c r="G15" s="30" t="s">
        <v>2653</v>
      </c>
      <c r="H15" s="479">
        <v>0</v>
      </c>
      <c r="I15" s="476" t="s">
        <v>2661</v>
      </c>
      <c r="J15" s="478">
        <v>0</v>
      </c>
      <c r="K15" s="478">
        <v>0</v>
      </c>
      <c r="L15" s="477">
        <f t="shared" si="0"/>
        <v>0</v>
      </c>
    </row>
    <row r="16" spans="1:12" s="13" customFormat="1" ht="19.5" customHeight="1">
      <c r="A16" s="2223"/>
      <c r="B16" s="2225"/>
      <c r="C16" s="2236"/>
      <c r="D16" s="1994" t="s">
        <v>2640</v>
      </c>
      <c r="E16" s="1995"/>
      <c r="F16" s="1996"/>
      <c r="G16" s="30" t="s">
        <v>2654</v>
      </c>
      <c r="H16" s="479">
        <v>0</v>
      </c>
      <c r="I16" s="476" t="s">
        <v>2662</v>
      </c>
      <c r="J16" s="478">
        <v>0</v>
      </c>
      <c r="K16" s="478">
        <v>0</v>
      </c>
      <c r="L16" s="477">
        <f t="shared" si="0"/>
        <v>0</v>
      </c>
    </row>
    <row r="17" spans="1:12" s="13" customFormat="1" ht="18" customHeight="1">
      <c r="A17" s="2221" t="s">
        <v>675</v>
      </c>
      <c r="B17" s="2225"/>
      <c r="C17" s="2237" t="s">
        <v>2647</v>
      </c>
      <c r="D17" s="1994" t="s">
        <v>2642</v>
      </c>
      <c r="E17" s="1995"/>
      <c r="F17" s="1996"/>
      <c r="G17" s="30" t="s">
        <v>2655</v>
      </c>
      <c r="H17" s="479">
        <v>0</v>
      </c>
      <c r="I17" s="357" t="s">
        <v>2660</v>
      </c>
      <c r="J17" s="478">
        <v>0</v>
      </c>
      <c r="K17" s="478">
        <v>0</v>
      </c>
      <c r="L17" s="477">
        <f t="shared" si="0"/>
        <v>0</v>
      </c>
    </row>
    <row r="18" spans="1:12" s="13" customFormat="1" ht="18" customHeight="1">
      <c r="A18" s="2222"/>
      <c r="B18" s="2225"/>
      <c r="C18" s="2238"/>
      <c r="D18" s="1994" t="s">
        <v>2643</v>
      </c>
      <c r="E18" s="1995"/>
      <c r="F18" s="1996"/>
      <c r="G18" s="30" t="s">
        <v>2655</v>
      </c>
      <c r="H18" s="479">
        <v>0</v>
      </c>
      <c r="I18" s="357" t="s">
        <v>2660</v>
      </c>
      <c r="J18" s="478">
        <v>0</v>
      </c>
      <c r="K18" s="478">
        <v>0</v>
      </c>
      <c r="L18" s="477">
        <f t="shared" si="0"/>
        <v>0</v>
      </c>
    </row>
    <row r="19" spans="1:12" s="13" customFormat="1" ht="18" customHeight="1">
      <c r="A19" s="2222"/>
      <c r="B19" s="2225"/>
      <c r="C19" s="2238"/>
      <c r="D19" s="1994" t="s">
        <v>2644</v>
      </c>
      <c r="E19" s="1995"/>
      <c r="F19" s="1996"/>
      <c r="G19" s="30" t="s">
        <v>2656</v>
      </c>
      <c r="H19" s="479">
        <v>0</v>
      </c>
      <c r="I19" s="357" t="s">
        <v>2663</v>
      </c>
      <c r="J19" s="478">
        <v>0</v>
      </c>
      <c r="K19" s="478">
        <v>0</v>
      </c>
      <c r="L19" s="477">
        <f t="shared" si="0"/>
        <v>0</v>
      </c>
    </row>
    <row r="20" spans="1:12" s="13" customFormat="1" ht="18" customHeight="1">
      <c r="A20" s="2222"/>
      <c r="B20" s="2225"/>
      <c r="C20" s="2238"/>
      <c r="D20" s="1994" t="s">
        <v>2645</v>
      </c>
      <c r="E20" s="1995"/>
      <c r="F20" s="1996"/>
      <c r="G20" s="30" t="s">
        <v>2656</v>
      </c>
      <c r="H20" s="479">
        <v>0</v>
      </c>
      <c r="I20" s="357" t="s">
        <v>2664</v>
      </c>
      <c r="J20" s="478">
        <v>0</v>
      </c>
      <c r="K20" s="478">
        <v>0</v>
      </c>
      <c r="L20" s="477">
        <f t="shared" si="0"/>
        <v>0</v>
      </c>
    </row>
    <row r="21" spans="1:12" s="13" customFormat="1" ht="18" customHeight="1">
      <c r="A21" s="2223"/>
      <c r="B21" s="2225"/>
      <c r="C21" s="2239"/>
      <c r="D21" s="1994" t="s">
        <v>2646</v>
      </c>
      <c r="E21" s="1995"/>
      <c r="F21" s="1996"/>
      <c r="G21" s="30" t="s">
        <v>2656</v>
      </c>
      <c r="H21" s="479">
        <v>0</v>
      </c>
      <c r="I21" s="357" t="s">
        <v>2665</v>
      </c>
      <c r="J21" s="478">
        <v>0</v>
      </c>
      <c r="K21" s="478">
        <v>0</v>
      </c>
      <c r="L21" s="477">
        <f t="shared" si="0"/>
        <v>0</v>
      </c>
    </row>
    <row r="22" spans="1:12" s="13" customFormat="1" ht="19.5" customHeight="1">
      <c r="A22" s="30" t="s">
        <v>676</v>
      </c>
      <c r="B22" s="2225"/>
      <c r="C22" s="1994" t="s">
        <v>2648</v>
      </c>
      <c r="D22" s="1995"/>
      <c r="E22" s="1995"/>
      <c r="F22" s="1996"/>
      <c r="G22" s="30" t="s">
        <v>2653</v>
      </c>
      <c r="H22" s="479">
        <v>0</v>
      </c>
      <c r="I22" s="357" t="s">
        <v>2666</v>
      </c>
      <c r="J22" s="478">
        <v>0</v>
      </c>
      <c r="K22" s="478">
        <v>0</v>
      </c>
      <c r="L22" s="477">
        <f t="shared" si="0"/>
        <v>0</v>
      </c>
    </row>
    <row r="23" spans="1:12" s="13" customFormat="1" ht="28.5" customHeight="1">
      <c r="A23" s="2221" t="s">
        <v>677</v>
      </c>
      <c r="B23" s="2225"/>
      <c r="C23" s="2236" t="s">
        <v>2650</v>
      </c>
      <c r="D23" s="1994" t="s">
        <v>2675</v>
      </c>
      <c r="E23" s="1995"/>
      <c r="F23" s="1996"/>
      <c r="G23" s="30" t="s">
        <v>2657</v>
      </c>
      <c r="H23" s="479">
        <v>0</v>
      </c>
      <c r="I23" s="357" t="s">
        <v>2667</v>
      </c>
      <c r="J23" s="478">
        <v>0</v>
      </c>
      <c r="K23" s="478">
        <v>0</v>
      </c>
      <c r="L23" s="477">
        <f t="shared" si="0"/>
        <v>0</v>
      </c>
    </row>
    <row r="24" spans="1:12" s="13" customFormat="1" ht="28.5" customHeight="1">
      <c r="A24" s="2223"/>
      <c r="B24" s="2226"/>
      <c r="C24" s="2236"/>
      <c r="D24" s="1994" t="s">
        <v>2649</v>
      </c>
      <c r="E24" s="1995"/>
      <c r="F24" s="1996"/>
      <c r="G24" s="30" t="s">
        <v>2658</v>
      </c>
      <c r="H24" s="479">
        <v>0</v>
      </c>
      <c r="I24" s="357" t="s">
        <v>2668</v>
      </c>
      <c r="J24" s="478">
        <v>0</v>
      </c>
      <c r="K24" s="478">
        <v>0</v>
      </c>
      <c r="L24" s="477">
        <f t="shared" si="0"/>
        <v>0</v>
      </c>
    </row>
    <row r="25" spans="1:12" s="13" customFormat="1" ht="18.75" customHeight="1">
      <c r="A25" s="30" t="s">
        <v>678</v>
      </c>
      <c r="B25" s="2233" t="s">
        <v>2651</v>
      </c>
      <c r="C25" s="2234"/>
      <c r="D25" s="2234"/>
      <c r="E25" s="2234"/>
      <c r="F25" s="2234"/>
      <c r="G25" s="2234"/>
      <c r="H25" s="2234"/>
      <c r="I25" s="2235"/>
      <c r="J25" s="477">
        <f>SUM(J10:J24)</f>
        <v>0</v>
      </c>
      <c r="K25" s="477">
        <f>SUM(K10:K24)</f>
        <v>0</v>
      </c>
      <c r="L25" s="477">
        <f>SUM(L10:L24)</f>
        <v>0</v>
      </c>
    </row>
    <row r="26" spans="1:12" s="13" customFormat="1" ht="6" customHeight="1"/>
    <row r="27" spans="1:12" s="13" customFormat="1" ht="14.25" customHeight="1">
      <c r="B27" s="2220" t="str">
        <f>("Datum: " &amp; ObracunPredaja &amp; " godine")</f>
        <v>Datum: 28.2.2012. godine</v>
      </c>
      <c r="C27" s="2220"/>
      <c r="D27" s="2220"/>
      <c r="E27" s="2220"/>
    </row>
    <row r="28" spans="1:12" s="13" customFormat="1">
      <c r="E28" s="2" t="s">
        <v>2628</v>
      </c>
      <c r="F28" s="2"/>
      <c r="K28" s="2219" t="s">
        <v>164</v>
      </c>
      <c r="L28" s="2219"/>
    </row>
    <row r="29" spans="1:12" s="13" customFormat="1" ht="9.75" customHeight="1">
      <c r="E29" s="2231"/>
      <c r="F29" s="474"/>
      <c r="K29" s="2229"/>
    </row>
    <row r="30" spans="1:12" s="13" customFormat="1" ht="9.75" customHeight="1">
      <c r="E30" s="2232"/>
      <c r="F30" s="474"/>
      <c r="I30" s="15" t="s">
        <v>686</v>
      </c>
      <c r="K30" s="2230"/>
      <c r="L30" s="475"/>
    </row>
    <row r="31" spans="1:12" s="13" customFormat="1" ht="9.75" customHeight="1">
      <c r="E31" s="359">
        <f>RacunovodjaIme</f>
        <v>0</v>
      </c>
      <c r="F31" s="359"/>
      <c r="K31" s="2227">
        <f>FirmaDirekor</f>
        <v>0</v>
      </c>
      <c r="L31" s="2227"/>
    </row>
    <row r="32" spans="1:12" s="13" customFormat="1" ht="12.75" customHeight="1">
      <c r="A32" s="2219"/>
      <c r="B32" s="2219"/>
      <c r="C32" s="2219"/>
      <c r="D32" s="2219"/>
      <c r="E32" s="488"/>
      <c r="F32" s="488"/>
    </row>
    <row r="33" spans="1:6">
      <c r="A33" s="2220"/>
      <c r="B33" s="2220"/>
      <c r="C33" s="2220"/>
      <c r="D33" s="2220"/>
      <c r="E33" s="360" t="str">
        <f>"Kontakt telefon: " &amp; RacunovodjaTelefon</f>
        <v xml:space="preserve">Kontakt telefon: </v>
      </c>
      <c r="F33" s="488"/>
    </row>
  </sheetData>
  <mergeCells count="42">
    <mergeCell ref="A1:E1"/>
    <mergeCell ref="A2:E2"/>
    <mergeCell ref="A3:E3"/>
    <mergeCell ref="A4:E4"/>
    <mergeCell ref="D12:F12"/>
    <mergeCell ref="K2:L2"/>
    <mergeCell ref="B8:F8"/>
    <mergeCell ref="B9:F9"/>
    <mergeCell ref="B10:C11"/>
    <mergeCell ref="A10:A11"/>
    <mergeCell ref="D10:F10"/>
    <mergeCell ref="D11:F11"/>
    <mergeCell ref="A5:E5"/>
    <mergeCell ref="A6:E6"/>
    <mergeCell ref="K31:L31"/>
    <mergeCell ref="H3:I3"/>
    <mergeCell ref="K29:K30"/>
    <mergeCell ref="E29:E30"/>
    <mergeCell ref="B25:I25"/>
    <mergeCell ref="C22:F22"/>
    <mergeCell ref="K28:L28"/>
    <mergeCell ref="B27:E27"/>
    <mergeCell ref="C23:C24"/>
    <mergeCell ref="D23:F23"/>
    <mergeCell ref="D24:F24"/>
    <mergeCell ref="C12:C16"/>
    <mergeCell ref="D17:F17"/>
    <mergeCell ref="D13:F13"/>
    <mergeCell ref="D14:F14"/>
    <mergeCell ref="C17:C21"/>
    <mergeCell ref="A32:D32"/>
    <mergeCell ref="A33:D33"/>
    <mergeCell ref="A12:A16"/>
    <mergeCell ref="D16:F16"/>
    <mergeCell ref="B12:B24"/>
    <mergeCell ref="D21:F21"/>
    <mergeCell ref="D18:F18"/>
    <mergeCell ref="D19:F19"/>
    <mergeCell ref="D20:F20"/>
    <mergeCell ref="D15:F15"/>
    <mergeCell ref="A23:A24"/>
    <mergeCell ref="A17:A21"/>
  </mergeCells>
  <phoneticPr fontId="0" type="noConversion"/>
  <pageMargins left="0.33" right="0.21" top="0.42" bottom="0.32" header="0.33" footer="0.19"/>
  <pageSetup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9" enableFormatConditionsCalculation="0">
    <tabColor indexed="55"/>
  </sheetPr>
  <dimension ref="A1:AH36"/>
  <sheetViews>
    <sheetView showGridLines="0" workbookViewId="0">
      <selection activeCell="W8" sqref="W8"/>
    </sheetView>
  </sheetViews>
  <sheetFormatPr defaultRowHeight="15"/>
  <cols>
    <col min="1" max="1" width="4.7109375" style="50" customWidth="1"/>
    <col min="2" max="13" width="4" style="50" customWidth="1"/>
    <col min="14" max="14" width="9.42578125" style="50" customWidth="1"/>
    <col min="15" max="15" width="3.5703125" style="50" customWidth="1"/>
    <col min="16" max="16" width="4" style="50" customWidth="1"/>
    <col min="17" max="17" width="3.7109375" style="50" customWidth="1"/>
    <col min="18" max="18" width="2.7109375" style="50" customWidth="1"/>
    <col min="19" max="23" width="4" style="50" customWidth="1"/>
    <col min="24" max="24" width="3.42578125" style="50" customWidth="1"/>
    <col min="25" max="30" width="4" style="50" customWidth="1"/>
    <col min="31" max="34" width="3.5703125" style="50" customWidth="1"/>
    <col min="35" max="57" width="4" style="50" customWidth="1"/>
    <col min="58" max="61" width="4.140625" style="50" customWidth="1"/>
    <col min="62" max="63" width="4" style="50" customWidth="1"/>
    <col min="64" max="64" width="3.5703125" style="50" customWidth="1"/>
    <col min="65" max="65" width="3.28515625" style="50" customWidth="1"/>
    <col min="66" max="16384" width="9.140625" style="50"/>
  </cols>
  <sheetData>
    <row r="1" spans="1:34" ht="24" customHeight="1">
      <c r="A1" s="50" t="s">
        <v>382</v>
      </c>
      <c r="E1" s="2257">
        <f>FirmaNaziv</f>
        <v>0</v>
      </c>
      <c r="F1" s="2257"/>
      <c r="G1" s="2257"/>
      <c r="H1" s="2257"/>
      <c r="I1" s="2257"/>
      <c r="J1" s="2257"/>
      <c r="K1" s="2257"/>
      <c r="L1" s="2257"/>
      <c r="M1" s="2257"/>
      <c r="Y1" s="51"/>
      <c r="Z1" s="51"/>
      <c r="AA1" s="51"/>
      <c r="AB1" s="51"/>
      <c r="AC1" s="52" t="s">
        <v>2390</v>
      </c>
      <c r="AF1" s="51"/>
      <c r="AG1" s="51"/>
      <c r="AH1" s="51"/>
    </row>
    <row r="2" spans="1:34" ht="24" customHeight="1">
      <c r="A2" s="50" t="s">
        <v>2391</v>
      </c>
      <c r="E2" s="2258" t="str">
        <f>FirmaSjediste&amp;";  "&amp;FirmaAdresa</f>
        <v xml:space="preserve">;  </v>
      </c>
      <c r="F2" s="2258"/>
      <c r="G2" s="2258"/>
      <c r="H2" s="2258"/>
      <c r="I2" s="2258"/>
      <c r="J2" s="2258"/>
      <c r="K2" s="2258"/>
      <c r="L2" s="2258"/>
      <c r="M2" s="2258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 ht="24" customHeight="1">
      <c r="A3" s="50" t="s">
        <v>1231</v>
      </c>
      <c r="E3" s="2259">
        <f>FirmaRacun1</f>
        <v>0</v>
      </c>
      <c r="F3" s="2259"/>
      <c r="G3" s="2259"/>
      <c r="H3" s="2259"/>
      <c r="I3" s="2259"/>
      <c r="J3" s="2259"/>
      <c r="K3" s="2259"/>
      <c r="L3" s="2259"/>
      <c r="M3" s="2259"/>
    </row>
    <row r="4" spans="1:34" ht="18" customHeight="1">
      <c r="A4" s="50" t="s">
        <v>1232</v>
      </c>
      <c r="E4" s="2260">
        <f>FirmaDjeSifra</f>
        <v>0</v>
      </c>
      <c r="F4" s="2260"/>
      <c r="G4" s="2260"/>
      <c r="H4" s="2260"/>
      <c r="I4" s="2260"/>
      <c r="J4" s="2260"/>
      <c r="K4" s="2260"/>
      <c r="L4" s="2260"/>
      <c r="M4" s="2260"/>
    </row>
    <row r="5" spans="1:34" ht="18.75" customHeight="1">
      <c r="A5" s="50" t="s">
        <v>377</v>
      </c>
      <c r="E5" s="2264">
        <f>FirmaID</f>
        <v>0</v>
      </c>
      <c r="F5" s="2264"/>
      <c r="G5" s="2264"/>
      <c r="H5" s="2264"/>
      <c r="I5" s="2264"/>
      <c r="J5" s="2264"/>
      <c r="K5" s="2264"/>
      <c r="L5" s="2264"/>
      <c r="M5" s="2264"/>
    </row>
    <row r="6" spans="1:34">
      <c r="E6" s="53"/>
      <c r="F6" s="53"/>
      <c r="G6" s="53"/>
      <c r="H6" s="53"/>
      <c r="I6" s="53"/>
      <c r="J6" s="53"/>
      <c r="K6" s="53"/>
    </row>
    <row r="7" spans="1:34" ht="21" customHeight="1">
      <c r="B7" s="2265" t="s">
        <v>1233</v>
      </c>
      <c r="C7" s="2265"/>
      <c r="D7" s="2265"/>
      <c r="E7" s="2265"/>
      <c r="F7" s="2265"/>
      <c r="G7" s="2265"/>
      <c r="H7" s="2265"/>
      <c r="I7" s="2265"/>
      <c r="J7" s="2265"/>
      <c r="K7" s="2265"/>
      <c r="L7" s="2265"/>
      <c r="M7" s="2265"/>
      <c r="N7" s="2265"/>
      <c r="O7" s="2265"/>
      <c r="P7" s="2265"/>
      <c r="Q7" s="2265"/>
      <c r="R7" s="2265"/>
      <c r="S7" s="2265"/>
      <c r="T7" s="2265"/>
      <c r="U7" s="2265"/>
      <c r="V7" s="2265"/>
      <c r="W7" s="2265"/>
      <c r="X7" s="2265"/>
      <c r="Y7" s="2265"/>
      <c r="Z7" s="2265"/>
      <c r="AA7" s="2265"/>
      <c r="AB7" s="2265"/>
      <c r="AC7" s="2265"/>
      <c r="AD7" s="2265"/>
      <c r="AE7" s="2265"/>
      <c r="AF7" s="2265"/>
      <c r="AG7" s="2265"/>
      <c r="AH7" s="2265"/>
    </row>
    <row r="8" spans="1:34">
      <c r="O8" s="54" t="s">
        <v>1127</v>
      </c>
      <c r="P8" s="2266" t="str">
        <f>ObracunOdDatuma</f>
        <v>1.1.</v>
      </c>
      <c r="Q8" s="2266"/>
      <c r="R8" s="2266"/>
      <c r="S8" s="50" t="s">
        <v>2055</v>
      </c>
      <c r="T8" s="2266" t="str">
        <f>ObracunDoDatuma</f>
        <v>31.12.</v>
      </c>
      <c r="U8" s="2266"/>
      <c r="V8" s="2266"/>
      <c r="W8" s="55" t="str">
        <f>ObracunGodina &amp; " GODINE"</f>
        <v>2011 GODINE</v>
      </c>
    </row>
    <row r="9" spans="1:34" ht="6.75" customHeight="1"/>
    <row r="10" spans="1:34">
      <c r="A10" s="361" t="s">
        <v>2271</v>
      </c>
      <c r="B10" s="2261" t="s">
        <v>1037</v>
      </c>
      <c r="C10" s="2261"/>
      <c r="D10" s="2261"/>
      <c r="E10" s="2261"/>
      <c r="F10" s="2261"/>
      <c r="G10" s="2261"/>
      <c r="H10" s="2261"/>
      <c r="I10" s="2261"/>
      <c r="J10" s="2261"/>
      <c r="K10" s="2261"/>
      <c r="L10" s="2261"/>
      <c r="M10" s="2261"/>
      <c r="N10" s="2261"/>
      <c r="O10" s="2262" t="s">
        <v>2056</v>
      </c>
      <c r="P10" s="2262"/>
      <c r="Q10" s="2262"/>
      <c r="R10" s="2262"/>
      <c r="S10" s="2262" t="s">
        <v>2057</v>
      </c>
      <c r="T10" s="2262"/>
      <c r="U10" s="2262"/>
      <c r="V10" s="2262"/>
      <c r="W10" s="2262" t="s">
        <v>2058</v>
      </c>
      <c r="X10" s="2262"/>
      <c r="Y10" s="2262"/>
      <c r="Z10" s="2262"/>
      <c r="AA10" s="2261" t="s">
        <v>2059</v>
      </c>
      <c r="AB10" s="2261"/>
      <c r="AC10" s="2261"/>
      <c r="AD10" s="2261"/>
      <c r="AE10" s="2261"/>
      <c r="AF10" s="2261"/>
      <c r="AG10" s="2261"/>
      <c r="AH10" s="2261"/>
    </row>
    <row r="11" spans="1:34">
      <c r="A11" s="362" t="s">
        <v>1492</v>
      </c>
      <c r="B11" s="2261"/>
      <c r="C11" s="2261"/>
      <c r="D11" s="2261"/>
      <c r="E11" s="2261"/>
      <c r="F11" s="2261"/>
      <c r="G11" s="2261"/>
      <c r="H11" s="2261"/>
      <c r="I11" s="2261"/>
      <c r="J11" s="2261"/>
      <c r="K11" s="2261"/>
      <c r="L11" s="2261"/>
      <c r="M11" s="2261"/>
      <c r="N11" s="2261"/>
      <c r="O11" s="2263" t="s">
        <v>2060</v>
      </c>
      <c r="P11" s="2263"/>
      <c r="Q11" s="2263"/>
      <c r="R11" s="2263"/>
      <c r="S11" s="2263" t="s">
        <v>2061</v>
      </c>
      <c r="T11" s="2263"/>
      <c r="U11" s="2263"/>
      <c r="V11" s="2263"/>
      <c r="W11" s="2263" t="s">
        <v>2061</v>
      </c>
      <c r="X11" s="2263"/>
      <c r="Y11" s="2263"/>
      <c r="Z11" s="2263"/>
      <c r="AA11" s="2261" t="s">
        <v>2062</v>
      </c>
      <c r="AB11" s="2261"/>
      <c r="AC11" s="2261"/>
      <c r="AD11" s="2261"/>
      <c r="AE11" s="2261" t="s">
        <v>2063</v>
      </c>
      <c r="AF11" s="2261"/>
      <c r="AG11" s="2261"/>
      <c r="AH11" s="2261"/>
    </row>
    <row r="12" spans="1:34">
      <c r="A12" s="356">
        <v>1</v>
      </c>
      <c r="B12" s="2261">
        <v>2</v>
      </c>
      <c r="C12" s="2261"/>
      <c r="D12" s="2261"/>
      <c r="E12" s="2261"/>
      <c r="F12" s="2261"/>
      <c r="G12" s="2261"/>
      <c r="H12" s="2261"/>
      <c r="I12" s="2261"/>
      <c r="J12" s="2261"/>
      <c r="K12" s="2261"/>
      <c r="L12" s="2261"/>
      <c r="M12" s="2261"/>
      <c r="N12" s="2261"/>
      <c r="O12" s="2261">
        <v>3</v>
      </c>
      <c r="P12" s="2261"/>
      <c r="Q12" s="2261"/>
      <c r="R12" s="2261"/>
      <c r="S12" s="2261">
        <v>4</v>
      </c>
      <c r="T12" s="2261"/>
      <c r="U12" s="2261"/>
      <c r="V12" s="2261"/>
      <c r="W12" s="2261">
        <v>5</v>
      </c>
      <c r="X12" s="2261"/>
      <c r="Y12" s="2261"/>
      <c r="Z12" s="2261"/>
      <c r="AA12" s="2261">
        <v>6</v>
      </c>
      <c r="AB12" s="2261"/>
      <c r="AC12" s="2261"/>
      <c r="AD12" s="2261"/>
      <c r="AE12" s="2261">
        <v>7</v>
      </c>
      <c r="AF12" s="2261"/>
      <c r="AG12" s="2261"/>
      <c r="AH12" s="2261"/>
    </row>
    <row r="13" spans="1:34" ht="18.75" customHeight="1">
      <c r="A13" s="774"/>
      <c r="B13" s="776" t="s">
        <v>2064</v>
      </c>
      <c r="C13" s="777"/>
      <c r="D13" s="777"/>
      <c r="E13" s="777"/>
      <c r="F13" s="777"/>
      <c r="G13" s="777"/>
      <c r="H13" s="777"/>
      <c r="I13" s="777"/>
      <c r="J13" s="777"/>
      <c r="K13" s="777"/>
      <c r="L13" s="777"/>
      <c r="M13" s="777"/>
      <c r="N13" s="778"/>
      <c r="O13" s="2269"/>
      <c r="P13" s="2269"/>
      <c r="Q13" s="2269"/>
      <c r="R13" s="2269"/>
      <c r="S13" s="2267"/>
      <c r="T13" s="2267"/>
      <c r="U13" s="2267"/>
      <c r="V13" s="2267"/>
      <c r="W13" s="2267"/>
      <c r="X13" s="2267"/>
      <c r="Y13" s="2267"/>
      <c r="Z13" s="2267"/>
      <c r="AA13" s="2267"/>
      <c r="AB13" s="2267"/>
      <c r="AC13" s="2267"/>
      <c r="AD13" s="2267"/>
      <c r="AE13" s="2267"/>
      <c r="AF13" s="2267"/>
      <c r="AG13" s="2267"/>
      <c r="AH13" s="2267"/>
    </row>
    <row r="14" spans="1:34" ht="18.75" customHeight="1">
      <c r="A14" s="773"/>
      <c r="B14" s="779" t="s">
        <v>2065</v>
      </c>
      <c r="C14" s="780"/>
      <c r="D14" s="780"/>
      <c r="E14" s="780"/>
      <c r="F14" s="780"/>
      <c r="G14" s="2268">
        <f>UNOS1!E19</f>
        <v>0</v>
      </c>
      <c r="H14" s="2268"/>
      <c r="I14" s="2268"/>
      <c r="J14" s="2268"/>
      <c r="K14" s="780" t="s">
        <v>2066</v>
      </c>
      <c r="L14" s="780"/>
      <c r="M14" s="781"/>
      <c r="N14" s="782"/>
      <c r="O14" s="2269"/>
      <c r="P14" s="2269"/>
      <c r="Q14" s="2269"/>
      <c r="R14" s="2269"/>
      <c r="S14" s="2267"/>
      <c r="T14" s="2267"/>
      <c r="U14" s="2267"/>
      <c r="V14" s="2267"/>
      <c r="W14" s="2267"/>
      <c r="X14" s="2267"/>
      <c r="Y14" s="2267"/>
      <c r="Z14" s="2267"/>
      <c r="AA14" s="2267"/>
      <c r="AB14" s="2267"/>
      <c r="AC14" s="2267"/>
      <c r="AD14" s="2267"/>
      <c r="AE14" s="2267"/>
      <c r="AF14" s="2267"/>
      <c r="AG14" s="2267"/>
      <c r="AH14" s="2267"/>
    </row>
    <row r="15" spans="1:34" ht="18.75" customHeight="1">
      <c r="A15" s="356" t="s">
        <v>673</v>
      </c>
      <c r="B15" s="367" t="s">
        <v>2067</v>
      </c>
      <c r="C15" s="365"/>
      <c r="D15" s="365"/>
      <c r="E15" s="365"/>
      <c r="F15" s="365"/>
      <c r="G15" s="365"/>
      <c r="H15" s="365"/>
      <c r="I15" s="365"/>
      <c r="J15" s="365"/>
      <c r="K15" s="365"/>
      <c r="L15" s="365"/>
      <c r="M15" s="365"/>
      <c r="N15" s="366"/>
      <c r="O15" s="2269">
        <v>0.2</v>
      </c>
      <c r="P15" s="2269"/>
      <c r="Q15" s="2269"/>
      <c r="R15" s="2269"/>
      <c r="S15" s="2270">
        <f>UNOS1!E21</f>
        <v>0</v>
      </c>
      <c r="T15" s="2270"/>
      <c r="U15" s="2270"/>
      <c r="V15" s="2270"/>
      <c r="W15" s="2270">
        <f>UNOS1!F21</f>
        <v>0</v>
      </c>
      <c r="X15" s="2270"/>
      <c r="Y15" s="2270"/>
      <c r="Z15" s="2270"/>
      <c r="AA15" s="2270">
        <f>IF(S15-W15&lt;0,0,S15-W15)</f>
        <v>0</v>
      </c>
      <c r="AB15" s="2270"/>
      <c r="AC15" s="2270"/>
      <c r="AD15" s="2270"/>
      <c r="AE15" s="2270">
        <f>IF(W15-S15&lt;0,0,W15-S15)</f>
        <v>0</v>
      </c>
      <c r="AF15" s="2270"/>
      <c r="AG15" s="2270"/>
      <c r="AH15" s="2270"/>
    </row>
    <row r="16" spans="1:34" ht="18.75" customHeight="1">
      <c r="A16" s="356" t="s">
        <v>674</v>
      </c>
      <c r="B16" s="367" t="s">
        <v>1954</v>
      </c>
      <c r="C16" s="365"/>
      <c r="D16" s="365"/>
      <c r="E16" s="365"/>
      <c r="F16" s="365"/>
      <c r="G16" s="365"/>
      <c r="H16" s="365"/>
      <c r="I16" s="365"/>
      <c r="J16" s="365"/>
      <c r="K16" s="365"/>
      <c r="L16" s="365"/>
      <c r="M16" s="365"/>
      <c r="N16" s="366"/>
      <c r="O16" s="2269">
        <v>0.3</v>
      </c>
      <c r="P16" s="2269"/>
      <c r="Q16" s="2269"/>
      <c r="R16" s="2269"/>
      <c r="S16" s="2270">
        <f>UNOS1!E22</f>
        <v>0</v>
      </c>
      <c r="T16" s="2270"/>
      <c r="U16" s="2270"/>
      <c r="V16" s="2270"/>
      <c r="W16" s="2270">
        <f>UNOS1!F22</f>
        <v>0</v>
      </c>
      <c r="X16" s="2270"/>
      <c r="Y16" s="2270"/>
      <c r="Z16" s="2270"/>
      <c r="AA16" s="2270">
        <f>IF(S16-W16&lt;0,0,S16-W16)</f>
        <v>0</v>
      </c>
      <c r="AB16" s="2270"/>
      <c r="AC16" s="2270"/>
      <c r="AD16" s="2270"/>
      <c r="AE16" s="2270">
        <f>IF(W16-S16&lt;0,0,W16-S16)</f>
        <v>0</v>
      </c>
      <c r="AF16" s="2270"/>
      <c r="AG16" s="2270"/>
      <c r="AH16" s="2270"/>
    </row>
    <row r="17" spans="1:34" ht="18.75" customHeight="1">
      <c r="A17" s="356" t="s">
        <v>675</v>
      </c>
      <c r="B17" s="367" t="s">
        <v>1955</v>
      </c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6"/>
      <c r="O17" s="2269">
        <v>0.5</v>
      </c>
      <c r="P17" s="2269"/>
      <c r="Q17" s="2269"/>
      <c r="R17" s="2269"/>
      <c r="S17" s="2270">
        <f>UNOS1!E23</f>
        <v>0</v>
      </c>
      <c r="T17" s="2270"/>
      <c r="U17" s="2270"/>
      <c r="V17" s="2270"/>
      <c r="W17" s="2270">
        <f>UNOS1!F23</f>
        <v>0</v>
      </c>
      <c r="X17" s="2270"/>
      <c r="Y17" s="2270"/>
      <c r="Z17" s="2270"/>
      <c r="AA17" s="2270">
        <f>IF(S17-W17&lt;0,0,S17-W17)</f>
        <v>0</v>
      </c>
      <c r="AB17" s="2270"/>
      <c r="AC17" s="2270"/>
      <c r="AD17" s="2270"/>
      <c r="AE17" s="2270">
        <f>IF(W17-S17&lt;0,0,W17-S17)</f>
        <v>0</v>
      </c>
      <c r="AF17" s="2270"/>
      <c r="AG17" s="2270"/>
      <c r="AH17" s="2270"/>
    </row>
    <row r="18" spans="1:34" ht="18.75" customHeight="1">
      <c r="A18" s="356"/>
      <c r="B18" s="363" t="s">
        <v>1956</v>
      </c>
      <c r="C18" s="364"/>
      <c r="D18" s="364"/>
      <c r="E18" s="364"/>
      <c r="F18" s="364"/>
      <c r="G18" s="364"/>
      <c r="H18" s="364"/>
      <c r="I18" s="364"/>
      <c r="J18" s="364"/>
      <c r="K18" s="364"/>
      <c r="L18" s="364"/>
      <c r="M18" s="364"/>
      <c r="N18" s="366"/>
      <c r="O18" s="2269"/>
      <c r="P18" s="2269"/>
      <c r="Q18" s="2269"/>
      <c r="R18" s="2269"/>
      <c r="S18" s="2267"/>
      <c r="T18" s="2267"/>
      <c r="U18" s="2267"/>
      <c r="V18" s="2267"/>
      <c r="W18" s="2267"/>
      <c r="X18" s="2267"/>
      <c r="Y18" s="2267"/>
      <c r="Z18" s="2267"/>
      <c r="AA18" s="2267"/>
      <c r="AB18" s="2267"/>
      <c r="AC18" s="2267"/>
      <c r="AD18" s="2267"/>
      <c r="AE18" s="2267"/>
      <c r="AF18" s="2267"/>
      <c r="AG18" s="2267"/>
      <c r="AH18" s="2267"/>
    </row>
    <row r="19" spans="1:34" ht="18.75" customHeight="1">
      <c r="A19" s="356"/>
      <c r="B19" s="367" t="s">
        <v>1957</v>
      </c>
      <c r="C19" s="364"/>
      <c r="D19" s="364"/>
      <c r="E19" s="364"/>
      <c r="F19" s="364"/>
      <c r="G19" s="364"/>
      <c r="H19" s="364"/>
      <c r="I19" s="364"/>
      <c r="J19" s="364"/>
      <c r="K19" s="364"/>
      <c r="L19" s="364"/>
      <c r="M19" s="364"/>
      <c r="N19" s="366"/>
      <c r="O19" s="2269"/>
      <c r="P19" s="2269"/>
      <c r="Q19" s="2269"/>
      <c r="R19" s="2269"/>
      <c r="S19" s="2267"/>
      <c r="T19" s="2267"/>
      <c r="U19" s="2267"/>
      <c r="V19" s="2267"/>
      <c r="W19" s="2267"/>
      <c r="X19" s="2267"/>
      <c r="Y19" s="2267"/>
      <c r="Z19" s="2267"/>
      <c r="AA19" s="2267"/>
      <c r="AB19" s="2267"/>
      <c r="AC19" s="2267"/>
      <c r="AD19" s="2267"/>
      <c r="AE19" s="2267"/>
      <c r="AF19" s="2267"/>
      <c r="AG19" s="2267"/>
      <c r="AH19" s="2267"/>
    </row>
    <row r="20" spans="1:34" ht="18.75" customHeight="1">
      <c r="A20" s="356"/>
      <c r="B20" s="367" t="s">
        <v>1958</v>
      </c>
      <c r="C20" s="364"/>
      <c r="D20" s="364"/>
      <c r="E20" s="364"/>
      <c r="F20" s="364"/>
      <c r="G20" s="364"/>
      <c r="H20" s="364"/>
      <c r="I20" s="364"/>
      <c r="J20" s="364"/>
      <c r="K20" s="364"/>
      <c r="L20" s="364"/>
      <c r="M20" s="364"/>
      <c r="N20" s="366"/>
      <c r="O20" s="2269"/>
      <c r="P20" s="2269"/>
      <c r="Q20" s="2269"/>
      <c r="R20" s="2269"/>
      <c r="S20" s="2267"/>
      <c r="T20" s="2267"/>
      <c r="U20" s="2267"/>
      <c r="V20" s="2267"/>
      <c r="W20" s="2267"/>
      <c r="X20" s="2267"/>
      <c r="Y20" s="2267"/>
      <c r="Z20" s="2267"/>
      <c r="AA20" s="2267"/>
      <c r="AB20" s="2267"/>
      <c r="AC20" s="2267"/>
      <c r="AD20" s="2267"/>
      <c r="AE20" s="2267"/>
      <c r="AF20" s="2267"/>
      <c r="AG20" s="2267"/>
      <c r="AH20" s="2267"/>
    </row>
    <row r="21" spans="1:34" ht="18.75" customHeight="1">
      <c r="A21" s="356" t="s">
        <v>673</v>
      </c>
      <c r="B21" s="367" t="s">
        <v>2067</v>
      </c>
      <c r="C21" s="365"/>
      <c r="D21" s="365"/>
      <c r="E21" s="365"/>
      <c r="F21" s="365"/>
      <c r="G21" s="365"/>
      <c r="H21" s="365"/>
      <c r="I21" s="365"/>
      <c r="J21" s="365"/>
      <c r="K21" s="365"/>
      <c r="L21" s="365"/>
      <c r="M21" s="365"/>
      <c r="N21" s="366"/>
      <c r="O21" s="2269">
        <v>0</v>
      </c>
      <c r="P21" s="2269"/>
      <c r="Q21" s="2269"/>
      <c r="R21" s="2269"/>
      <c r="S21" s="2270">
        <f>UNOS1!G21</f>
        <v>0</v>
      </c>
      <c r="T21" s="2270"/>
      <c r="U21" s="2270"/>
      <c r="V21" s="2270"/>
      <c r="W21" s="2270">
        <f>UNOS1!H21</f>
        <v>0</v>
      </c>
      <c r="X21" s="2270"/>
      <c r="Y21" s="2270"/>
      <c r="Z21" s="2270"/>
      <c r="AA21" s="2270">
        <f>IF(S21-W21&lt;0,0,S21-W21)</f>
        <v>0</v>
      </c>
      <c r="AB21" s="2270"/>
      <c r="AC21" s="2270"/>
      <c r="AD21" s="2270"/>
      <c r="AE21" s="2270">
        <f>IF(W21-S21&lt;0,0,W21-S21)</f>
        <v>0</v>
      </c>
      <c r="AF21" s="2270"/>
      <c r="AG21" s="2270"/>
      <c r="AH21" s="2270"/>
    </row>
    <row r="22" spans="1:34" ht="18.75" customHeight="1">
      <c r="A22" s="356" t="s">
        <v>674</v>
      </c>
      <c r="B22" s="367" t="s">
        <v>1954</v>
      </c>
      <c r="C22" s="365"/>
      <c r="D22" s="365"/>
      <c r="E22" s="365"/>
      <c r="F22" s="365"/>
      <c r="G22" s="365"/>
      <c r="H22" s="365"/>
      <c r="I22" s="365"/>
      <c r="J22" s="365"/>
      <c r="K22" s="365"/>
      <c r="L22" s="365"/>
      <c r="M22" s="365"/>
      <c r="N22" s="366"/>
      <c r="O22" s="2269">
        <v>0</v>
      </c>
      <c r="P22" s="2269"/>
      <c r="Q22" s="2269"/>
      <c r="R22" s="2269"/>
      <c r="S22" s="2270">
        <f>UNOS1!G22</f>
        <v>0</v>
      </c>
      <c r="T22" s="2270"/>
      <c r="U22" s="2270"/>
      <c r="V22" s="2270"/>
      <c r="W22" s="2270">
        <f>UNOS1!H22</f>
        <v>0</v>
      </c>
      <c r="X22" s="2270"/>
      <c r="Y22" s="2270"/>
      <c r="Z22" s="2270"/>
      <c r="AA22" s="2270">
        <f>IF(S22-W22&lt;0,0,S22-W22)</f>
        <v>0</v>
      </c>
      <c r="AB22" s="2270"/>
      <c r="AC22" s="2270"/>
      <c r="AD22" s="2270"/>
      <c r="AE22" s="2270">
        <f>IF(W22-S22&lt;0,0,W22-S22)</f>
        <v>0</v>
      </c>
      <c r="AF22" s="2270"/>
      <c r="AG22" s="2270"/>
      <c r="AH22" s="2270"/>
    </row>
    <row r="23" spans="1:34" ht="18.75" customHeight="1">
      <c r="A23" s="356" t="s">
        <v>675</v>
      </c>
      <c r="B23" s="367" t="s">
        <v>1955</v>
      </c>
      <c r="C23" s="365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6"/>
      <c r="O23" s="2269">
        <v>0</v>
      </c>
      <c r="P23" s="2269"/>
      <c r="Q23" s="2269"/>
      <c r="R23" s="2269"/>
      <c r="S23" s="2270">
        <f>UNOS1!G23</f>
        <v>0</v>
      </c>
      <c r="T23" s="2270"/>
      <c r="U23" s="2270"/>
      <c r="V23" s="2270"/>
      <c r="W23" s="2270">
        <f>UNOS1!H23</f>
        <v>0</v>
      </c>
      <c r="X23" s="2270"/>
      <c r="Y23" s="2270"/>
      <c r="Z23" s="2270"/>
      <c r="AA23" s="2270">
        <f>IF(S23-W23&lt;0,0,S23-W23)</f>
        <v>0</v>
      </c>
      <c r="AB23" s="2270"/>
      <c r="AC23" s="2270"/>
      <c r="AD23" s="2270"/>
      <c r="AE23" s="2270">
        <f>IF(W23-S23&lt;0,0,W23-S23)</f>
        <v>0</v>
      </c>
      <c r="AF23" s="2270"/>
      <c r="AG23" s="2270"/>
      <c r="AH23" s="2270"/>
    </row>
    <row r="24" spans="1:34" ht="18.75" customHeight="1">
      <c r="A24" s="356"/>
      <c r="B24" s="363" t="s">
        <v>1959</v>
      </c>
      <c r="C24" s="365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6"/>
      <c r="O24" s="2269"/>
      <c r="P24" s="2269"/>
      <c r="Q24" s="2269"/>
      <c r="R24" s="2269"/>
      <c r="S24" s="2267"/>
      <c r="T24" s="2267"/>
      <c r="U24" s="2267"/>
      <c r="V24" s="2267"/>
      <c r="W24" s="2267"/>
      <c r="X24" s="2267"/>
      <c r="Y24" s="2267"/>
      <c r="Z24" s="2267"/>
      <c r="AA24" s="2267"/>
      <c r="AB24" s="2267"/>
      <c r="AC24" s="2267"/>
      <c r="AD24" s="2267"/>
      <c r="AE24" s="2267"/>
      <c r="AF24" s="2267"/>
      <c r="AG24" s="2267"/>
      <c r="AH24" s="2267"/>
    </row>
    <row r="25" spans="1:34" ht="18.75" customHeight="1">
      <c r="A25" s="356"/>
      <c r="B25" s="367" t="s">
        <v>2202</v>
      </c>
      <c r="C25" s="365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6"/>
      <c r="O25" s="2269"/>
      <c r="P25" s="2269"/>
      <c r="Q25" s="2269"/>
      <c r="R25" s="2269"/>
      <c r="S25" s="2267"/>
      <c r="T25" s="2267"/>
      <c r="U25" s="2267"/>
      <c r="V25" s="2267"/>
      <c r="W25" s="2267"/>
      <c r="X25" s="2267"/>
      <c r="Y25" s="2267"/>
      <c r="Z25" s="2267"/>
      <c r="AA25" s="2267"/>
      <c r="AB25" s="2267"/>
      <c r="AC25" s="2267"/>
      <c r="AD25" s="2267"/>
      <c r="AE25" s="2267"/>
      <c r="AF25" s="2267"/>
      <c r="AG25" s="2267"/>
      <c r="AH25" s="2267"/>
    </row>
    <row r="26" spans="1:34" ht="18.75" customHeight="1">
      <c r="A26" s="356"/>
      <c r="B26" s="367" t="s">
        <v>2203</v>
      </c>
      <c r="C26" s="365"/>
      <c r="D26" s="365"/>
      <c r="E26" s="365"/>
      <c r="F26" s="2271">
        <v>0</v>
      </c>
      <c r="G26" s="2271"/>
      <c r="H26" s="2271"/>
      <c r="I26" s="2271"/>
      <c r="J26" s="365" t="s">
        <v>2066</v>
      </c>
      <c r="K26" s="365"/>
      <c r="L26" s="365"/>
      <c r="M26" s="365"/>
      <c r="N26" s="366"/>
      <c r="O26" s="2269"/>
      <c r="P26" s="2269"/>
      <c r="Q26" s="2269"/>
      <c r="R26" s="2269"/>
      <c r="S26" s="2267"/>
      <c r="T26" s="2267"/>
      <c r="U26" s="2267"/>
      <c r="V26" s="2267"/>
      <c r="W26" s="2267"/>
      <c r="X26" s="2267"/>
      <c r="Y26" s="2267"/>
      <c r="Z26" s="2267"/>
      <c r="AA26" s="2267"/>
      <c r="AB26" s="2267"/>
      <c r="AC26" s="2267"/>
      <c r="AD26" s="2267"/>
      <c r="AE26" s="2267"/>
      <c r="AF26" s="2267"/>
      <c r="AG26" s="2267"/>
      <c r="AH26" s="2267"/>
    </row>
    <row r="27" spans="1:34" ht="18.75" customHeight="1">
      <c r="A27" s="356" t="s">
        <v>673</v>
      </c>
      <c r="B27" s="367" t="s">
        <v>2067</v>
      </c>
      <c r="C27" s="365"/>
      <c r="D27" s="365"/>
      <c r="E27" s="365"/>
      <c r="F27" s="365"/>
      <c r="G27" s="365"/>
      <c r="H27" s="365"/>
      <c r="I27" s="365"/>
      <c r="J27" s="365"/>
      <c r="K27" s="365"/>
      <c r="L27" s="365"/>
      <c r="M27" s="365"/>
      <c r="N27" s="366"/>
      <c r="O27" s="2269">
        <v>0</v>
      </c>
      <c r="P27" s="2269"/>
      <c r="Q27" s="2269"/>
      <c r="R27" s="2269"/>
      <c r="S27" s="2270">
        <v>0</v>
      </c>
      <c r="T27" s="2270"/>
      <c r="U27" s="2270"/>
      <c r="V27" s="2270"/>
      <c r="W27" s="2270">
        <v>0</v>
      </c>
      <c r="X27" s="2270"/>
      <c r="Y27" s="2270"/>
      <c r="Z27" s="2270"/>
      <c r="AA27" s="2270">
        <f>IF(S27-W27&lt;0,0,S27-W27)</f>
        <v>0</v>
      </c>
      <c r="AB27" s="2270"/>
      <c r="AC27" s="2270"/>
      <c r="AD27" s="2270"/>
      <c r="AE27" s="2270">
        <f>IF(W27-S27&lt;0,0,W27-S27)</f>
        <v>0</v>
      </c>
      <c r="AF27" s="2270"/>
      <c r="AG27" s="2270"/>
      <c r="AH27" s="2270"/>
    </row>
    <row r="28" spans="1:34" ht="18.75" customHeight="1">
      <c r="A28" s="356" t="s">
        <v>674</v>
      </c>
      <c r="B28" s="367" t="s">
        <v>1954</v>
      </c>
      <c r="C28" s="365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6"/>
      <c r="O28" s="2269">
        <v>0</v>
      </c>
      <c r="P28" s="2269"/>
      <c r="Q28" s="2269"/>
      <c r="R28" s="2269"/>
      <c r="S28" s="2270">
        <v>0</v>
      </c>
      <c r="T28" s="2270"/>
      <c r="U28" s="2270"/>
      <c r="V28" s="2270"/>
      <c r="W28" s="2270">
        <v>0</v>
      </c>
      <c r="X28" s="2270"/>
      <c r="Y28" s="2270"/>
      <c r="Z28" s="2270"/>
      <c r="AA28" s="2270">
        <f>IF(S28-W28&lt;0,0,S28-W28)</f>
        <v>0</v>
      </c>
      <c r="AB28" s="2270"/>
      <c r="AC28" s="2270"/>
      <c r="AD28" s="2270"/>
      <c r="AE28" s="2270">
        <f>IF(W28-S28&lt;0,0,W28-S28)</f>
        <v>0</v>
      </c>
      <c r="AF28" s="2270"/>
      <c r="AG28" s="2270"/>
      <c r="AH28" s="2270"/>
    </row>
    <row r="29" spans="1:34" ht="18.75" customHeight="1">
      <c r="A29" s="356" t="s">
        <v>675</v>
      </c>
      <c r="B29" s="367" t="s">
        <v>1955</v>
      </c>
      <c r="C29" s="365"/>
      <c r="D29" s="365"/>
      <c r="E29" s="365"/>
      <c r="F29" s="365"/>
      <c r="G29" s="365"/>
      <c r="H29" s="365"/>
      <c r="I29" s="365"/>
      <c r="J29" s="365"/>
      <c r="K29" s="365"/>
      <c r="L29" s="365"/>
      <c r="M29" s="365"/>
      <c r="N29" s="366"/>
      <c r="O29" s="2269">
        <v>0</v>
      </c>
      <c r="P29" s="2269"/>
      <c r="Q29" s="2269"/>
      <c r="R29" s="2269"/>
      <c r="S29" s="2270">
        <v>0</v>
      </c>
      <c r="T29" s="2270"/>
      <c r="U29" s="2270"/>
      <c r="V29" s="2270"/>
      <c r="W29" s="2270">
        <v>0</v>
      </c>
      <c r="X29" s="2270"/>
      <c r="Y29" s="2270"/>
      <c r="Z29" s="2270"/>
      <c r="AA29" s="2270">
        <f>IF(S29-W29&lt;0,0,S29-W29)</f>
        <v>0</v>
      </c>
      <c r="AB29" s="2270"/>
      <c r="AC29" s="2270"/>
      <c r="AD29" s="2270"/>
      <c r="AE29" s="2270">
        <f>IF(W29-S29&lt;0,0,W29-S29)</f>
        <v>0</v>
      </c>
      <c r="AF29" s="2270"/>
      <c r="AG29" s="2270"/>
      <c r="AH29" s="2270"/>
    </row>
    <row r="30" spans="1:34" ht="9" customHeight="1">
      <c r="A30" s="57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</row>
    <row r="31" spans="1:34" ht="3.75" customHeight="1"/>
    <row r="32" spans="1:34">
      <c r="A32" s="2" t="s">
        <v>2628</v>
      </c>
      <c r="Z32" s="2277" t="s">
        <v>2204</v>
      </c>
      <c r="AA32" s="2277"/>
      <c r="AB32" s="2277"/>
      <c r="AC32" s="2277"/>
      <c r="AD32" s="2277"/>
      <c r="AE32" s="2277"/>
    </row>
    <row r="33" spans="1:34" ht="14.25" customHeight="1">
      <c r="A33" s="2275"/>
      <c r="B33" s="2275"/>
      <c r="C33" s="2275"/>
      <c r="D33" s="2275"/>
      <c r="E33" s="2275"/>
      <c r="F33" s="2275"/>
      <c r="G33" s="2275"/>
      <c r="H33" s="2275"/>
      <c r="Q33" s="50" t="s">
        <v>686</v>
      </c>
      <c r="Z33" s="2190"/>
      <c r="AA33" s="2190"/>
      <c r="AB33" s="2190"/>
      <c r="AC33" s="2190"/>
      <c r="AD33" s="2190"/>
      <c r="AE33" s="2190"/>
      <c r="AG33" s="58"/>
      <c r="AH33" s="59"/>
    </row>
    <row r="34" spans="1:34">
      <c r="A34" s="2273">
        <f>RacunovodjaIme</f>
        <v>0</v>
      </c>
      <c r="B34" s="2273"/>
      <c r="C34" s="2273"/>
      <c r="D34" s="2273"/>
      <c r="E34" s="2273"/>
      <c r="F34" s="2273"/>
      <c r="G34" s="2273"/>
      <c r="H34" s="2273"/>
      <c r="I34" s="56"/>
      <c r="Z34" s="2276"/>
      <c r="AA34" s="2276"/>
      <c r="AB34" s="2276"/>
      <c r="AC34" s="2276"/>
      <c r="AD34" s="2276"/>
      <c r="AE34" s="2276"/>
    </row>
    <row r="35" spans="1:34">
      <c r="A35" s="50" t="s">
        <v>844</v>
      </c>
      <c r="E35" s="2274">
        <f>RacunovodjaLicenca</f>
        <v>0</v>
      </c>
      <c r="F35" s="2274"/>
      <c r="G35" s="2274"/>
      <c r="H35" s="2274"/>
      <c r="I35" s="2274"/>
      <c r="Z35" s="2273">
        <f>FirmaDirekor</f>
        <v>0</v>
      </c>
      <c r="AA35" s="2273"/>
      <c r="AB35" s="2273"/>
      <c r="AC35" s="2273"/>
      <c r="AD35" s="2273"/>
      <c r="AE35" s="2273"/>
    </row>
    <row r="36" spans="1:34">
      <c r="A36" s="50" t="s">
        <v>154</v>
      </c>
      <c r="C36" s="60"/>
      <c r="E36" s="2272">
        <f>RacunovodjaTelefon</f>
        <v>0</v>
      </c>
      <c r="F36" s="2272"/>
      <c r="G36" s="2272"/>
      <c r="H36" s="2272"/>
      <c r="I36" s="2272"/>
    </row>
  </sheetData>
  <mergeCells count="93">
    <mergeCell ref="E36:I36"/>
    <mergeCell ref="A34:H34"/>
    <mergeCell ref="Z35:AE35"/>
    <mergeCell ref="E35:I35"/>
    <mergeCell ref="W29:Z29"/>
    <mergeCell ref="A33:H33"/>
    <mergeCell ref="Z33:AE34"/>
    <mergeCell ref="O29:R29"/>
    <mergeCell ref="S29:V29"/>
    <mergeCell ref="Z32:AE32"/>
    <mergeCell ref="AE29:AH29"/>
    <mergeCell ref="O28:R28"/>
    <mergeCell ref="W23:Z23"/>
    <mergeCell ref="S23:V23"/>
    <mergeCell ref="S28:V28"/>
    <mergeCell ref="AA29:AD29"/>
    <mergeCell ref="AA27:AD27"/>
    <mergeCell ref="O23:R23"/>
    <mergeCell ref="AE27:AH27"/>
    <mergeCell ref="W28:Z28"/>
    <mergeCell ref="AA28:AD28"/>
    <mergeCell ref="AE28:AH28"/>
    <mergeCell ref="AE23:AH23"/>
    <mergeCell ref="AA23:AD23"/>
    <mergeCell ref="AA24:AD26"/>
    <mergeCell ref="AE24:AH26"/>
    <mergeCell ref="F26:I26"/>
    <mergeCell ref="O27:R27"/>
    <mergeCell ref="S27:V27"/>
    <mergeCell ref="W27:Z27"/>
    <mergeCell ref="O24:R26"/>
    <mergeCell ref="S24:V26"/>
    <mergeCell ref="W24:Z26"/>
    <mergeCell ref="AE21:AH21"/>
    <mergeCell ref="O22:R22"/>
    <mergeCell ref="AA22:AD22"/>
    <mergeCell ref="AE22:AH22"/>
    <mergeCell ref="O21:R21"/>
    <mergeCell ref="S21:V21"/>
    <mergeCell ref="AA21:AD21"/>
    <mergeCell ref="W22:Z22"/>
    <mergeCell ref="W21:Z21"/>
    <mergeCell ref="S22:V22"/>
    <mergeCell ref="AE17:AH17"/>
    <mergeCell ref="O18:R20"/>
    <mergeCell ref="S18:V20"/>
    <mergeCell ref="W18:Z20"/>
    <mergeCell ref="AA18:AD20"/>
    <mergeCell ref="AE18:AH20"/>
    <mergeCell ref="O17:R17"/>
    <mergeCell ref="S17:V17"/>
    <mergeCell ref="AA17:AD17"/>
    <mergeCell ref="W17:Z17"/>
    <mergeCell ref="AE15:AH15"/>
    <mergeCell ref="O16:R16"/>
    <mergeCell ref="S16:V16"/>
    <mergeCell ref="AA16:AD16"/>
    <mergeCell ref="AE16:AH16"/>
    <mergeCell ref="O15:R15"/>
    <mergeCell ref="S15:V15"/>
    <mergeCell ref="W15:Z15"/>
    <mergeCell ref="AA15:AD15"/>
    <mergeCell ref="W16:Z16"/>
    <mergeCell ref="T8:V8"/>
    <mergeCell ref="AE13:AH14"/>
    <mergeCell ref="B12:N12"/>
    <mergeCell ref="O12:R12"/>
    <mergeCell ref="S12:V12"/>
    <mergeCell ref="W12:Z12"/>
    <mergeCell ref="G14:J14"/>
    <mergeCell ref="AE12:AH12"/>
    <mergeCell ref="AA12:AD12"/>
    <mergeCell ref="O13:R14"/>
    <mergeCell ref="S13:V14"/>
    <mergeCell ref="W13:Z14"/>
    <mergeCell ref="AA13:AD14"/>
    <mergeCell ref="B10:N11"/>
    <mergeCell ref="E1:M1"/>
    <mergeCell ref="E2:M2"/>
    <mergeCell ref="E3:M3"/>
    <mergeCell ref="E4:M4"/>
    <mergeCell ref="AE11:AH11"/>
    <mergeCell ref="O10:R10"/>
    <mergeCell ref="S10:V10"/>
    <mergeCell ref="W10:Z10"/>
    <mergeCell ref="AA10:AH10"/>
    <mergeCell ref="O11:R11"/>
    <mergeCell ref="S11:V11"/>
    <mergeCell ref="W11:Z11"/>
    <mergeCell ref="AA11:AD11"/>
    <mergeCell ref="E5:M5"/>
    <mergeCell ref="B7:AH7"/>
    <mergeCell ref="P8:R8"/>
  </mergeCells>
  <phoneticPr fontId="0" type="noConversion"/>
  <pageMargins left="0.47" right="0.22" top="0.26" bottom="0.24" header="0.17" footer="0.17"/>
  <pageSetup scale="95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5" enableFormatConditionsCalculation="0">
    <tabColor indexed="49"/>
  </sheetPr>
  <dimension ref="A1:O32"/>
  <sheetViews>
    <sheetView showGridLines="0" workbookViewId="0">
      <selection activeCell="I8" sqref="I8:K8"/>
    </sheetView>
  </sheetViews>
  <sheetFormatPr defaultRowHeight="12.75"/>
  <cols>
    <col min="1" max="1" width="5.28515625" style="2" customWidth="1"/>
    <col min="2" max="2" width="7.28515625" style="2" customWidth="1"/>
    <col min="3" max="3" width="28" style="2" customWidth="1"/>
    <col min="4" max="6" width="3.140625" style="2" customWidth="1"/>
    <col min="7" max="7" width="6.5703125" style="2" customWidth="1"/>
    <col min="8" max="8" width="13.42578125" style="2" customWidth="1"/>
    <col min="9" max="13" width="11.85546875" style="2" customWidth="1"/>
    <col min="14" max="14" width="7.28515625" style="2" customWidth="1"/>
    <col min="15" max="16384" width="9.140625" style="2"/>
  </cols>
  <sheetData>
    <row r="1" spans="1:15" s="13" customFormat="1" ht="42.75" customHeight="1">
      <c r="A1" s="2180" t="s">
        <v>699</v>
      </c>
      <c r="B1" s="2180"/>
      <c r="C1" s="2283">
        <f>FirmaNaziv</f>
        <v>0</v>
      </c>
      <c r="D1" s="2283"/>
      <c r="E1" s="2283"/>
      <c r="F1" s="2283"/>
      <c r="G1" s="2283"/>
      <c r="M1" s="2280" t="s">
        <v>378</v>
      </c>
      <c r="N1" s="2281"/>
    </row>
    <row r="2" spans="1:15" s="13" customFormat="1" ht="37.5" customHeight="1">
      <c r="A2" s="2180" t="s">
        <v>2222</v>
      </c>
      <c r="B2" s="2180"/>
      <c r="C2" s="2283" t="str">
        <f>FirmaSjediste&amp;";  "&amp;FirmaAdresa</f>
        <v xml:space="preserve">;  </v>
      </c>
      <c r="D2" s="2283"/>
      <c r="E2" s="2283"/>
      <c r="F2" s="2283"/>
      <c r="G2" s="2283"/>
      <c r="L2" s="2278"/>
      <c r="M2" s="2278"/>
      <c r="N2" s="2278"/>
    </row>
    <row r="3" spans="1:15" s="13" customFormat="1" ht="23.25" customHeight="1">
      <c r="A3" s="2180" t="s">
        <v>2223</v>
      </c>
      <c r="B3" s="2180"/>
      <c r="C3" s="2302">
        <f>FirmaDjeSifra</f>
        <v>0</v>
      </c>
      <c r="D3" s="2302"/>
      <c r="E3" s="2302"/>
      <c r="F3" s="2302"/>
      <c r="G3" s="2302"/>
      <c r="L3" s="2279"/>
      <c r="M3" s="2279"/>
      <c r="N3" s="2279"/>
    </row>
    <row r="4" spans="1:15" s="13" customFormat="1" ht="29.25" customHeight="1">
      <c r="A4" s="1890" t="s">
        <v>1183</v>
      </c>
      <c r="B4" s="1890"/>
      <c r="C4" s="2282">
        <f>FirmaID</f>
        <v>0</v>
      </c>
      <c r="D4" s="2282"/>
      <c r="E4" s="2282"/>
      <c r="F4" s="2282"/>
      <c r="G4" s="2282"/>
      <c r="L4" s="2279"/>
      <c r="M4" s="2279"/>
      <c r="N4" s="2279"/>
    </row>
    <row r="5" spans="1:15" s="13" customFormat="1" ht="29.25" customHeight="1">
      <c r="A5" s="2180" t="s">
        <v>700</v>
      </c>
      <c r="B5" s="2180"/>
      <c r="C5" s="2282">
        <f>FirmaRacun1</f>
        <v>0</v>
      </c>
      <c r="D5" s="2282"/>
      <c r="E5" s="2282"/>
      <c r="F5" s="2282"/>
      <c r="G5" s="2282"/>
      <c r="L5" s="2279"/>
      <c r="M5" s="2279"/>
      <c r="N5" s="2279"/>
    </row>
    <row r="6" spans="1:15" s="13" customFormat="1" ht="9.75" customHeight="1">
      <c r="L6" s="2279"/>
      <c r="M6" s="2279"/>
      <c r="N6" s="2279"/>
    </row>
    <row r="7" spans="1:15" ht="18.75">
      <c r="B7" s="180"/>
      <c r="C7" s="2301" t="s">
        <v>1313</v>
      </c>
      <c r="D7" s="2301"/>
      <c r="E7" s="2301"/>
      <c r="F7" s="2301"/>
      <c r="G7" s="2301"/>
      <c r="H7" s="2301"/>
      <c r="I7" s="2301"/>
      <c r="J7" s="2301"/>
      <c r="K7" s="2301"/>
      <c r="L7" s="2301"/>
      <c r="M7" s="2301"/>
      <c r="N7" s="2301"/>
    </row>
    <row r="8" spans="1:15" ht="18.75">
      <c r="H8" s="61" t="s">
        <v>545</v>
      </c>
      <c r="I8" s="2303" t="str">
        <f>ObracunOdDatuma &amp; "  do  " &amp; ObracunDoDatuma &amp; "  " &amp; ObracunGodina</f>
        <v>1.1.  do  31.12.  2011</v>
      </c>
      <c r="J8" s="2303"/>
      <c r="K8" s="2303"/>
      <c r="L8" s="62" t="s">
        <v>2268</v>
      </c>
      <c r="M8" s="1919"/>
      <c r="N8" s="1919"/>
    </row>
    <row r="9" spans="1:15">
      <c r="G9" s="6"/>
      <c r="H9" s="6"/>
      <c r="I9" s="38"/>
      <c r="J9" s="38"/>
      <c r="M9" s="1919"/>
      <c r="N9" s="1919"/>
    </row>
    <row r="10" spans="1:15" ht="6" customHeight="1" thickBot="1"/>
    <row r="11" spans="1:15" ht="16.5" customHeight="1">
      <c r="A11" s="2293" t="s">
        <v>379</v>
      </c>
      <c r="B11" s="2299" t="s">
        <v>380</v>
      </c>
      <c r="C11" s="2299"/>
      <c r="D11" s="2295" t="s">
        <v>2482</v>
      </c>
      <c r="E11" s="2295"/>
      <c r="F11" s="2295"/>
      <c r="G11" s="2295" t="s">
        <v>461</v>
      </c>
      <c r="H11" s="2295" t="s">
        <v>462</v>
      </c>
      <c r="I11" s="2296" t="s">
        <v>467</v>
      </c>
      <c r="J11" s="2297"/>
      <c r="K11" s="2297"/>
      <c r="L11" s="2297"/>
      <c r="M11" s="2298"/>
      <c r="N11" s="2288" t="s">
        <v>469</v>
      </c>
      <c r="O11" s="2289"/>
    </row>
    <row r="12" spans="1:15" s="14" customFormat="1" ht="27.75" customHeight="1">
      <c r="A12" s="2294"/>
      <c r="B12" s="2300"/>
      <c r="C12" s="2300"/>
      <c r="D12" s="1890"/>
      <c r="E12" s="1890"/>
      <c r="F12" s="1890"/>
      <c r="G12" s="1890"/>
      <c r="H12" s="1890"/>
      <c r="I12" s="30" t="s">
        <v>463</v>
      </c>
      <c r="J12" s="30" t="s">
        <v>464</v>
      </c>
      <c r="K12" s="30" t="s">
        <v>468</v>
      </c>
      <c r="L12" s="30" t="s">
        <v>465</v>
      </c>
      <c r="M12" s="1032" t="s">
        <v>466</v>
      </c>
      <c r="N12" s="2290"/>
      <c r="O12" s="2291"/>
    </row>
    <row r="13" spans="1:15" s="25" customFormat="1">
      <c r="A13" s="1039">
        <v>1</v>
      </c>
      <c r="B13" s="1939">
        <v>2</v>
      </c>
      <c r="C13" s="1939"/>
      <c r="D13" s="1939">
        <v>3</v>
      </c>
      <c r="E13" s="1939"/>
      <c r="F13" s="1939"/>
      <c r="G13" s="29">
        <v>4</v>
      </c>
      <c r="H13" s="29">
        <v>5</v>
      </c>
      <c r="I13" s="29">
        <v>6</v>
      </c>
      <c r="J13" s="29">
        <v>7</v>
      </c>
      <c r="K13" s="29">
        <v>8</v>
      </c>
      <c r="L13" s="29">
        <v>9</v>
      </c>
      <c r="M13" s="29">
        <v>10</v>
      </c>
      <c r="N13" s="1939">
        <v>11</v>
      </c>
      <c r="O13" s="2292"/>
    </row>
    <row r="14" spans="1:15" s="13" customFormat="1" ht="15.75" customHeight="1">
      <c r="A14" s="1040"/>
      <c r="B14" s="1033" t="s">
        <v>1308</v>
      </c>
      <c r="C14" s="452"/>
      <c r="D14" s="452"/>
      <c r="E14" s="452"/>
      <c r="F14" s="452"/>
      <c r="G14" s="452"/>
      <c r="H14" s="452"/>
      <c r="I14" s="452"/>
      <c r="J14" s="452"/>
      <c r="K14" s="452"/>
      <c r="L14" s="452"/>
      <c r="M14" s="452"/>
      <c r="N14" s="452"/>
      <c r="O14" s="1041"/>
    </row>
    <row r="15" spans="1:15" s="13" customFormat="1" ht="15.75" customHeight="1">
      <c r="A15" s="1042" t="s">
        <v>2046</v>
      </c>
      <c r="B15" s="1030" t="s">
        <v>1309</v>
      </c>
      <c r="C15" s="1031"/>
      <c r="D15" s="454"/>
      <c r="E15" s="452"/>
      <c r="F15" s="453"/>
      <c r="G15" s="1037">
        <v>0.01</v>
      </c>
      <c r="H15" s="1038"/>
      <c r="I15" s="1038"/>
      <c r="J15" s="1038"/>
      <c r="K15" s="1038">
        <f>I15+J15</f>
        <v>0</v>
      </c>
      <c r="L15" s="1038"/>
      <c r="M15" s="1038"/>
      <c r="N15" s="2284">
        <f>K15+L15+M15</f>
        <v>0</v>
      </c>
      <c r="O15" s="2285"/>
    </row>
    <row r="16" spans="1:15" s="13" customFormat="1" ht="15.75" customHeight="1">
      <c r="A16" s="1042"/>
      <c r="B16" s="1030" t="s">
        <v>1310</v>
      </c>
      <c r="C16" s="1031"/>
      <c r="D16" s="454"/>
      <c r="E16" s="452"/>
      <c r="F16" s="453"/>
      <c r="G16" s="1037">
        <v>0.01</v>
      </c>
      <c r="H16" s="1038"/>
      <c r="I16" s="1038"/>
      <c r="J16" s="1038"/>
      <c r="K16" s="1038">
        <f>I16+J16</f>
        <v>0</v>
      </c>
      <c r="L16" s="1038"/>
      <c r="M16" s="1038"/>
      <c r="N16" s="2284">
        <f>K16+L16+M16</f>
        <v>0</v>
      </c>
      <c r="O16" s="2285"/>
    </row>
    <row r="17" spans="1:15" s="13" customFormat="1" ht="15.75" customHeight="1">
      <c r="A17" s="1043"/>
      <c r="B17" s="1030" t="s">
        <v>1311</v>
      </c>
      <c r="C17" s="1031"/>
      <c r="D17" s="454"/>
      <c r="E17" s="452"/>
      <c r="F17" s="453"/>
      <c r="G17" s="1037">
        <v>0.05</v>
      </c>
      <c r="H17" s="1038"/>
      <c r="I17" s="1038"/>
      <c r="J17" s="1038"/>
      <c r="K17" s="1038">
        <f>I17+J17</f>
        <v>0</v>
      </c>
      <c r="L17" s="1038"/>
      <c r="M17" s="1038"/>
      <c r="N17" s="2284">
        <f>K17+L17+M17</f>
        <v>0</v>
      </c>
      <c r="O17" s="2285"/>
    </row>
    <row r="18" spans="1:15" s="13" customFormat="1" ht="16.5" customHeight="1">
      <c r="A18" s="1040"/>
      <c r="B18" s="8" t="s">
        <v>478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1044"/>
    </row>
    <row r="19" spans="1:15" s="13" customFormat="1" ht="16.5" customHeight="1">
      <c r="A19" s="1042" t="s">
        <v>2050</v>
      </c>
      <c r="B19" s="1030" t="s">
        <v>1309</v>
      </c>
      <c r="C19" s="1031"/>
      <c r="D19" s="454"/>
      <c r="E19" s="452"/>
      <c r="F19" s="453"/>
      <c r="G19" s="1037">
        <v>0.2</v>
      </c>
      <c r="H19" s="1038">
        <f>UNOS1!D27-H20</f>
        <v>0</v>
      </c>
      <c r="I19" s="1038">
        <f>UNOS1!H28-I20</f>
        <v>0</v>
      </c>
      <c r="J19" s="1038">
        <f>UNOS1!H29-J20</f>
        <v>0</v>
      </c>
      <c r="K19" s="1038">
        <f>I19+J19</f>
        <v>0</v>
      </c>
      <c r="L19" s="1038">
        <f>UNOS1!H30-L20</f>
        <v>0</v>
      </c>
      <c r="M19" s="1038">
        <f>UNOS1!H31-M20</f>
        <v>0</v>
      </c>
      <c r="N19" s="2284">
        <f>K19+L19+M19</f>
        <v>0</v>
      </c>
      <c r="O19" s="2285"/>
    </row>
    <row r="20" spans="1:15" s="13" customFormat="1" ht="16.5" customHeight="1" thickBot="1">
      <c r="A20" s="1045"/>
      <c r="B20" s="1046" t="s">
        <v>479</v>
      </c>
      <c r="C20" s="1047"/>
      <c r="D20" s="1048"/>
      <c r="E20" s="1049"/>
      <c r="F20" s="1050"/>
      <c r="G20" s="1051">
        <v>0.8</v>
      </c>
      <c r="H20" s="1052">
        <f>UNOS1!D27*0.8</f>
        <v>0</v>
      </c>
      <c r="I20" s="1052">
        <f>UNOS1!H28*G20</f>
        <v>0</v>
      </c>
      <c r="J20" s="1052">
        <f>UNOS1!H29*G20</f>
        <v>0</v>
      </c>
      <c r="K20" s="1052">
        <f>I20+J20</f>
        <v>0</v>
      </c>
      <c r="L20" s="1052">
        <f>UNOS1!H30*G20</f>
        <v>0</v>
      </c>
      <c r="M20" s="1052">
        <f>UNOS1!H31*G20</f>
        <v>0</v>
      </c>
      <c r="N20" s="2286">
        <f>K20+L20+M20</f>
        <v>0</v>
      </c>
      <c r="O20" s="2287"/>
    </row>
    <row r="21" spans="1:15" s="13" customFormat="1" ht="22.5" customHeight="1">
      <c r="B21" s="3"/>
    </row>
    <row r="22" spans="1:15" s="13" customFormat="1" ht="23.25" customHeight="1"/>
    <row r="23" spans="1:15" s="13" customFormat="1" ht="8.25" customHeight="1"/>
    <row r="24" spans="1:15" s="13" customFormat="1">
      <c r="C24" s="13" t="str">
        <f>("Datum: " &amp; ObracunPredaja &amp; " godine")</f>
        <v>Datum: 28.2.2012. godine</v>
      </c>
      <c r="M24" s="2219"/>
      <c r="N24" s="2219"/>
    </row>
    <row r="25" spans="1:15" s="13" customFormat="1" ht="15.75">
      <c r="C25" s="14" t="s">
        <v>2635</v>
      </c>
      <c r="J25" s="15" t="s">
        <v>686</v>
      </c>
      <c r="M25" s="2219" t="s">
        <v>845</v>
      </c>
      <c r="N25" s="2219"/>
    </row>
    <row r="26" spans="1:15" s="13" customFormat="1" ht="20.25" customHeight="1">
      <c r="C26" s="358"/>
      <c r="M26" s="2230"/>
      <c r="N26" s="2230"/>
    </row>
    <row r="27" spans="1:15" s="13" customFormat="1" ht="14.25" customHeight="1">
      <c r="C27" s="359">
        <f>RacunovodjaIme</f>
        <v>0</v>
      </c>
      <c r="M27" s="2227">
        <f>FirmaDirekor</f>
        <v>0</v>
      </c>
      <c r="N27" s="2227"/>
    </row>
    <row r="29" spans="1:15">
      <c r="A29" s="2" t="s">
        <v>480</v>
      </c>
      <c r="B29" s="2" t="s">
        <v>481</v>
      </c>
    </row>
    <row r="31" spans="1:15">
      <c r="A31" s="2" t="s">
        <v>482</v>
      </c>
      <c r="B31" s="2" t="s">
        <v>483</v>
      </c>
    </row>
    <row r="32" spans="1:15">
      <c r="B32" s="2" t="s">
        <v>1312</v>
      </c>
    </row>
  </sheetData>
  <mergeCells count="35">
    <mergeCell ref="M8:N9"/>
    <mergeCell ref="C7:N7"/>
    <mergeCell ref="C2:G2"/>
    <mergeCell ref="C3:G3"/>
    <mergeCell ref="C4:G4"/>
    <mergeCell ref="I8:K8"/>
    <mergeCell ref="N11:O12"/>
    <mergeCell ref="N13:O13"/>
    <mergeCell ref="N15:O15"/>
    <mergeCell ref="A11:A12"/>
    <mergeCell ref="G11:G12"/>
    <mergeCell ref="H11:H12"/>
    <mergeCell ref="I11:M11"/>
    <mergeCell ref="B11:C12"/>
    <mergeCell ref="D11:F12"/>
    <mergeCell ref="M27:N27"/>
    <mergeCell ref="M25:N25"/>
    <mergeCell ref="M24:N24"/>
    <mergeCell ref="B13:C13"/>
    <mergeCell ref="D13:F13"/>
    <mergeCell ref="M26:N26"/>
    <mergeCell ref="N19:O19"/>
    <mergeCell ref="N20:O20"/>
    <mergeCell ref="N16:O16"/>
    <mergeCell ref="N17:O17"/>
    <mergeCell ref="A1:B1"/>
    <mergeCell ref="A2:B2"/>
    <mergeCell ref="L2:N2"/>
    <mergeCell ref="A3:B3"/>
    <mergeCell ref="L3:N6"/>
    <mergeCell ref="A5:B5"/>
    <mergeCell ref="M1:N1"/>
    <mergeCell ref="A4:B4"/>
    <mergeCell ref="C5:G5"/>
    <mergeCell ref="C1:G1"/>
  </mergeCells>
  <phoneticPr fontId="0" type="noConversion"/>
  <pageMargins left="0.38" right="0.22" top="0.32" bottom="0.32" header="0.17" footer="0.2"/>
  <pageSetup paperSize="9" scale="95" orientation="landscape" horizontalDpi="4294967293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1" enableFormatConditionsCalculation="0">
    <tabColor indexed="41"/>
  </sheetPr>
  <dimension ref="B1:AK76"/>
  <sheetViews>
    <sheetView showGridLines="0" workbookViewId="0">
      <selection activeCell="V7" sqref="V7:X7"/>
    </sheetView>
  </sheetViews>
  <sheetFormatPr defaultColWidth="2.85546875" defaultRowHeight="19.5" customHeight="1"/>
  <cols>
    <col min="1" max="37" width="2.85546875" style="26" customWidth="1"/>
    <col min="38" max="38" width="1.42578125" style="26" customWidth="1"/>
    <col min="39" max="16384" width="2.85546875" style="26"/>
  </cols>
  <sheetData>
    <row r="1" spans="2:37" ht="18.75" customHeight="1">
      <c r="B1" s="440" t="s">
        <v>1361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</row>
    <row r="2" spans="2:37" ht="14.25" customHeight="1">
      <c r="B2" s="440" t="s">
        <v>1362</v>
      </c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AB2" s="563"/>
      <c r="AC2" s="526"/>
      <c r="AD2" s="526"/>
      <c r="AE2" s="526"/>
      <c r="AF2" s="526"/>
      <c r="AG2" s="526"/>
      <c r="AH2" s="526"/>
      <c r="AI2" s="564" t="s">
        <v>1364</v>
      </c>
      <c r="AJ2" s="535"/>
    </row>
    <row r="3" spans="2:37" ht="13.5" customHeight="1">
      <c r="B3" s="440" t="s">
        <v>1363</v>
      </c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</row>
    <row r="4" spans="2:37" ht="15.75" customHeight="1">
      <c r="B4" s="2314">
        <f>FirmaSjediste</f>
        <v>0</v>
      </c>
      <c r="C4" s="2314"/>
      <c r="D4" s="2314"/>
      <c r="E4" s="2314"/>
      <c r="F4" s="2314"/>
      <c r="G4" s="2314"/>
      <c r="H4" s="2314"/>
      <c r="I4" s="2314"/>
      <c r="J4" s="2314"/>
      <c r="K4" s="2314"/>
      <c r="L4" s="2314"/>
      <c r="M4" s="2314"/>
      <c r="N4" s="2314"/>
      <c r="O4" s="2314"/>
      <c r="P4" s="2314"/>
    </row>
    <row r="5" spans="2:37" ht="19.5" customHeight="1">
      <c r="B5" s="565" t="s">
        <v>671</v>
      </c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  <c r="P5" s="431"/>
    </row>
    <row r="6" spans="2:37" ht="19.5" customHeight="1">
      <c r="Q6" s="430" t="s">
        <v>1360</v>
      </c>
    </row>
    <row r="7" spans="2:37" ht="19.5" customHeight="1">
      <c r="N7" s="439" t="s">
        <v>545</v>
      </c>
      <c r="O7" s="2208" t="str">
        <f>ObracunOdDatuma</f>
        <v>1.1.</v>
      </c>
      <c r="P7" s="2208"/>
      <c r="Q7" s="2208"/>
      <c r="R7" s="431" t="s">
        <v>546</v>
      </c>
      <c r="S7" s="2208" t="str">
        <f>ObracunDoDatuma</f>
        <v>31.12.</v>
      </c>
      <c r="T7" s="2208"/>
      <c r="U7" s="2208"/>
      <c r="V7" s="2322" t="str">
        <f>ObracunGodina</f>
        <v>2011</v>
      </c>
      <c r="W7" s="2322"/>
      <c r="X7" s="2322"/>
      <c r="Y7" s="440" t="s">
        <v>2268</v>
      </c>
    </row>
    <row r="8" spans="2:37" ht="7.5" customHeight="1" thickBot="1"/>
    <row r="9" spans="2:37" ht="19.5" customHeight="1">
      <c r="B9" s="2320" t="s">
        <v>294</v>
      </c>
      <c r="C9" s="2321"/>
      <c r="D9" s="539"/>
      <c r="E9" s="540" t="s">
        <v>2387</v>
      </c>
      <c r="F9" s="539"/>
      <c r="G9" s="539"/>
      <c r="H9" s="539"/>
      <c r="I9" s="539"/>
      <c r="J9" s="539"/>
      <c r="K9" s="539"/>
      <c r="L9" s="539"/>
      <c r="M9" s="539"/>
      <c r="N9" s="539"/>
      <c r="O9" s="539"/>
      <c r="P9" s="539"/>
      <c r="Q9" s="539"/>
      <c r="R9" s="539"/>
      <c r="S9" s="539"/>
      <c r="T9" s="539"/>
      <c r="U9" s="539"/>
      <c r="V9" s="539"/>
      <c r="W9" s="539"/>
      <c r="X9" s="539"/>
      <c r="Y9" s="539"/>
      <c r="Z9" s="539"/>
      <c r="AA9" s="539"/>
      <c r="AB9" s="539"/>
      <c r="AC9" s="539"/>
      <c r="AD9" s="539"/>
      <c r="AE9" s="539"/>
      <c r="AF9" s="539"/>
      <c r="AG9" s="539"/>
      <c r="AH9" s="539"/>
      <c r="AI9" s="539"/>
      <c r="AJ9" s="539"/>
      <c r="AK9" s="541"/>
    </row>
    <row r="10" spans="2:37" ht="19.5" customHeight="1">
      <c r="B10" s="542" t="s">
        <v>673</v>
      </c>
      <c r="C10" s="514"/>
      <c r="D10" s="534" t="s">
        <v>376</v>
      </c>
      <c r="E10" s="514"/>
      <c r="F10" s="514"/>
      <c r="G10" s="514"/>
      <c r="H10" s="514"/>
      <c r="I10" s="514"/>
      <c r="J10" s="514"/>
      <c r="K10" s="514"/>
      <c r="L10" s="2323">
        <f>FirmaNaziv</f>
        <v>0</v>
      </c>
      <c r="M10" s="2323"/>
      <c r="N10" s="2323"/>
      <c r="O10" s="2323"/>
      <c r="P10" s="2323"/>
      <c r="Q10" s="2323"/>
      <c r="R10" s="2323"/>
      <c r="S10" s="2323"/>
      <c r="T10" s="2323"/>
      <c r="U10" s="2323"/>
      <c r="V10" s="2323"/>
      <c r="W10" s="2323"/>
      <c r="X10" s="2323"/>
      <c r="Y10" s="2323"/>
      <c r="Z10" s="2323"/>
      <c r="AA10" s="2323"/>
      <c r="AB10" s="2323"/>
      <c r="AC10" s="2323"/>
      <c r="AD10" s="2323"/>
      <c r="AE10" s="2323"/>
      <c r="AF10" s="2323"/>
      <c r="AG10" s="2323"/>
      <c r="AH10" s="2323"/>
      <c r="AI10" s="2323"/>
      <c r="AJ10" s="2323"/>
      <c r="AK10" s="2324"/>
    </row>
    <row r="11" spans="2:37" ht="5.25" customHeight="1">
      <c r="B11" s="543"/>
      <c r="C11" s="530"/>
      <c r="D11" s="536"/>
      <c r="E11" s="530"/>
      <c r="F11" s="530"/>
      <c r="G11" s="530"/>
      <c r="H11" s="530"/>
      <c r="I11" s="530"/>
      <c r="J11" s="530"/>
      <c r="K11" s="530"/>
      <c r="L11" s="537"/>
      <c r="M11" s="537"/>
      <c r="N11" s="537"/>
      <c r="O11" s="537"/>
      <c r="P11" s="537"/>
      <c r="Q11" s="537"/>
      <c r="R11" s="537"/>
      <c r="S11" s="537"/>
      <c r="T11" s="537"/>
      <c r="U11" s="537"/>
      <c r="V11" s="537"/>
      <c r="W11" s="537"/>
      <c r="X11" s="537"/>
      <c r="Y11" s="537"/>
      <c r="Z11" s="537"/>
      <c r="AA11" s="537"/>
      <c r="AB11" s="537"/>
      <c r="AC11" s="537"/>
      <c r="AD11" s="537"/>
      <c r="AE11" s="537"/>
      <c r="AF11" s="537"/>
      <c r="AG11" s="537"/>
      <c r="AH11" s="537"/>
      <c r="AI11" s="537"/>
      <c r="AJ11" s="537"/>
      <c r="AK11" s="544"/>
    </row>
    <row r="12" spans="2:37" ht="16.5" customHeight="1">
      <c r="B12" s="545" t="s">
        <v>674</v>
      </c>
      <c r="C12" s="510"/>
      <c r="D12" s="533" t="s">
        <v>377</v>
      </c>
      <c r="E12" s="510"/>
      <c r="F12" s="510"/>
      <c r="G12" s="510"/>
      <c r="H12" s="510"/>
      <c r="I12" s="510"/>
      <c r="J12" s="510"/>
      <c r="K12" s="566" t="str">
        <f>MID(FirmaID,1,1)</f>
        <v/>
      </c>
      <c r="L12" s="566" t="str">
        <f>MID(FirmaID,2,1)</f>
        <v/>
      </c>
      <c r="M12" s="566" t="str">
        <f>MID(FirmaID,3,1)</f>
        <v/>
      </c>
      <c r="N12" s="566" t="str">
        <f>MID(FirmaID,4,1)</f>
        <v/>
      </c>
      <c r="O12" s="566" t="str">
        <f>MID(FirmaID,5,1)</f>
        <v/>
      </c>
      <c r="P12" s="566" t="str">
        <f>MID(FirmaID,6,1)</f>
        <v/>
      </c>
      <c r="Q12" s="566" t="str">
        <f>MID(FirmaID,7,1)</f>
        <v/>
      </c>
      <c r="R12" s="566" t="str">
        <f>MID(FirmaID,8,1)</f>
        <v/>
      </c>
      <c r="S12" s="566" t="str">
        <f>MID(FirmaID,9,1)</f>
        <v/>
      </c>
      <c r="T12" s="566" t="str">
        <f>MID(FirmaID,10,1)</f>
        <v/>
      </c>
      <c r="U12" s="566" t="str">
        <f>MID(FirmaID,11,1)</f>
        <v/>
      </c>
      <c r="V12" s="566" t="str">
        <f>MID(FirmaID,12,1)</f>
        <v/>
      </c>
      <c r="W12" s="566" t="str">
        <f>MID(FirmaID,13,1)</f>
        <v/>
      </c>
      <c r="X12" s="510"/>
      <c r="Y12" s="510"/>
      <c r="Z12" s="510"/>
      <c r="AA12" s="510"/>
      <c r="AB12" s="510"/>
      <c r="AC12" s="510"/>
      <c r="AD12" s="510"/>
      <c r="AE12" s="510"/>
      <c r="AF12" s="510"/>
      <c r="AG12" s="510"/>
      <c r="AH12" s="510"/>
      <c r="AI12" s="510"/>
      <c r="AJ12" s="510"/>
      <c r="AK12" s="546"/>
    </row>
    <row r="13" spans="2:37" ht="19.5" customHeight="1">
      <c r="B13" s="543" t="s">
        <v>675</v>
      </c>
      <c r="C13" s="530"/>
      <c r="D13" s="531" t="s">
        <v>295</v>
      </c>
      <c r="E13" s="530"/>
      <c r="F13" s="530"/>
      <c r="G13" s="530"/>
      <c r="H13" s="530"/>
      <c r="I13" s="530"/>
      <c r="J13" s="530"/>
      <c r="K13" s="530"/>
      <c r="L13" s="530"/>
      <c r="M13" s="530"/>
      <c r="N13" s="530"/>
      <c r="O13" s="530"/>
      <c r="P13" s="530"/>
      <c r="Q13" s="530"/>
      <c r="R13" s="530"/>
      <c r="S13" s="530"/>
      <c r="T13" s="530"/>
      <c r="U13" s="530"/>
      <c r="V13" s="530"/>
      <c r="W13" s="530"/>
      <c r="X13" s="530"/>
      <c r="Y13" s="530"/>
      <c r="Z13" s="530"/>
      <c r="AA13" s="530"/>
      <c r="AB13" s="530"/>
      <c r="AC13" s="530"/>
      <c r="AD13" s="530"/>
      <c r="AE13" s="530"/>
      <c r="AF13" s="530"/>
      <c r="AG13" s="530"/>
      <c r="AH13" s="530"/>
      <c r="AI13" s="530"/>
      <c r="AJ13" s="530"/>
      <c r="AK13" s="547"/>
    </row>
    <row r="14" spans="2:37" ht="19.5" customHeight="1">
      <c r="B14" s="548"/>
      <c r="C14" s="509"/>
      <c r="D14" s="511" t="s">
        <v>296</v>
      </c>
      <c r="E14" s="509"/>
      <c r="F14" s="2314">
        <f>FirmaAdresa</f>
        <v>0</v>
      </c>
      <c r="G14" s="2314"/>
      <c r="H14" s="2314"/>
      <c r="I14" s="2314"/>
      <c r="J14" s="2314"/>
      <c r="K14" s="2314"/>
      <c r="L14" s="2314"/>
      <c r="M14" s="2314"/>
      <c r="N14" s="2314"/>
      <c r="O14" s="2314"/>
      <c r="P14" s="2314"/>
      <c r="Q14" s="2314"/>
      <c r="R14" s="2314"/>
      <c r="S14" s="2314"/>
      <c r="T14" s="2314"/>
      <c r="U14" s="2314"/>
      <c r="V14" s="509"/>
      <c r="W14" s="532" t="s">
        <v>297</v>
      </c>
      <c r="X14" s="2208"/>
      <c r="Y14" s="2208"/>
      <c r="Z14" s="509"/>
      <c r="AA14" s="509"/>
      <c r="AB14" s="532" t="s">
        <v>381</v>
      </c>
      <c r="AC14" s="2314">
        <f>FirmaSjediste</f>
        <v>0</v>
      </c>
      <c r="AD14" s="2314"/>
      <c r="AE14" s="2314"/>
      <c r="AF14" s="2314"/>
      <c r="AG14" s="2314"/>
      <c r="AH14" s="2314"/>
      <c r="AI14" s="2314"/>
      <c r="AJ14" s="2314"/>
      <c r="AK14" s="2315"/>
    </row>
    <row r="15" spans="2:37" ht="19.5" customHeight="1">
      <c r="B15" s="545" t="s">
        <v>676</v>
      </c>
      <c r="C15" s="510"/>
      <c r="D15" s="533" t="s">
        <v>1359</v>
      </c>
      <c r="E15" s="510"/>
      <c r="F15" s="510"/>
      <c r="G15" s="510"/>
      <c r="H15" s="510"/>
      <c r="I15" s="510"/>
      <c r="J15" s="510"/>
      <c r="K15" s="510"/>
      <c r="L15" s="510"/>
      <c r="M15" s="510"/>
      <c r="N15" s="2325">
        <f>FirmaDjeSifra</f>
        <v>0</v>
      </c>
      <c r="O15" s="2325"/>
      <c r="P15" s="2325"/>
      <c r="Q15" s="510"/>
      <c r="R15" s="2314">
        <f>FirmaDjeNaziv</f>
        <v>0</v>
      </c>
      <c r="S15" s="2314"/>
      <c r="T15" s="2314"/>
      <c r="U15" s="2314"/>
      <c r="V15" s="2314"/>
      <c r="W15" s="2314"/>
      <c r="X15" s="2314"/>
      <c r="Y15" s="2314"/>
      <c r="Z15" s="2314"/>
      <c r="AA15" s="2314"/>
      <c r="AB15" s="2314"/>
      <c r="AC15" s="2314"/>
      <c r="AD15" s="2314"/>
      <c r="AE15" s="2314"/>
      <c r="AF15" s="2314"/>
      <c r="AG15" s="2314"/>
      <c r="AH15" s="2314"/>
      <c r="AI15" s="2314"/>
      <c r="AJ15" s="2314"/>
      <c r="AK15" s="2315"/>
    </row>
    <row r="16" spans="2:37" ht="19.5" customHeight="1" thickBot="1">
      <c r="B16" s="549" t="s">
        <v>677</v>
      </c>
      <c r="C16" s="550"/>
      <c r="D16" s="551" t="s">
        <v>809</v>
      </c>
      <c r="E16" s="550"/>
      <c r="F16" s="550"/>
      <c r="G16" s="550"/>
      <c r="H16" s="550"/>
      <c r="I16" s="550"/>
      <c r="J16" s="2316">
        <f>unos!G161</f>
        <v>0</v>
      </c>
      <c r="K16" s="2317"/>
      <c r="L16" s="2317"/>
      <c r="M16" s="2317"/>
      <c r="N16" s="550"/>
      <c r="O16" s="550"/>
      <c r="P16" s="550"/>
      <c r="Q16" s="550"/>
      <c r="R16" s="550" t="s">
        <v>678</v>
      </c>
      <c r="S16" s="551" t="s">
        <v>1555</v>
      </c>
      <c r="T16" s="550"/>
      <c r="U16" s="550"/>
      <c r="V16" s="550"/>
      <c r="W16" s="550"/>
      <c r="X16" s="550"/>
      <c r="Y16" s="550"/>
      <c r="Z16" s="550"/>
      <c r="AA16" s="2316">
        <f>'UNOS_POREZNI BILANS'!R166</f>
        <v>0</v>
      </c>
      <c r="AB16" s="2317"/>
      <c r="AC16" s="2317"/>
      <c r="AD16" s="2317"/>
      <c r="AE16" s="550"/>
      <c r="AF16" s="550"/>
      <c r="AG16" s="550"/>
      <c r="AH16" s="550"/>
      <c r="AI16" s="550"/>
      <c r="AJ16" s="550"/>
      <c r="AK16" s="552"/>
    </row>
    <row r="17" spans="2:37" ht="8.25" customHeight="1" thickBot="1"/>
    <row r="18" spans="2:37" s="431" customFormat="1" ht="19.5" customHeight="1" thickBot="1">
      <c r="B18" s="2318" t="s">
        <v>1399</v>
      </c>
      <c r="C18" s="2319"/>
      <c r="D18" s="527"/>
      <c r="E18" s="528" t="s">
        <v>1400</v>
      </c>
      <c r="F18" s="527"/>
      <c r="G18" s="527"/>
      <c r="H18" s="527"/>
      <c r="I18" s="527"/>
      <c r="J18" s="527"/>
      <c r="K18" s="527"/>
      <c r="L18" s="527"/>
      <c r="M18" s="527"/>
      <c r="N18" s="527"/>
      <c r="O18" s="527"/>
      <c r="P18" s="527"/>
      <c r="Q18" s="527"/>
      <c r="R18" s="2319">
        <v>2011</v>
      </c>
      <c r="S18" s="2319"/>
      <c r="T18" s="2319"/>
      <c r="U18" s="528" t="s">
        <v>2269</v>
      </c>
      <c r="V18" s="527"/>
      <c r="W18" s="527"/>
      <c r="X18" s="527"/>
      <c r="Y18" s="527"/>
      <c r="Z18" s="527"/>
      <c r="AA18" s="527"/>
      <c r="AB18" s="527"/>
      <c r="AC18" s="527"/>
      <c r="AD18" s="527"/>
      <c r="AE18" s="527"/>
      <c r="AF18" s="527"/>
      <c r="AG18" s="527"/>
      <c r="AH18" s="527"/>
      <c r="AI18" s="527"/>
      <c r="AJ18" s="527"/>
      <c r="AK18" s="529"/>
    </row>
    <row r="19" spans="2:37" ht="15" customHeight="1">
      <c r="B19" s="2312" t="s">
        <v>1398</v>
      </c>
      <c r="C19" s="2313"/>
      <c r="D19" s="2313" t="s">
        <v>2272</v>
      </c>
      <c r="E19" s="2313"/>
      <c r="F19" s="2313"/>
      <c r="G19" s="2313"/>
      <c r="H19" s="2313"/>
      <c r="I19" s="2313"/>
      <c r="J19" s="2313"/>
      <c r="K19" s="2313"/>
      <c r="L19" s="2313"/>
      <c r="M19" s="2313"/>
      <c r="N19" s="2313"/>
      <c r="O19" s="2313"/>
      <c r="P19" s="2313"/>
      <c r="Q19" s="2313"/>
      <c r="R19" s="2313"/>
      <c r="S19" s="2313"/>
      <c r="T19" s="2313"/>
      <c r="U19" s="2313"/>
      <c r="V19" s="2313"/>
      <c r="W19" s="2313"/>
      <c r="X19" s="2313"/>
      <c r="Y19" s="2313"/>
      <c r="Z19" s="2307" t="s">
        <v>1397</v>
      </c>
      <c r="AA19" s="2307"/>
      <c r="AB19" s="2307"/>
      <c r="AC19" s="2307"/>
      <c r="AD19" s="2307"/>
      <c r="AE19" s="2307"/>
      <c r="AF19" s="2307"/>
      <c r="AG19" s="2307"/>
      <c r="AH19" s="2307"/>
      <c r="AI19" s="2307"/>
      <c r="AJ19" s="2307"/>
      <c r="AK19" s="2308"/>
    </row>
    <row r="20" spans="2:37" ht="15" customHeight="1">
      <c r="B20" s="520" t="s">
        <v>673</v>
      </c>
      <c r="C20" s="515"/>
      <c r="D20" s="516" t="s">
        <v>291</v>
      </c>
      <c r="E20" s="517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8"/>
      <c r="Z20" s="2304">
        <f>'porezni bilans'!R176+'porezni bilans'!R178+'porezni bilans'!R180</f>
        <v>0</v>
      </c>
      <c r="AA20" s="2305"/>
      <c r="AB20" s="2305"/>
      <c r="AC20" s="2305"/>
      <c r="AD20" s="2305"/>
      <c r="AE20" s="2305"/>
      <c r="AF20" s="2305"/>
      <c r="AG20" s="2305"/>
      <c r="AH20" s="2305"/>
      <c r="AI20" s="2305"/>
      <c r="AJ20" s="2305"/>
      <c r="AK20" s="2306"/>
    </row>
    <row r="21" spans="2:37" ht="15" customHeight="1">
      <c r="B21" s="520" t="s">
        <v>674</v>
      </c>
      <c r="C21" s="515"/>
      <c r="D21" s="516" t="s">
        <v>292</v>
      </c>
      <c r="E21" s="517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8"/>
      <c r="Z21" s="2304">
        <f>'porezni bilans'!R181</f>
        <v>0</v>
      </c>
      <c r="AA21" s="2305"/>
      <c r="AB21" s="2305"/>
      <c r="AC21" s="2305"/>
      <c r="AD21" s="2305"/>
      <c r="AE21" s="2305"/>
      <c r="AF21" s="2305"/>
      <c r="AG21" s="2305"/>
      <c r="AH21" s="2305"/>
      <c r="AI21" s="2305"/>
      <c r="AJ21" s="2305"/>
      <c r="AK21" s="2306"/>
    </row>
    <row r="22" spans="2:37" ht="15" customHeight="1">
      <c r="B22" s="520" t="s">
        <v>675</v>
      </c>
      <c r="C22" s="515"/>
      <c r="D22" s="516" t="s">
        <v>293</v>
      </c>
      <c r="E22" s="517"/>
      <c r="F22" s="517"/>
      <c r="G22" s="517"/>
      <c r="H22" s="517"/>
      <c r="I22" s="517"/>
      <c r="J22" s="517"/>
      <c r="K22" s="517"/>
      <c r="L22" s="51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517"/>
      <c r="X22" s="517"/>
      <c r="Y22" s="518"/>
      <c r="Z22" s="2304">
        <f>'porezni bilans'!R182</f>
        <v>0</v>
      </c>
      <c r="AA22" s="2305"/>
      <c r="AB22" s="2305"/>
      <c r="AC22" s="2305"/>
      <c r="AD22" s="2305"/>
      <c r="AE22" s="2305"/>
      <c r="AF22" s="2305"/>
      <c r="AG22" s="2305"/>
      <c r="AH22" s="2305"/>
      <c r="AI22" s="2305"/>
      <c r="AJ22" s="2305"/>
      <c r="AK22" s="2306"/>
    </row>
    <row r="23" spans="2:37" ht="15" customHeight="1" thickBot="1">
      <c r="B23" s="521" t="s">
        <v>676</v>
      </c>
      <c r="C23" s="522"/>
      <c r="D23" s="523" t="s">
        <v>397</v>
      </c>
      <c r="E23" s="524"/>
      <c r="F23" s="524"/>
      <c r="G23" s="524"/>
      <c r="H23" s="524"/>
      <c r="I23" s="524"/>
      <c r="J23" s="524"/>
      <c r="K23" s="524"/>
      <c r="L23" s="524"/>
      <c r="M23" s="524"/>
      <c r="N23" s="524"/>
      <c r="O23" s="524"/>
      <c r="P23" s="524"/>
      <c r="Q23" s="524"/>
      <c r="R23" s="524"/>
      <c r="S23" s="524"/>
      <c r="T23" s="524"/>
      <c r="U23" s="524"/>
      <c r="V23" s="524"/>
      <c r="W23" s="524"/>
      <c r="X23" s="524"/>
      <c r="Y23" s="525"/>
      <c r="Z23" s="2309">
        <f>'porezni bilans'!R183</f>
        <v>0</v>
      </c>
      <c r="AA23" s="2310"/>
      <c r="AB23" s="2310"/>
      <c r="AC23" s="2310"/>
      <c r="AD23" s="2310"/>
      <c r="AE23" s="2310"/>
      <c r="AF23" s="2310"/>
      <c r="AG23" s="2310"/>
      <c r="AH23" s="2310"/>
      <c r="AI23" s="2310"/>
      <c r="AJ23" s="2310"/>
      <c r="AK23" s="2311"/>
    </row>
    <row r="24" spans="2:37" ht="6.75" customHeight="1" thickBot="1"/>
    <row r="25" spans="2:37" s="431" customFormat="1" ht="19.5" customHeight="1" thickBot="1">
      <c r="B25" s="2318" t="s">
        <v>1365</v>
      </c>
      <c r="C25" s="2319"/>
      <c r="D25" s="527"/>
      <c r="E25" s="528" t="s">
        <v>1366</v>
      </c>
      <c r="F25" s="527"/>
      <c r="G25" s="527"/>
      <c r="H25" s="527"/>
      <c r="I25" s="527"/>
      <c r="J25" s="527"/>
      <c r="K25" s="527"/>
      <c r="L25" s="527"/>
      <c r="M25" s="527"/>
      <c r="N25" s="527"/>
      <c r="O25" s="527"/>
      <c r="P25" s="527"/>
      <c r="Q25" s="527"/>
      <c r="R25" s="538"/>
      <c r="S25" s="538"/>
      <c r="T25" s="538"/>
      <c r="U25" s="528"/>
      <c r="V25" s="527"/>
      <c r="W25" s="527"/>
      <c r="X25" s="527"/>
      <c r="Y25" s="527"/>
      <c r="Z25" s="527"/>
      <c r="AA25" s="527"/>
      <c r="AB25" s="527"/>
      <c r="AC25" s="527"/>
      <c r="AD25" s="527"/>
      <c r="AE25" s="527"/>
      <c r="AF25" s="527"/>
      <c r="AG25" s="527"/>
      <c r="AH25" s="527"/>
      <c r="AI25" s="527"/>
      <c r="AJ25" s="527"/>
      <c r="AK25" s="529"/>
    </row>
    <row r="26" spans="2:37" ht="15" customHeight="1">
      <c r="B26" s="2312" t="s">
        <v>1398</v>
      </c>
      <c r="C26" s="2313"/>
      <c r="D26" s="2313" t="s">
        <v>2272</v>
      </c>
      <c r="E26" s="2313"/>
      <c r="F26" s="2313"/>
      <c r="G26" s="2313"/>
      <c r="H26" s="2313"/>
      <c r="I26" s="2313"/>
      <c r="J26" s="2313"/>
      <c r="K26" s="2313"/>
      <c r="L26" s="2313"/>
      <c r="M26" s="2313"/>
      <c r="N26" s="2313"/>
      <c r="O26" s="2313"/>
      <c r="P26" s="2313"/>
      <c r="Q26" s="2313"/>
      <c r="R26" s="2313"/>
      <c r="S26" s="2313"/>
      <c r="T26" s="2313"/>
      <c r="U26" s="2313"/>
      <c r="V26" s="2313"/>
      <c r="W26" s="2313"/>
      <c r="X26" s="2313"/>
      <c r="Y26" s="2313"/>
      <c r="Z26" s="2307" t="s">
        <v>1397</v>
      </c>
      <c r="AA26" s="2307"/>
      <c r="AB26" s="2307"/>
      <c r="AC26" s="2307"/>
      <c r="AD26" s="2307"/>
      <c r="AE26" s="2307"/>
      <c r="AF26" s="2307"/>
      <c r="AG26" s="2307"/>
      <c r="AH26" s="2307"/>
      <c r="AI26" s="2307"/>
      <c r="AJ26" s="2307"/>
      <c r="AK26" s="2308"/>
    </row>
    <row r="27" spans="2:37" ht="15" customHeight="1">
      <c r="B27" s="520" t="s">
        <v>673</v>
      </c>
      <c r="C27" s="515"/>
      <c r="D27" s="516" t="s">
        <v>1367</v>
      </c>
      <c r="E27" s="517"/>
      <c r="F27" s="517"/>
      <c r="G27" s="517"/>
      <c r="H27" s="517"/>
      <c r="I27" s="517"/>
      <c r="J27" s="517"/>
      <c r="K27" s="517"/>
      <c r="L27" s="517"/>
      <c r="M27" s="517"/>
      <c r="N27" s="517"/>
      <c r="O27" s="517"/>
      <c r="P27" s="517"/>
      <c r="Q27" s="517"/>
      <c r="R27" s="517"/>
      <c r="S27" s="517"/>
      <c r="T27" s="517"/>
      <c r="U27" s="517"/>
      <c r="V27" s="517"/>
      <c r="W27" s="517"/>
      <c r="X27" s="517"/>
      <c r="Y27" s="518"/>
      <c r="Z27" s="2304">
        <f>'porezni bilans'!R132</f>
        <v>0</v>
      </c>
      <c r="AA27" s="2305"/>
      <c r="AB27" s="2305"/>
      <c r="AC27" s="2305"/>
      <c r="AD27" s="2305"/>
      <c r="AE27" s="2305"/>
      <c r="AF27" s="2305"/>
      <c r="AG27" s="2305"/>
      <c r="AH27" s="2305"/>
      <c r="AI27" s="2305"/>
      <c r="AJ27" s="2305"/>
      <c r="AK27" s="2306"/>
    </row>
    <row r="28" spans="2:37" ht="15" customHeight="1">
      <c r="B28" s="520" t="s">
        <v>674</v>
      </c>
      <c r="C28" s="515"/>
      <c r="D28" s="516" t="s">
        <v>1368</v>
      </c>
      <c r="E28" s="517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8"/>
      <c r="Z28" s="2304">
        <f>'Obrazac GU-DOB'!Q32</f>
        <v>0</v>
      </c>
      <c r="AA28" s="2305"/>
      <c r="AB28" s="2305"/>
      <c r="AC28" s="2305"/>
      <c r="AD28" s="2305"/>
      <c r="AE28" s="2305"/>
      <c r="AF28" s="2305"/>
      <c r="AG28" s="2305"/>
      <c r="AH28" s="2305"/>
      <c r="AI28" s="2305"/>
      <c r="AJ28" s="2305"/>
      <c r="AK28" s="2306"/>
    </row>
    <row r="29" spans="2:37" ht="15" customHeight="1">
      <c r="B29" s="520" t="s">
        <v>675</v>
      </c>
      <c r="C29" s="515"/>
      <c r="D29" s="516" t="s">
        <v>1369</v>
      </c>
      <c r="E29" s="517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8"/>
      <c r="Z29" s="2304">
        <f>IF(SUM(Z27-Z28)&lt;0,0,SUM(Z27-Z28))</f>
        <v>0</v>
      </c>
      <c r="AA29" s="2305"/>
      <c r="AB29" s="2305"/>
      <c r="AC29" s="2305"/>
      <c r="AD29" s="2305"/>
      <c r="AE29" s="2305"/>
      <c r="AF29" s="2305"/>
      <c r="AG29" s="2305"/>
      <c r="AH29" s="2305"/>
      <c r="AI29" s="2305"/>
      <c r="AJ29" s="2305"/>
      <c r="AK29" s="2306"/>
    </row>
    <row r="30" spans="2:37" ht="15" customHeight="1">
      <c r="B30" s="520" t="s">
        <v>676</v>
      </c>
      <c r="C30" s="515"/>
      <c r="D30" s="516" t="s">
        <v>1371</v>
      </c>
      <c r="E30" s="517"/>
      <c r="F30" s="517"/>
      <c r="G30" s="517"/>
      <c r="H30" s="517"/>
      <c r="I30" s="517"/>
      <c r="J30" s="517"/>
      <c r="K30" s="517"/>
      <c r="L30" s="517"/>
      <c r="M30" s="517"/>
      <c r="N30" s="517"/>
      <c r="O30" s="517"/>
      <c r="P30" s="517"/>
      <c r="Q30" s="517"/>
      <c r="R30" s="517"/>
      <c r="S30" s="517"/>
      <c r="T30" s="517"/>
      <c r="U30" s="517"/>
      <c r="V30" s="517"/>
      <c r="W30" s="517"/>
      <c r="X30" s="517"/>
      <c r="Y30" s="518"/>
      <c r="Z30" s="2304">
        <f>Z29*10%</f>
        <v>0</v>
      </c>
      <c r="AA30" s="2305"/>
      <c r="AB30" s="2305"/>
      <c r="AC30" s="2305"/>
      <c r="AD30" s="2305"/>
      <c r="AE30" s="2305"/>
      <c r="AF30" s="2305"/>
      <c r="AG30" s="2305"/>
      <c r="AH30" s="2305"/>
      <c r="AI30" s="2305"/>
      <c r="AJ30" s="2305"/>
      <c r="AK30" s="2306"/>
    </row>
    <row r="31" spans="2:37" ht="15" customHeight="1">
      <c r="B31" s="520" t="s">
        <v>677</v>
      </c>
      <c r="C31" s="515"/>
      <c r="D31" s="516" t="s">
        <v>1370</v>
      </c>
      <c r="E31" s="517"/>
      <c r="F31" s="517"/>
      <c r="G31" s="517"/>
      <c r="H31" s="517"/>
      <c r="I31" s="517"/>
      <c r="J31" s="517"/>
      <c r="K31" s="517"/>
      <c r="L31" s="517"/>
      <c r="M31" s="517"/>
      <c r="N31" s="517"/>
      <c r="O31" s="517"/>
      <c r="P31" s="517"/>
      <c r="Q31" s="517"/>
      <c r="R31" s="517"/>
      <c r="S31" s="517"/>
      <c r="T31" s="517"/>
      <c r="U31" s="517"/>
      <c r="V31" s="517"/>
      <c r="W31" s="517"/>
      <c r="X31" s="517"/>
      <c r="Y31" s="518"/>
      <c r="Z31" s="2304">
        <v>0</v>
      </c>
      <c r="AA31" s="2305"/>
      <c r="AB31" s="2305"/>
      <c r="AC31" s="2305"/>
      <c r="AD31" s="2305"/>
      <c r="AE31" s="2305"/>
      <c r="AF31" s="2305"/>
      <c r="AG31" s="2305"/>
      <c r="AH31" s="2305"/>
      <c r="AI31" s="2305"/>
      <c r="AJ31" s="2305"/>
      <c r="AK31" s="2306"/>
    </row>
    <row r="32" spans="2:37" ht="15" customHeight="1">
      <c r="B32" s="520" t="s">
        <v>678</v>
      </c>
      <c r="C32" s="515"/>
      <c r="D32" s="516" t="s">
        <v>1419</v>
      </c>
      <c r="E32" s="517"/>
      <c r="F32" s="517"/>
      <c r="G32" s="517"/>
      <c r="H32" s="517"/>
      <c r="I32" s="517"/>
      <c r="J32" s="517"/>
      <c r="K32" s="517"/>
      <c r="L32" s="517"/>
      <c r="M32" s="517"/>
      <c r="N32" s="517"/>
      <c r="O32" s="517"/>
      <c r="P32" s="517"/>
      <c r="Q32" s="517"/>
      <c r="R32" s="517"/>
      <c r="S32" s="517"/>
      <c r="T32" s="517"/>
      <c r="U32" s="517"/>
      <c r="V32" s="517"/>
      <c r="W32" s="517"/>
      <c r="X32" s="517"/>
      <c r="Y32" s="518"/>
      <c r="Z32" s="2304">
        <f>IF(SUM(Z30-Z31)&lt;0,0,SUM(Z30-Z31))</f>
        <v>0</v>
      </c>
      <c r="AA32" s="2305"/>
      <c r="AB32" s="2305"/>
      <c r="AC32" s="2305"/>
      <c r="AD32" s="2305"/>
      <c r="AE32" s="2305"/>
      <c r="AF32" s="2305"/>
      <c r="AG32" s="2305"/>
      <c r="AH32" s="2305"/>
      <c r="AI32" s="2305"/>
      <c r="AJ32" s="2305"/>
      <c r="AK32" s="2306"/>
    </row>
    <row r="33" spans="2:37" ht="15" customHeight="1" thickBot="1">
      <c r="B33" s="521" t="s">
        <v>679</v>
      </c>
      <c r="C33" s="522"/>
      <c r="D33" s="523" t="s">
        <v>1420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4"/>
      <c r="R33" s="524"/>
      <c r="S33" s="524"/>
      <c r="T33" s="524"/>
      <c r="U33" s="524"/>
      <c r="V33" s="524"/>
      <c r="W33" s="524"/>
      <c r="X33" s="524"/>
      <c r="Y33" s="525"/>
      <c r="Z33" s="2309">
        <f>Z32/12</f>
        <v>0</v>
      </c>
      <c r="AA33" s="2310"/>
      <c r="AB33" s="2310"/>
      <c r="AC33" s="2310"/>
      <c r="AD33" s="2310"/>
      <c r="AE33" s="2310"/>
      <c r="AF33" s="2310"/>
      <c r="AG33" s="2310"/>
      <c r="AH33" s="2310"/>
      <c r="AI33" s="2310"/>
      <c r="AJ33" s="2310"/>
      <c r="AK33" s="2311"/>
    </row>
    <row r="34" spans="2:37" ht="19.5" customHeight="1" thickBot="1"/>
    <row r="35" spans="2:37" s="431" customFormat="1" ht="19.5" customHeight="1" thickBot="1">
      <c r="B35" s="2318" t="s">
        <v>1421</v>
      </c>
      <c r="C35" s="2319"/>
      <c r="D35" s="527"/>
      <c r="E35" s="528" t="s">
        <v>1410</v>
      </c>
      <c r="F35" s="527"/>
      <c r="G35" s="527"/>
      <c r="H35" s="527"/>
      <c r="I35" s="527"/>
      <c r="J35" s="527"/>
      <c r="K35" s="527"/>
      <c r="L35" s="527"/>
      <c r="M35" s="527"/>
      <c r="N35" s="527"/>
      <c r="O35" s="527"/>
      <c r="P35" s="527"/>
      <c r="Q35" s="527"/>
      <c r="R35" s="538"/>
      <c r="S35" s="538"/>
      <c r="T35" s="538"/>
      <c r="U35" s="528"/>
      <c r="V35" s="527"/>
      <c r="W35" s="527"/>
      <c r="X35" s="527"/>
      <c r="Y35" s="527"/>
      <c r="Z35" s="527"/>
      <c r="AA35" s="527"/>
      <c r="AB35" s="527"/>
      <c r="AC35" s="527"/>
      <c r="AD35" s="527"/>
      <c r="AE35" s="527"/>
      <c r="AF35" s="527"/>
      <c r="AG35" s="527"/>
      <c r="AH35" s="527"/>
      <c r="AI35" s="527"/>
      <c r="AJ35" s="527"/>
      <c r="AK35" s="529"/>
    </row>
    <row r="36" spans="2:37" ht="5.25" customHeight="1">
      <c r="B36" s="548"/>
      <c r="C36" s="509"/>
      <c r="D36" s="509"/>
      <c r="E36" s="509"/>
      <c r="F36" s="509"/>
      <c r="G36" s="509"/>
      <c r="H36" s="509"/>
      <c r="I36" s="509"/>
      <c r="J36" s="509"/>
      <c r="K36" s="509"/>
      <c r="L36" s="509"/>
      <c r="M36" s="509"/>
      <c r="N36" s="509"/>
      <c r="O36" s="509"/>
      <c r="P36" s="509"/>
      <c r="Q36" s="509"/>
      <c r="R36" s="509"/>
      <c r="S36" s="509"/>
      <c r="T36" s="509"/>
      <c r="U36" s="509"/>
      <c r="V36" s="509"/>
      <c r="W36" s="509"/>
      <c r="X36" s="509"/>
      <c r="Y36" s="509"/>
      <c r="Z36" s="509"/>
      <c r="AA36" s="509"/>
      <c r="AB36" s="509"/>
      <c r="AC36" s="509"/>
      <c r="AD36" s="509"/>
      <c r="AE36" s="509"/>
      <c r="AF36" s="509"/>
      <c r="AG36" s="509"/>
      <c r="AH36" s="509"/>
      <c r="AI36" s="509"/>
      <c r="AJ36" s="509"/>
      <c r="AK36" s="512"/>
    </row>
    <row r="37" spans="2:37" ht="12" customHeight="1">
      <c r="B37" s="548"/>
      <c r="C37" s="305"/>
      <c r="D37" s="509"/>
      <c r="E37" s="511" t="s">
        <v>1411</v>
      </c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12"/>
    </row>
    <row r="38" spans="2:37" ht="3" customHeight="1">
      <c r="B38" s="548"/>
      <c r="C38" s="509"/>
      <c r="D38" s="509"/>
      <c r="E38" s="511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12"/>
    </row>
    <row r="39" spans="2:37" ht="14.25" customHeight="1">
      <c r="B39" s="548"/>
      <c r="C39" s="305"/>
      <c r="D39" s="509"/>
      <c r="E39" s="511" t="s">
        <v>8</v>
      </c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12"/>
    </row>
    <row r="40" spans="2:37" ht="3" customHeight="1">
      <c r="B40" s="548"/>
      <c r="C40" s="509"/>
      <c r="D40" s="509"/>
      <c r="E40" s="509"/>
      <c r="F40" s="509"/>
      <c r="G40" s="509"/>
      <c r="H40" s="509"/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12"/>
    </row>
    <row r="41" spans="2:37" ht="12" customHeight="1">
      <c r="B41" s="548"/>
      <c r="C41" s="305"/>
      <c r="D41" s="509"/>
      <c r="E41" s="511" t="s">
        <v>1412</v>
      </c>
      <c r="F41" s="509"/>
      <c r="G41" s="509"/>
      <c r="H41" s="509"/>
      <c r="I41" s="509"/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12"/>
    </row>
    <row r="42" spans="2:37" ht="3" customHeight="1">
      <c r="B42" s="548"/>
      <c r="C42" s="509"/>
      <c r="D42" s="509"/>
      <c r="E42" s="511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12"/>
    </row>
    <row r="43" spans="2:37" ht="12" customHeight="1">
      <c r="B43" s="548"/>
      <c r="C43" s="305"/>
      <c r="D43" s="509"/>
      <c r="E43" s="511" t="s">
        <v>1413</v>
      </c>
      <c r="F43" s="509"/>
      <c r="G43" s="509"/>
      <c r="H43" s="509"/>
      <c r="I43" s="509"/>
      <c r="J43" s="509"/>
      <c r="K43" s="509"/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12"/>
    </row>
    <row r="44" spans="2:37" ht="3" customHeight="1">
      <c r="B44" s="548"/>
      <c r="C44" s="509"/>
      <c r="D44" s="509"/>
      <c r="E44" s="511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12"/>
    </row>
    <row r="45" spans="2:37" ht="12" customHeight="1">
      <c r="B45" s="548"/>
      <c r="C45" s="305"/>
      <c r="D45" s="509"/>
      <c r="E45" s="511" t="s">
        <v>1414</v>
      </c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12"/>
    </row>
    <row r="46" spans="2:37" ht="3" customHeight="1">
      <c r="B46" s="548"/>
      <c r="C46" s="509"/>
      <c r="D46" s="509"/>
      <c r="E46" s="511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12"/>
    </row>
    <row r="47" spans="2:37" ht="12" customHeight="1">
      <c r="B47" s="548"/>
      <c r="C47" s="305"/>
      <c r="D47" s="509"/>
      <c r="E47" s="511" t="s">
        <v>1415</v>
      </c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12"/>
    </row>
    <row r="48" spans="2:37" s="178" customFormat="1" ht="3" customHeight="1">
      <c r="B48" s="555"/>
      <c r="C48" s="554"/>
      <c r="D48" s="554"/>
      <c r="E48" s="556"/>
      <c r="F48" s="554"/>
      <c r="G48" s="554"/>
      <c r="H48" s="554"/>
      <c r="I48" s="554"/>
      <c r="J48" s="554"/>
      <c r="K48" s="554"/>
      <c r="L48" s="554"/>
      <c r="M48" s="554"/>
      <c r="N48" s="554"/>
      <c r="O48" s="554"/>
      <c r="P48" s="554"/>
      <c r="Q48" s="554"/>
      <c r="R48" s="554"/>
      <c r="S48" s="554"/>
      <c r="T48" s="554"/>
      <c r="U48" s="554"/>
      <c r="V48" s="554"/>
      <c r="W48" s="554"/>
      <c r="X48" s="554"/>
      <c r="Y48" s="554"/>
      <c r="Z48" s="554"/>
      <c r="AA48" s="554"/>
      <c r="AB48" s="554"/>
      <c r="AC48" s="554"/>
      <c r="AD48" s="554"/>
      <c r="AE48" s="554"/>
      <c r="AF48" s="554"/>
      <c r="AG48" s="554"/>
      <c r="AH48" s="554"/>
      <c r="AI48" s="554"/>
      <c r="AJ48" s="554"/>
      <c r="AK48" s="557"/>
    </row>
    <row r="49" spans="2:37" s="178" customFormat="1" ht="12" customHeight="1">
      <c r="B49" s="555"/>
      <c r="C49" s="305"/>
      <c r="D49" s="554"/>
      <c r="E49" s="558" t="s">
        <v>1416</v>
      </c>
      <c r="F49" s="554"/>
      <c r="G49" s="554"/>
      <c r="H49" s="554"/>
      <c r="I49" s="554"/>
      <c r="J49" s="554"/>
      <c r="K49" s="554"/>
      <c r="L49" s="554"/>
      <c r="M49" s="554"/>
      <c r="N49" s="554"/>
      <c r="O49" s="554"/>
      <c r="P49" s="554"/>
      <c r="Q49" s="554"/>
      <c r="R49" s="554"/>
      <c r="S49" s="554"/>
      <c r="T49" s="554"/>
      <c r="U49" s="554"/>
      <c r="V49" s="554"/>
      <c r="W49" s="554"/>
      <c r="X49" s="554"/>
      <c r="Y49" s="554"/>
      <c r="Z49" s="554"/>
      <c r="AA49" s="554"/>
      <c r="AB49" s="554"/>
      <c r="AC49" s="554"/>
      <c r="AD49" s="554"/>
      <c r="AE49" s="554"/>
      <c r="AF49" s="554"/>
      <c r="AG49" s="554"/>
      <c r="AH49" s="554"/>
      <c r="AI49" s="554"/>
      <c r="AJ49" s="554"/>
      <c r="AK49" s="557"/>
    </row>
    <row r="50" spans="2:37" s="178" customFormat="1" ht="3" customHeight="1">
      <c r="B50" s="555"/>
      <c r="C50" s="554"/>
      <c r="D50" s="554"/>
      <c r="E50" s="556"/>
      <c r="F50" s="554"/>
      <c r="G50" s="554"/>
      <c r="H50" s="554"/>
      <c r="I50" s="554"/>
      <c r="J50" s="554"/>
      <c r="K50" s="55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554"/>
      <c r="Y50" s="554"/>
      <c r="Z50" s="554"/>
      <c r="AA50" s="554"/>
      <c r="AB50" s="554"/>
      <c r="AC50" s="554"/>
      <c r="AD50" s="554"/>
      <c r="AE50" s="554"/>
      <c r="AF50" s="554"/>
      <c r="AG50" s="554"/>
      <c r="AH50" s="554"/>
      <c r="AI50" s="554"/>
      <c r="AJ50" s="554"/>
      <c r="AK50" s="557"/>
    </row>
    <row r="51" spans="2:37" s="178" customFormat="1" ht="12" customHeight="1">
      <c r="B51" s="555"/>
      <c r="C51" s="305"/>
      <c r="D51" s="554"/>
      <c r="E51" s="558" t="s">
        <v>1417</v>
      </c>
      <c r="F51" s="554"/>
      <c r="G51" s="554"/>
      <c r="H51" s="554"/>
      <c r="I51" s="554"/>
      <c r="J51" s="554"/>
      <c r="K51" s="554"/>
      <c r="L51" s="554"/>
      <c r="M51" s="554"/>
      <c r="N51" s="554"/>
      <c r="O51" s="554"/>
      <c r="P51" s="554"/>
      <c r="Q51" s="554"/>
      <c r="R51" s="554"/>
      <c r="S51" s="554"/>
      <c r="T51" s="554"/>
      <c r="U51" s="554"/>
      <c r="V51" s="554"/>
      <c r="W51" s="554"/>
      <c r="X51" s="554"/>
      <c r="Y51" s="554"/>
      <c r="Z51" s="554"/>
      <c r="AA51" s="554"/>
      <c r="AB51" s="554"/>
      <c r="AC51" s="554"/>
      <c r="AD51" s="554"/>
      <c r="AE51" s="554"/>
      <c r="AF51" s="554"/>
      <c r="AG51" s="554"/>
      <c r="AH51" s="554"/>
      <c r="AI51" s="554"/>
      <c r="AJ51" s="554"/>
      <c r="AK51" s="557"/>
    </row>
    <row r="52" spans="2:37" s="178" customFormat="1" ht="3" customHeight="1">
      <c r="B52" s="555"/>
      <c r="C52" s="554"/>
      <c r="D52" s="554"/>
      <c r="E52" s="556"/>
      <c r="F52" s="554"/>
      <c r="G52" s="554"/>
      <c r="H52" s="554"/>
      <c r="I52" s="554"/>
      <c r="J52" s="554"/>
      <c r="K52" s="554"/>
      <c r="L52" s="554"/>
      <c r="M52" s="554"/>
      <c r="N52" s="554"/>
      <c r="O52" s="554"/>
      <c r="P52" s="554"/>
      <c r="Q52" s="554"/>
      <c r="R52" s="554"/>
      <c r="S52" s="554"/>
      <c r="T52" s="554"/>
      <c r="U52" s="554"/>
      <c r="V52" s="554"/>
      <c r="W52" s="554"/>
      <c r="X52" s="554"/>
      <c r="Y52" s="554"/>
      <c r="Z52" s="554"/>
      <c r="AA52" s="554"/>
      <c r="AB52" s="554"/>
      <c r="AC52" s="554"/>
      <c r="AD52" s="554"/>
      <c r="AE52" s="554"/>
      <c r="AF52" s="554"/>
      <c r="AG52" s="554"/>
      <c r="AH52" s="554"/>
      <c r="AI52" s="554"/>
      <c r="AJ52" s="554"/>
      <c r="AK52" s="557"/>
    </row>
    <row r="53" spans="2:37" s="178" customFormat="1" ht="12" customHeight="1">
      <c r="B53" s="555"/>
      <c r="C53" s="305"/>
      <c r="D53" s="554"/>
      <c r="E53" s="558" t="s">
        <v>579</v>
      </c>
      <c r="F53" s="554"/>
      <c r="G53" s="554"/>
      <c r="H53" s="554"/>
      <c r="I53" s="554"/>
      <c r="J53" s="554"/>
      <c r="K53" s="554"/>
      <c r="L53" s="554"/>
      <c r="M53" s="554"/>
      <c r="N53" s="554"/>
      <c r="O53" s="554"/>
      <c r="P53" s="554"/>
      <c r="Q53" s="554"/>
      <c r="R53" s="554"/>
      <c r="S53" s="554"/>
      <c r="T53" s="554"/>
      <c r="U53" s="554"/>
      <c r="V53" s="554"/>
      <c r="W53" s="554"/>
      <c r="X53" s="554"/>
      <c r="Y53" s="554"/>
      <c r="Z53" s="554"/>
      <c r="AA53" s="554"/>
      <c r="AB53" s="554"/>
      <c r="AC53" s="554"/>
      <c r="AD53" s="554"/>
      <c r="AE53" s="554"/>
      <c r="AF53" s="554"/>
      <c r="AG53" s="554"/>
      <c r="AH53" s="554"/>
      <c r="AI53" s="554"/>
      <c r="AJ53" s="554"/>
      <c r="AK53" s="557"/>
    </row>
    <row r="54" spans="2:37" s="178" customFormat="1" ht="3" customHeight="1">
      <c r="B54" s="555"/>
      <c r="C54" s="554"/>
      <c r="D54" s="554"/>
      <c r="E54" s="556"/>
      <c r="F54" s="554"/>
      <c r="G54" s="554"/>
      <c r="H54" s="554"/>
      <c r="I54" s="554"/>
      <c r="J54" s="554"/>
      <c r="K54" s="554"/>
      <c r="L54" s="554"/>
      <c r="M54" s="554"/>
      <c r="N54" s="554"/>
      <c r="O54" s="554"/>
      <c r="P54" s="554"/>
      <c r="Q54" s="554"/>
      <c r="R54" s="554"/>
      <c r="S54" s="554"/>
      <c r="T54" s="554"/>
      <c r="U54" s="554"/>
      <c r="V54" s="554"/>
      <c r="W54" s="554"/>
      <c r="X54" s="554"/>
      <c r="Y54" s="554"/>
      <c r="Z54" s="554"/>
      <c r="AA54" s="554"/>
      <c r="AB54" s="554"/>
      <c r="AC54" s="554"/>
      <c r="AD54" s="554"/>
      <c r="AE54" s="554"/>
      <c r="AF54" s="554"/>
      <c r="AG54" s="554"/>
      <c r="AH54" s="554"/>
      <c r="AI54" s="554"/>
      <c r="AJ54" s="554"/>
      <c r="AK54" s="557"/>
    </row>
    <row r="55" spans="2:37" s="178" customFormat="1" ht="12" customHeight="1">
      <c r="B55" s="555"/>
      <c r="C55" s="305"/>
      <c r="D55" s="554"/>
      <c r="E55" s="558" t="s">
        <v>580</v>
      </c>
      <c r="F55" s="554"/>
      <c r="G55" s="554"/>
      <c r="H55" s="554"/>
      <c r="I55" s="554"/>
      <c r="J55" s="554"/>
      <c r="K55" s="554"/>
      <c r="L55" s="554"/>
      <c r="M55" s="554"/>
      <c r="N55" s="554"/>
      <c r="O55" s="554"/>
      <c r="P55" s="554"/>
      <c r="Q55" s="554"/>
      <c r="R55" s="554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4"/>
      <c r="AD55" s="554"/>
      <c r="AE55" s="554"/>
      <c r="AF55" s="554"/>
      <c r="AG55" s="554"/>
      <c r="AH55" s="554"/>
      <c r="AI55" s="554"/>
      <c r="AJ55" s="554"/>
      <c r="AK55" s="557"/>
    </row>
    <row r="56" spans="2:37" s="178" customFormat="1" ht="3" customHeight="1">
      <c r="B56" s="555"/>
      <c r="C56" s="554"/>
      <c r="D56" s="554"/>
      <c r="E56" s="556"/>
      <c r="F56" s="554"/>
      <c r="G56" s="554"/>
      <c r="H56" s="554"/>
      <c r="I56" s="554"/>
      <c r="J56" s="554"/>
      <c r="K56" s="554"/>
      <c r="L56" s="554"/>
      <c r="M56" s="554"/>
      <c r="N56" s="554"/>
      <c r="O56" s="554"/>
      <c r="P56" s="554"/>
      <c r="Q56" s="554"/>
      <c r="R56" s="554"/>
      <c r="S56" s="554"/>
      <c r="T56" s="554"/>
      <c r="U56" s="554"/>
      <c r="V56" s="554"/>
      <c r="W56" s="554"/>
      <c r="X56" s="554"/>
      <c r="Y56" s="554"/>
      <c r="Z56" s="554"/>
      <c r="AA56" s="554"/>
      <c r="AB56" s="554"/>
      <c r="AC56" s="554"/>
      <c r="AD56" s="554"/>
      <c r="AE56" s="554"/>
      <c r="AF56" s="554"/>
      <c r="AG56" s="554"/>
      <c r="AH56" s="554"/>
      <c r="AI56" s="554"/>
      <c r="AJ56" s="554"/>
      <c r="AK56" s="557"/>
    </row>
    <row r="57" spans="2:37" s="178" customFormat="1" ht="12" customHeight="1">
      <c r="B57" s="555"/>
      <c r="C57" s="305"/>
      <c r="D57" s="554"/>
      <c r="E57" s="558" t="s">
        <v>581</v>
      </c>
      <c r="F57" s="554"/>
      <c r="G57" s="554"/>
      <c r="H57" s="554"/>
      <c r="I57" s="554"/>
      <c r="J57" s="554"/>
      <c r="K57" s="554"/>
      <c r="L57" s="554"/>
      <c r="M57" s="554"/>
      <c r="N57" s="554"/>
      <c r="O57" s="554"/>
      <c r="P57" s="554"/>
      <c r="Q57" s="554"/>
      <c r="R57" s="554"/>
      <c r="S57" s="554"/>
      <c r="T57" s="554"/>
      <c r="U57" s="554"/>
      <c r="V57" s="554"/>
      <c r="W57" s="554"/>
      <c r="X57" s="554"/>
      <c r="Y57" s="554"/>
      <c r="Z57" s="554"/>
      <c r="AA57" s="554"/>
      <c r="AB57" s="554"/>
      <c r="AC57" s="554"/>
      <c r="AD57" s="554"/>
      <c r="AE57" s="554"/>
      <c r="AF57" s="554"/>
      <c r="AG57" s="554"/>
      <c r="AH57" s="554"/>
      <c r="AI57" s="554"/>
      <c r="AJ57" s="554"/>
      <c r="AK57" s="557"/>
    </row>
    <row r="58" spans="2:37" ht="3" customHeight="1">
      <c r="B58" s="548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12"/>
    </row>
    <row r="59" spans="2:37" ht="12" customHeight="1">
      <c r="B59" s="548"/>
      <c r="C59" s="305"/>
      <c r="D59" s="509"/>
      <c r="E59" s="511" t="s">
        <v>582</v>
      </c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12"/>
    </row>
    <row r="60" spans="2:37" ht="3" customHeight="1">
      <c r="B60" s="548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12"/>
    </row>
    <row r="61" spans="2:37" ht="12" customHeight="1">
      <c r="B61" s="548"/>
      <c r="C61" s="305"/>
      <c r="D61" s="509"/>
      <c r="E61" s="511" t="s">
        <v>583</v>
      </c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12"/>
    </row>
    <row r="62" spans="2:37" ht="3" customHeight="1">
      <c r="B62" s="548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12"/>
    </row>
    <row r="63" spans="2:37" s="178" customFormat="1" ht="12" customHeight="1">
      <c r="B63" s="555"/>
      <c r="C63" s="305"/>
      <c r="D63" s="554"/>
      <c r="E63" s="558" t="s">
        <v>584</v>
      </c>
      <c r="F63" s="554"/>
      <c r="G63" s="554"/>
      <c r="H63" s="554"/>
      <c r="I63" s="554"/>
      <c r="J63" s="554"/>
      <c r="K63" s="554"/>
      <c r="L63" s="554"/>
      <c r="M63" s="554"/>
      <c r="N63" s="554"/>
      <c r="O63" s="554"/>
      <c r="P63" s="554"/>
      <c r="Q63" s="554"/>
      <c r="R63" s="554"/>
      <c r="S63" s="554"/>
      <c r="T63" s="554"/>
      <c r="U63" s="554"/>
      <c r="V63" s="554"/>
      <c r="W63" s="554"/>
      <c r="X63" s="554"/>
      <c r="Y63" s="554"/>
      <c r="Z63" s="554"/>
      <c r="AA63" s="554"/>
      <c r="AB63" s="554"/>
      <c r="AC63" s="554"/>
      <c r="AD63" s="554"/>
      <c r="AE63" s="554"/>
      <c r="AF63" s="554"/>
      <c r="AG63" s="554"/>
      <c r="AH63" s="554"/>
      <c r="AI63" s="554"/>
      <c r="AJ63" s="554"/>
      <c r="AK63" s="557"/>
    </row>
    <row r="64" spans="2:37" s="178" customFormat="1" ht="12.75" customHeight="1">
      <c r="B64" s="555"/>
      <c r="C64" s="554"/>
      <c r="D64" s="554"/>
      <c r="E64" s="554"/>
      <c r="F64" s="554"/>
      <c r="G64" s="554"/>
      <c r="H64" s="554"/>
      <c r="I64" s="554"/>
      <c r="J64" s="554"/>
      <c r="K64" s="554"/>
      <c r="L64" s="554"/>
      <c r="M64" s="554"/>
      <c r="N64" s="554"/>
      <c r="O64" s="554"/>
      <c r="P64" s="554"/>
      <c r="Q64" s="554"/>
      <c r="R64" s="554"/>
      <c r="S64" s="554"/>
      <c r="T64" s="554"/>
      <c r="U64" s="554"/>
      <c r="V64" s="554"/>
      <c r="W64" s="554"/>
      <c r="X64" s="554"/>
      <c r="Y64" s="554"/>
      <c r="Z64" s="554"/>
      <c r="AA64" s="554"/>
      <c r="AB64" s="554"/>
      <c r="AC64" s="554"/>
      <c r="AD64" s="554"/>
      <c r="AE64" s="554"/>
      <c r="AF64" s="554"/>
      <c r="AG64" s="554"/>
      <c r="AH64" s="554"/>
      <c r="AI64" s="554"/>
      <c r="AJ64" s="554"/>
      <c r="AK64" s="557"/>
    </row>
    <row r="65" spans="2:37" s="178" customFormat="1" ht="17.25" customHeight="1">
      <c r="B65" s="555"/>
      <c r="C65" s="554"/>
      <c r="D65" s="558" t="s">
        <v>585</v>
      </c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4"/>
      <c r="P65" s="554"/>
      <c r="Q65" s="554"/>
      <c r="R65" s="554"/>
      <c r="S65" s="554"/>
      <c r="T65" s="554" t="s">
        <v>686</v>
      </c>
      <c r="U65" s="554"/>
      <c r="V65" s="554"/>
      <c r="W65" s="554"/>
      <c r="X65" s="554"/>
      <c r="Y65" s="554"/>
      <c r="Z65" s="554"/>
      <c r="AA65" s="554"/>
      <c r="AB65" s="554"/>
      <c r="AC65" s="554"/>
      <c r="AD65" s="554"/>
      <c r="AE65" s="554"/>
      <c r="AF65" s="554"/>
      <c r="AG65" s="554"/>
      <c r="AH65" s="554"/>
      <c r="AI65" s="554"/>
      <c r="AJ65" s="554"/>
      <c r="AK65" s="557"/>
    </row>
    <row r="66" spans="2:37" s="178" customFormat="1" ht="6.75" customHeight="1">
      <c r="B66" s="555"/>
      <c r="C66" s="554"/>
      <c r="D66" s="558"/>
      <c r="E66" s="554"/>
      <c r="F66" s="554"/>
      <c r="G66" s="554"/>
      <c r="H66" s="554"/>
      <c r="I66" s="554"/>
      <c r="J66" s="554"/>
      <c r="K66" s="554"/>
      <c r="L66" s="554"/>
      <c r="M66" s="554"/>
      <c r="N66" s="554"/>
      <c r="O66" s="554"/>
      <c r="P66" s="554"/>
      <c r="Q66" s="554"/>
      <c r="R66" s="554"/>
      <c r="S66" s="554"/>
      <c r="T66" s="554"/>
      <c r="U66" s="554"/>
      <c r="V66" s="554"/>
      <c r="W66" s="554"/>
      <c r="X66" s="554"/>
      <c r="Y66" s="554"/>
      <c r="Z66" s="508"/>
      <c r="AA66" s="508"/>
      <c r="AB66" s="508"/>
      <c r="AC66" s="508"/>
      <c r="AD66" s="508"/>
      <c r="AE66" s="508"/>
      <c r="AF66" s="508"/>
      <c r="AG66" s="508"/>
      <c r="AH66" s="508"/>
      <c r="AI66" s="508"/>
      <c r="AJ66" s="508"/>
      <c r="AK66" s="557"/>
    </row>
    <row r="67" spans="2:37" s="178" customFormat="1" ht="12" customHeight="1">
      <c r="B67" s="555"/>
      <c r="C67" s="554"/>
      <c r="D67" s="553"/>
      <c r="E67" s="553"/>
      <c r="F67" s="553"/>
      <c r="G67" s="553"/>
      <c r="H67" s="553"/>
      <c r="I67" s="553"/>
      <c r="J67" s="553"/>
      <c r="K67" s="553"/>
      <c r="L67" s="554"/>
      <c r="M67" s="554"/>
      <c r="N67" s="554"/>
      <c r="O67" s="554"/>
      <c r="P67" s="554"/>
      <c r="Q67" s="554"/>
      <c r="R67" s="554"/>
      <c r="S67" s="554"/>
      <c r="T67" s="554"/>
      <c r="U67" s="554"/>
      <c r="V67" s="554"/>
      <c r="W67" s="554"/>
      <c r="X67" s="554"/>
      <c r="Y67" s="554"/>
      <c r="Z67" s="554"/>
      <c r="AA67" s="554"/>
      <c r="AB67" s="554"/>
      <c r="AC67" s="554"/>
      <c r="AD67" s="554"/>
      <c r="AE67" s="559" t="s">
        <v>586</v>
      </c>
      <c r="AF67" s="554"/>
      <c r="AG67" s="554"/>
      <c r="AH67" s="554"/>
      <c r="AI67" s="554"/>
      <c r="AJ67" s="554"/>
      <c r="AK67" s="557"/>
    </row>
    <row r="68" spans="2:37" ht="8.25" customHeight="1" thickBot="1">
      <c r="B68" s="560"/>
      <c r="C68" s="561"/>
      <c r="D68" s="561"/>
      <c r="E68" s="561"/>
      <c r="F68" s="561"/>
      <c r="G68" s="561"/>
      <c r="H68" s="561"/>
      <c r="I68" s="561"/>
      <c r="J68" s="561"/>
      <c r="K68" s="561"/>
      <c r="L68" s="561"/>
      <c r="M68" s="561"/>
      <c r="N68" s="561"/>
      <c r="O68" s="561"/>
      <c r="P68" s="561"/>
      <c r="Q68" s="561"/>
      <c r="R68" s="561"/>
      <c r="S68" s="561"/>
      <c r="T68" s="561"/>
      <c r="U68" s="561"/>
      <c r="V68" s="561"/>
      <c r="W68" s="561"/>
      <c r="X68" s="561"/>
      <c r="Y68" s="561"/>
      <c r="Z68" s="561"/>
      <c r="AA68" s="561"/>
      <c r="AB68" s="561"/>
      <c r="AC68" s="561"/>
      <c r="AD68" s="561"/>
      <c r="AE68" s="561"/>
      <c r="AF68" s="561"/>
      <c r="AG68" s="561"/>
      <c r="AH68" s="561"/>
      <c r="AI68" s="561"/>
      <c r="AJ68" s="561"/>
      <c r="AK68" s="562"/>
    </row>
    <row r="69" spans="2:37" ht="8.25" customHeight="1">
      <c r="B69" s="509"/>
      <c r="C69" s="509"/>
      <c r="D69" s="509"/>
      <c r="E69" s="509"/>
      <c r="F69" s="509"/>
      <c r="G69" s="509"/>
      <c r="H69" s="509"/>
      <c r="I69" s="509"/>
      <c r="J69" s="509"/>
      <c r="K69" s="509"/>
      <c r="L69" s="509"/>
      <c r="M69" s="509"/>
      <c r="N69" s="509"/>
      <c r="O69" s="509"/>
      <c r="P69" s="509"/>
      <c r="Q69" s="509"/>
      <c r="R69" s="509"/>
      <c r="S69" s="509"/>
      <c r="T69" s="509"/>
      <c r="U69" s="509"/>
      <c r="V69" s="509"/>
      <c r="W69" s="509"/>
      <c r="X69" s="509"/>
      <c r="Y69" s="509"/>
      <c r="Z69" s="519"/>
      <c r="AA69" s="519"/>
      <c r="AB69" s="519"/>
      <c r="AC69" s="519"/>
      <c r="AD69" s="519"/>
      <c r="AE69" s="519"/>
      <c r="AF69" s="519"/>
      <c r="AG69" s="519"/>
      <c r="AH69" s="519"/>
      <c r="AI69" s="519"/>
      <c r="AJ69" s="519"/>
      <c r="AK69" s="519"/>
    </row>
    <row r="70" spans="2:37" ht="21" customHeight="1">
      <c r="B70" s="509"/>
      <c r="C70" s="509"/>
      <c r="D70" s="509"/>
      <c r="E70" s="509"/>
      <c r="F70" s="509"/>
      <c r="G70" s="509"/>
      <c r="H70" s="509"/>
      <c r="I70" s="509"/>
      <c r="J70" s="509"/>
      <c r="K70" s="509"/>
      <c r="L70" s="509"/>
      <c r="M70" s="509"/>
      <c r="N70" s="509"/>
      <c r="O70" s="509"/>
      <c r="P70" s="509"/>
      <c r="Q70" s="509"/>
      <c r="R70" s="509"/>
      <c r="S70" s="509"/>
      <c r="T70" s="509"/>
      <c r="U70" s="509"/>
      <c r="V70" s="509"/>
      <c r="W70" s="509"/>
      <c r="X70" s="509"/>
      <c r="Y70" s="509"/>
      <c r="Z70" s="509"/>
      <c r="AA70" s="509"/>
      <c r="AB70" s="509"/>
      <c r="AC70" s="509"/>
      <c r="AD70" s="509"/>
      <c r="AE70" s="509">
        <f>FirmaDirekor</f>
        <v>0</v>
      </c>
      <c r="AF70" s="509"/>
      <c r="AG70" s="509"/>
      <c r="AH70" s="509"/>
      <c r="AI70" s="509"/>
      <c r="AJ70" s="509"/>
      <c r="AK70" s="509"/>
    </row>
    <row r="71" spans="2:37" ht="17.25" customHeight="1">
      <c r="D71" s="513" t="s">
        <v>587</v>
      </c>
      <c r="S71" s="431" t="s">
        <v>686</v>
      </c>
      <c r="Z71" s="510"/>
      <c r="AA71" s="510"/>
      <c r="AB71" s="510"/>
      <c r="AC71" s="510"/>
      <c r="AD71" s="510"/>
      <c r="AE71" s="510"/>
      <c r="AF71" s="510"/>
      <c r="AG71" s="510"/>
      <c r="AH71" s="510"/>
      <c r="AI71" s="510"/>
      <c r="AJ71" s="510"/>
    </row>
    <row r="72" spans="2:37" ht="15.75" customHeight="1">
      <c r="D72" s="553"/>
      <c r="E72" s="553"/>
      <c r="F72" s="553"/>
      <c r="G72" s="553"/>
      <c r="H72" s="553"/>
      <c r="I72" s="553"/>
      <c r="J72" s="553"/>
      <c r="K72" s="553"/>
      <c r="AE72" s="26" t="s">
        <v>588</v>
      </c>
    </row>
    <row r="73" spans="2:37" ht="17.25" customHeight="1"/>
    <row r="74" spans="2:37" ht="17.25" customHeight="1"/>
    <row r="75" spans="2:37" ht="17.25" customHeight="1"/>
    <row r="76" spans="2:37" ht="17.25" customHeight="1"/>
  </sheetData>
  <sheetProtection formatCells="0" formatColumns="0" formatRows="0" insertColumns="0" insertRows="0" insertHyperlinks="0" deleteColumns="0" deleteRows="0"/>
  <mergeCells count="34">
    <mergeCell ref="B35:C35"/>
    <mergeCell ref="B4:P4"/>
    <mergeCell ref="B26:C26"/>
    <mergeCell ref="D26:Y26"/>
    <mergeCell ref="B25:C25"/>
    <mergeCell ref="B18:C18"/>
    <mergeCell ref="B9:C9"/>
    <mergeCell ref="O7:Q7"/>
    <mergeCell ref="S7:U7"/>
    <mergeCell ref="V7:X7"/>
    <mergeCell ref="R18:T18"/>
    <mergeCell ref="L10:AK10"/>
    <mergeCell ref="AC14:AK14"/>
    <mergeCell ref="X14:Y14"/>
    <mergeCell ref="F14:U14"/>
    <mergeCell ref="N15:P15"/>
    <mergeCell ref="R15:AK15"/>
    <mergeCell ref="J16:M16"/>
    <mergeCell ref="AA16:AD16"/>
    <mergeCell ref="Z22:AK22"/>
    <mergeCell ref="Z23:AK23"/>
    <mergeCell ref="B19:C19"/>
    <mergeCell ref="D19:Y19"/>
    <mergeCell ref="Z20:AK20"/>
    <mergeCell ref="Z19:AK19"/>
    <mergeCell ref="Z21:AK21"/>
    <mergeCell ref="Z27:AK27"/>
    <mergeCell ref="Z26:AK26"/>
    <mergeCell ref="Z32:AK32"/>
    <mergeCell ref="Z33:AK33"/>
    <mergeCell ref="Z28:AK28"/>
    <mergeCell ref="Z29:AK29"/>
    <mergeCell ref="Z30:AK30"/>
    <mergeCell ref="Z31:AK31"/>
  </mergeCells>
  <phoneticPr fontId="0" type="noConversion"/>
  <pageMargins left="0.56000000000000005" right="0.2" top="0.42" bottom="0.26" header="0.3" footer="0.17"/>
  <pageSetup paperSize="9" scale="90" orientation="portrait" horizontalDpi="4294967293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8" enableFormatConditionsCalculation="0">
    <tabColor indexed="13"/>
  </sheetPr>
  <dimension ref="A1:X223"/>
  <sheetViews>
    <sheetView showGridLines="0" workbookViewId="0">
      <selection activeCell="O8" sqref="O8:P8"/>
    </sheetView>
  </sheetViews>
  <sheetFormatPr defaultColWidth="4.140625" defaultRowHeight="15.75" customHeight="1"/>
  <cols>
    <col min="1" max="1" width="2.140625" style="569" customWidth="1"/>
    <col min="2" max="2" width="6.42578125" style="575" customWidth="1"/>
    <col min="3" max="14" width="4.140625" style="569" customWidth="1"/>
    <col min="15" max="17" width="4.140625" style="575" customWidth="1"/>
    <col min="18" max="24" width="4.5703125" style="569" customWidth="1"/>
    <col min="25" max="16384" width="4.140625" style="569"/>
  </cols>
  <sheetData>
    <row r="1" spans="2:24" ht="15.75" customHeight="1">
      <c r="S1" s="570"/>
      <c r="T1" s="571"/>
      <c r="U1" s="574" t="s">
        <v>319</v>
      </c>
      <c r="V1" s="571"/>
      <c r="W1" s="572"/>
    </row>
    <row r="2" spans="2:24" ht="6.75" customHeight="1"/>
    <row r="3" spans="2:24" ht="15.75" customHeight="1">
      <c r="B3" s="569" t="s">
        <v>1259</v>
      </c>
      <c r="H3" s="2314">
        <f>FirmaNaziv</f>
        <v>0</v>
      </c>
      <c r="I3" s="2314"/>
      <c r="J3" s="2314"/>
      <c r="K3" s="2314"/>
      <c r="L3" s="2314"/>
      <c r="M3" s="2314"/>
      <c r="N3" s="2314"/>
      <c r="O3" s="2314"/>
      <c r="P3" s="2314"/>
      <c r="Q3" s="2314"/>
      <c r="R3" s="2314"/>
    </row>
    <row r="4" spans="2:24" ht="15.75" customHeight="1">
      <c r="H4" s="2375" t="str">
        <f>FirmaSjediste &amp; ", " &amp; FirmaAdresa</f>
        <v xml:space="preserve">, </v>
      </c>
      <c r="I4" s="2375"/>
      <c r="J4" s="2375"/>
      <c r="K4" s="2375"/>
      <c r="L4" s="2375"/>
      <c r="M4" s="2375"/>
      <c r="N4" s="2375"/>
      <c r="O4" s="2375"/>
      <c r="P4" s="2375"/>
      <c r="Q4" s="2375"/>
      <c r="R4" s="2375"/>
    </row>
    <row r="5" spans="2:24" ht="15.75" customHeight="1">
      <c r="B5" s="569" t="s">
        <v>1258</v>
      </c>
      <c r="H5" s="2323">
        <f>FirmaID</f>
        <v>0</v>
      </c>
      <c r="I5" s="2323"/>
      <c r="J5" s="2323"/>
      <c r="K5" s="2323"/>
      <c r="L5" s="2323"/>
      <c r="M5" s="2323"/>
      <c r="N5" s="2323"/>
      <c r="O5" s="2323"/>
      <c r="P5" s="2323"/>
      <c r="Q5" s="2323"/>
      <c r="R5" s="2323"/>
    </row>
    <row r="7" spans="2:24" ht="15.75" customHeight="1">
      <c r="L7" s="430" t="s">
        <v>951</v>
      </c>
    </row>
    <row r="8" spans="2:24" ht="15.75" customHeight="1">
      <c r="I8" s="594" t="s">
        <v>952</v>
      </c>
      <c r="J8" s="2376" t="str">
        <f>ObracunOdDatuma</f>
        <v>1.1.</v>
      </c>
      <c r="K8" s="2376"/>
      <c r="L8" s="575" t="s">
        <v>546</v>
      </c>
      <c r="M8" s="2376" t="str">
        <f>ObracunDoDatuma</f>
        <v>31.12.</v>
      </c>
      <c r="N8" s="2376"/>
      <c r="O8" s="2387" t="str">
        <f>ObracunGodina</f>
        <v>2011</v>
      </c>
      <c r="P8" s="2387"/>
      <c r="Q8" s="569" t="s">
        <v>2268</v>
      </c>
    </row>
    <row r="9" spans="2:24" ht="9" customHeight="1" thickBot="1"/>
    <row r="10" spans="2:24" ht="33" customHeight="1">
      <c r="B10" s="599" t="s">
        <v>1260</v>
      </c>
      <c r="C10" s="600"/>
      <c r="D10" s="601"/>
      <c r="E10" s="601"/>
      <c r="F10" s="601"/>
      <c r="G10" s="601"/>
      <c r="H10" s="602" t="s">
        <v>2272</v>
      </c>
      <c r="I10" s="601"/>
      <c r="J10" s="601"/>
      <c r="K10" s="601"/>
      <c r="L10" s="601"/>
      <c r="M10" s="601"/>
      <c r="N10" s="603"/>
      <c r="O10" s="2335" t="s">
        <v>320</v>
      </c>
      <c r="P10" s="2336"/>
      <c r="Q10" s="2337"/>
      <c r="R10" s="2350" t="s">
        <v>1491</v>
      </c>
      <c r="S10" s="2350"/>
      <c r="T10" s="2350"/>
      <c r="U10" s="2350"/>
      <c r="V10" s="2350"/>
      <c r="W10" s="2350"/>
      <c r="X10" s="2351"/>
    </row>
    <row r="11" spans="2:24" s="440" customFormat="1" ht="15" customHeight="1">
      <c r="B11" s="604" t="s">
        <v>2313</v>
      </c>
      <c r="C11" s="585" t="s">
        <v>1261</v>
      </c>
      <c r="D11" s="568"/>
      <c r="E11" s="568"/>
      <c r="F11" s="568"/>
      <c r="G11" s="568"/>
      <c r="H11" s="568"/>
      <c r="I11" s="568"/>
      <c r="J11" s="568"/>
      <c r="K11" s="568"/>
      <c r="L11" s="568"/>
      <c r="M11" s="568"/>
      <c r="N11" s="586"/>
      <c r="O11" s="584"/>
      <c r="P11" s="584"/>
      <c r="Q11" s="584"/>
      <c r="R11" s="2383"/>
      <c r="S11" s="2383"/>
      <c r="T11" s="2383"/>
      <c r="U11" s="2383"/>
      <c r="V11" s="2383"/>
      <c r="W11" s="2383"/>
      <c r="X11" s="2384"/>
    </row>
    <row r="12" spans="2:24" s="440" customFormat="1" ht="13.5" customHeight="1">
      <c r="B12" s="1409" t="s">
        <v>294</v>
      </c>
      <c r="C12" s="587" t="s">
        <v>1262</v>
      </c>
      <c r="D12" s="588"/>
      <c r="E12" s="588"/>
      <c r="F12" s="588"/>
      <c r="G12" s="588"/>
      <c r="H12" s="588"/>
      <c r="I12" s="588"/>
      <c r="J12" s="588"/>
      <c r="K12" s="588"/>
      <c r="L12" s="588"/>
      <c r="M12" s="588"/>
      <c r="N12" s="589"/>
      <c r="O12" s="1411"/>
      <c r="P12" s="1411"/>
      <c r="Q12" s="1411"/>
      <c r="R12" s="2377"/>
      <c r="S12" s="2378"/>
      <c r="T12" s="2378"/>
      <c r="U12" s="2378"/>
      <c r="V12" s="2378"/>
      <c r="W12" s="2378"/>
      <c r="X12" s="2379"/>
    </row>
    <row r="13" spans="2:24" s="440" customFormat="1" ht="13.5" customHeight="1">
      <c r="B13" s="1410"/>
      <c r="C13" s="590" t="s">
        <v>1263</v>
      </c>
      <c r="D13" s="567"/>
      <c r="E13" s="567"/>
      <c r="F13" s="567"/>
      <c r="G13" s="567"/>
      <c r="H13" s="567"/>
      <c r="I13" s="567"/>
      <c r="J13" s="567"/>
      <c r="K13" s="567"/>
      <c r="L13" s="567"/>
      <c r="M13" s="567"/>
      <c r="N13" s="591"/>
      <c r="O13" s="1412"/>
      <c r="P13" s="1412"/>
      <c r="Q13" s="1412"/>
      <c r="R13" s="2380"/>
      <c r="S13" s="2381"/>
      <c r="T13" s="2381"/>
      <c r="U13" s="2381"/>
      <c r="V13" s="2381"/>
      <c r="W13" s="2381"/>
      <c r="X13" s="2382"/>
    </row>
    <row r="14" spans="2:24" ht="15.75" customHeight="1">
      <c r="B14" s="606" t="s">
        <v>673</v>
      </c>
      <c r="C14" s="570" t="s">
        <v>383</v>
      </c>
      <c r="D14" s="571"/>
      <c r="E14" s="571"/>
      <c r="F14" s="571"/>
      <c r="G14" s="571"/>
      <c r="H14" s="571"/>
      <c r="I14" s="571"/>
      <c r="J14" s="571"/>
      <c r="K14" s="571"/>
      <c r="L14" s="571"/>
      <c r="M14" s="571"/>
      <c r="N14" s="572"/>
      <c r="O14" s="573">
        <v>0</v>
      </c>
      <c r="P14" s="573">
        <v>0</v>
      </c>
      <c r="Q14" s="573">
        <v>1</v>
      </c>
      <c r="R14" s="2373">
        <f>'UNOS_POREZNI BILANS'!R5:U5</f>
        <v>0</v>
      </c>
      <c r="S14" s="2373"/>
      <c r="T14" s="2373"/>
      <c r="U14" s="2373"/>
      <c r="V14" s="2373"/>
      <c r="W14" s="2373"/>
      <c r="X14" s="2374"/>
    </row>
    <row r="15" spans="2:24" ht="15.75" customHeight="1">
      <c r="B15" s="606" t="s">
        <v>674</v>
      </c>
      <c r="C15" s="570" t="s">
        <v>340</v>
      </c>
      <c r="D15" s="571"/>
      <c r="E15" s="571"/>
      <c r="F15" s="571"/>
      <c r="G15" s="571"/>
      <c r="H15" s="571"/>
      <c r="I15" s="571"/>
      <c r="J15" s="571"/>
      <c r="K15" s="571"/>
      <c r="L15" s="571"/>
      <c r="M15" s="571"/>
      <c r="N15" s="572"/>
      <c r="O15" s="573">
        <v>0</v>
      </c>
      <c r="P15" s="573">
        <v>0</v>
      </c>
      <c r="Q15" s="573">
        <v>2</v>
      </c>
      <c r="R15" s="1132" t="str">
        <f>'UNOS_POREZNI BILANS'!R6:T6</f>
        <v>-</v>
      </c>
      <c r="S15" s="2385">
        <f>'UNOS_POREZNI BILANS'!S6</f>
        <v>0</v>
      </c>
      <c r="T15" s="2385"/>
      <c r="U15" s="2385"/>
      <c r="V15" s="2385"/>
      <c r="W15" s="2385"/>
      <c r="X15" s="2386"/>
    </row>
    <row r="16" spans="2:24" s="440" customFormat="1" ht="13.5" customHeight="1">
      <c r="B16" s="604" t="s">
        <v>1399</v>
      </c>
      <c r="C16" s="585" t="s">
        <v>341</v>
      </c>
      <c r="D16" s="568"/>
      <c r="E16" s="568"/>
      <c r="F16" s="568"/>
      <c r="G16" s="568"/>
      <c r="H16" s="568"/>
      <c r="I16" s="568"/>
      <c r="J16" s="568"/>
      <c r="K16" s="568"/>
      <c r="L16" s="568"/>
      <c r="M16" s="568"/>
      <c r="N16" s="586"/>
      <c r="O16" s="584"/>
      <c r="P16" s="584"/>
      <c r="Q16" s="584"/>
      <c r="R16" s="2383"/>
      <c r="S16" s="2383"/>
      <c r="T16" s="2383"/>
      <c r="U16" s="2383"/>
      <c r="V16" s="2383"/>
      <c r="W16" s="2383"/>
      <c r="X16" s="2384"/>
    </row>
    <row r="17" spans="2:24" ht="12" customHeight="1">
      <c r="B17" s="1417" t="s">
        <v>675</v>
      </c>
      <c r="C17" s="578" t="s">
        <v>344</v>
      </c>
      <c r="D17" s="579"/>
      <c r="E17" s="579"/>
      <c r="F17" s="579"/>
      <c r="G17" s="579"/>
      <c r="H17" s="579"/>
      <c r="I17" s="579"/>
      <c r="J17" s="579"/>
      <c r="K17" s="579"/>
      <c r="L17" s="579"/>
      <c r="M17" s="579"/>
      <c r="N17" s="580"/>
      <c r="O17" s="1344">
        <v>0</v>
      </c>
      <c r="P17" s="1344">
        <v>0</v>
      </c>
      <c r="Q17" s="1344">
        <v>3</v>
      </c>
      <c r="R17" s="2352">
        <f>'UNOS_POREZNI BILANS'!R8</f>
        <v>0</v>
      </c>
      <c r="S17" s="2353"/>
      <c r="T17" s="2353"/>
      <c r="U17" s="2353"/>
      <c r="V17" s="2353"/>
      <c r="W17" s="2353"/>
      <c r="X17" s="2354"/>
    </row>
    <row r="18" spans="2:24" ht="12" customHeight="1">
      <c r="B18" s="1417"/>
      <c r="C18" s="581" t="s">
        <v>342</v>
      </c>
      <c r="D18" s="582"/>
      <c r="E18" s="582"/>
      <c r="F18" s="582"/>
      <c r="G18" s="582"/>
      <c r="H18" s="582"/>
      <c r="I18" s="582"/>
      <c r="J18" s="582"/>
      <c r="K18" s="582"/>
      <c r="L18" s="582"/>
      <c r="M18" s="582"/>
      <c r="N18" s="583"/>
      <c r="O18" s="1345"/>
      <c r="P18" s="1345"/>
      <c r="Q18" s="1345"/>
      <c r="R18" s="2358"/>
      <c r="S18" s="2359"/>
      <c r="T18" s="2359"/>
      <c r="U18" s="2359"/>
      <c r="V18" s="2359"/>
      <c r="W18" s="2359"/>
      <c r="X18" s="2360"/>
    </row>
    <row r="19" spans="2:24" ht="12.75" customHeight="1">
      <c r="B19" s="1342" t="s">
        <v>676</v>
      </c>
      <c r="C19" s="578" t="s">
        <v>343</v>
      </c>
      <c r="D19" s="579"/>
      <c r="E19" s="579"/>
      <c r="F19" s="579"/>
      <c r="G19" s="579"/>
      <c r="H19" s="579"/>
      <c r="I19" s="579"/>
      <c r="J19" s="579"/>
      <c r="K19" s="579"/>
      <c r="L19" s="579"/>
      <c r="M19" s="579"/>
      <c r="N19" s="580"/>
      <c r="O19" s="1344">
        <v>0</v>
      </c>
      <c r="P19" s="1344">
        <v>0</v>
      </c>
      <c r="Q19" s="1344">
        <v>4</v>
      </c>
      <c r="R19" s="2352">
        <f>'UNOS_POREZNI BILANS'!R10</f>
        <v>0</v>
      </c>
      <c r="S19" s="2353"/>
      <c r="T19" s="2353"/>
      <c r="U19" s="2353"/>
      <c r="V19" s="2353"/>
      <c r="W19" s="2353"/>
      <c r="X19" s="2354"/>
    </row>
    <row r="20" spans="2:24" ht="12.75" customHeight="1">
      <c r="B20" s="1343"/>
      <c r="C20" s="581" t="s">
        <v>342</v>
      </c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3"/>
      <c r="O20" s="1345"/>
      <c r="P20" s="1345"/>
      <c r="Q20" s="1345"/>
      <c r="R20" s="2358"/>
      <c r="S20" s="2359"/>
      <c r="T20" s="2359"/>
      <c r="U20" s="2359"/>
      <c r="V20" s="2359"/>
      <c r="W20" s="2359"/>
      <c r="X20" s="2360"/>
    </row>
    <row r="21" spans="2:24" ht="14.25" customHeight="1">
      <c r="B21" s="604" t="s">
        <v>1365</v>
      </c>
      <c r="C21" s="585" t="s">
        <v>345</v>
      </c>
      <c r="D21" s="568"/>
      <c r="E21" s="568"/>
      <c r="F21" s="568"/>
      <c r="G21" s="568"/>
      <c r="H21" s="568"/>
      <c r="I21" s="568"/>
      <c r="J21" s="571"/>
      <c r="K21" s="571"/>
      <c r="L21" s="571"/>
      <c r="M21" s="571"/>
      <c r="N21" s="572"/>
      <c r="O21" s="573"/>
      <c r="P21" s="573"/>
      <c r="Q21" s="573"/>
      <c r="R21" s="2373"/>
      <c r="S21" s="2373"/>
      <c r="T21" s="2373"/>
      <c r="U21" s="2373"/>
      <c r="V21" s="2373"/>
      <c r="W21" s="2373"/>
      <c r="X21" s="2374"/>
    </row>
    <row r="22" spans="2:24" ht="14.25" customHeight="1">
      <c r="B22" s="1342" t="s">
        <v>677</v>
      </c>
      <c r="C22" s="578" t="s">
        <v>346</v>
      </c>
      <c r="D22" s="579"/>
      <c r="E22" s="579"/>
      <c r="F22" s="579"/>
      <c r="G22" s="579"/>
      <c r="H22" s="579"/>
      <c r="I22" s="579"/>
      <c r="J22" s="579"/>
      <c r="K22" s="579"/>
      <c r="L22" s="579"/>
      <c r="M22" s="579"/>
      <c r="N22" s="580"/>
      <c r="O22" s="1344">
        <v>0</v>
      </c>
      <c r="P22" s="1344">
        <v>0</v>
      </c>
      <c r="Q22" s="1344">
        <v>5</v>
      </c>
      <c r="R22" s="2352">
        <f>'UNOS_POREZNI BILANS'!R13</f>
        <v>0</v>
      </c>
      <c r="S22" s="2353"/>
      <c r="T22" s="2353"/>
      <c r="U22" s="2353"/>
      <c r="V22" s="2353"/>
      <c r="W22" s="2353"/>
      <c r="X22" s="2354"/>
    </row>
    <row r="23" spans="2:24" ht="14.25" customHeight="1">
      <c r="B23" s="1384"/>
      <c r="C23" s="592" t="s">
        <v>2016</v>
      </c>
      <c r="D23" s="558"/>
      <c r="E23" s="558"/>
      <c r="F23" s="558"/>
      <c r="G23" s="558"/>
      <c r="H23" s="558"/>
      <c r="I23" s="558"/>
      <c r="J23" s="558"/>
      <c r="K23" s="558"/>
      <c r="L23" s="558"/>
      <c r="M23" s="558"/>
      <c r="N23" s="593"/>
      <c r="O23" s="1386"/>
      <c r="P23" s="1386"/>
      <c r="Q23" s="1386"/>
      <c r="R23" s="2355"/>
      <c r="S23" s="2356"/>
      <c r="T23" s="2356"/>
      <c r="U23" s="2356"/>
      <c r="V23" s="2356"/>
      <c r="W23" s="2356"/>
      <c r="X23" s="2357"/>
    </row>
    <row r="24" spans="2:24" ht="14.25" customHeight="1">
      <c r="B24" s="1343"/>
      <c r="C24" s="581" t="s">
        <v>2017</v>
      </c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3"/>
      <c r="O24" s="1345"/>
      <c r="P24" s="1345"/>
      <c r="Q24" s="1345"/>
      <c r="R24" s="2358"/>
      <c r="S24" s="2359"/>
      <c r="T24" s="2359"/>
      <c r="U24" s="2359"/>
      <c r="V24" s="2359"/>
      <c r="W24" s="2359"/>
      <c r="X24" s="2360"/>
    </row>
    <row r="25" spans="2:24" ht="13.5" customHeight="1">
      <c r="B25" s="1342" t="s">
        <v>678</v>
      </c>
      <c r="C25" s="578" t="s">
        <v>1885</v>
      </c>
      <c r="D25" s="579"/>
      <c r="E25" s="579"/>
      <c r="F25" s="579"/>
      <c r="G25" s="579"/>
      <c r="H25" s="579"/>
      <c r="I25" s="579"/>
      <c r="J25" s="579"/>
      <c r="K25" s="579"/>
      <c r="L25" s="579"/>
      <c r="M25" s="579"/>
      <c r="N25" s="580"/>
      <c r="O25" s="1344">
        <v>0</v>
      </c>
      <c r="P25" s="1344">
        <v>0</v>
      </c>
      <c r="Q25" s="1344">
        <v>6</v>
      </c>
      <c r="R25" s="2352">
        <f>'UNOS_POREZNI BILANS'!R16</f>
        <v>0</v>
      </c>
      <c r="S25" s="2353"/>
      <c r="T25" s="2353"/>
      <c r="U25" s="2353"/>
      <c r="V25" s="2353"/>
      <c r="W25" s="2353"/>
      <c r="X25" s="2354"/>
    </row>
    <row r="26" spans="2:24" ht="13.5" customHeight="1">
      <c r="B26" s="1384"/>
      <c r="C26" s="592" t="s">
        <v>2018</v>
      </c>
      <c r="D26" s="558"/>
      <c r="E26" s="558"/>
      <c r="F26" s="558"/>
      <c r="G26" s="558"/>
      <c r="H26" s="558"/>
      <c r="I26" s="558"/>
      <c r="J26" s="558"/>
      <c r="K26" s="558"/>
      <c r="L26" s="558"/>
      <c r="M26" s="558"/>
      <c r="N26" s="593"/>
      <c r="O26" s="1386"/>
      <c r="P26" s="1386"/>
      <c r="Q26" s="1386"/>
      <c r="R26" s="2355"/>
      <c r="S26" s="2356"/>
      <c r="T26" s="2356"/>
      <c r="U26" s="2356"/>
      <c r="V26" s="2356"/>
      <c r="W26" s="2356"/>
      <c r="X26" s="2357"/>
    </row>
    <row r="27" spans="2:24" ht="13.5" customHeight="1">
      <c r="B27" s="1384"/>
      <c r="C27" s="592" t="s">
        <v>2019</v>
      </c>
      <c r="D27" s="558"/>
      <c r="E27" s="558"/>
      <c r="F27" s="558"/>
      <c r="G27" s="558"/>
      <c r="H27" s="558"/>
      <c r="I27" s="558"/>
      <c r="J27" s="558"/>
      <c r="K27" s="558"/>
      <c r="L27" s="558"/>
      <c r="M27" s="558"/>
      <c r="N27" s="593"/>
      <c r="O27" s="1386"/>
      <c r="P27" s="1386"/>
      <c r="Q27" s="1386"/>
      <c r="R27" s="2355"/>
      <c r="S27" s="2356"/>
      <c r="T27" s="2356"/>
      <c r="U27" s="2356"/>
      <c r="V27" s="2356"/>
      <c r="W27" s="2356"/>
      <c r="X27" s="2357"/>
    </row>
    <row r="28" spans="2:24" ht="13.5" customHeight="1">
      <c r="B28" s="1384"/>
      <c r="C28" s="592" t="s">
        <v>2020</v>
      </c>
      <c r="D28" s="558"/>
      <c r="E28" s="558"/>
      <c r="F28" s="558"/>
      <c r="G28" s="558"/>
      <c r="H28" s="558"/>
      <c r="I28" s="558"/>
      <c r="J28" s="558"/>
      <c r="K28" s="558"/>
      <c r="L28" s="558"/>
      <c r="M28" s="558"/>
      <c r="N28" s="593"/>
      <c r="O28" s="1386"/>
      <c r="P28" s="1386"/>
      <c r="Q28" s="1386"/>
      <c r="R28" s="2355"/>
      <c r="S28" s="2356"/>
      <c r="T28" s="2356"/>
      <c r="U28" s="2356"/>
      <c r="V28" s="2356"/>
      <c r="W28" s="2356"/>
      <c r="X28" s="2357"/>
    </row>
    <row r="29" spans="2:24" ht="13.5" customHeight="1">
      <c r="B29" s="1343"/>
      <c r="C29" s="581" t="s">
        <v>2021</v>
      </c>
      <c r="D29" s="582"/>
      <c r="E29" s="582"/>
      <c r="F29" s="582"/>
      <c r="G29" s="582"/>
      <c r="H29" s="582"/>
      <c r="I29" s="582"/>
      <c r="J29" s="582"/>
      <c r="K29" s="582"/>
      <c r="L29" s="582"/>
      <c r="M29" s="582"/>
      <c r="N29" s="583"/>
      <c r="O29" s="1345"/>
      <c r="P29" s="1345"/>
      <c r="Q29" s="1345"/>
      <c r="R29" s="2358"/>
      <c r="S29" s="2359"/>
      <c r="T29" s="2359"/>
      <c r="U29" s="2359"/>
      <c r="V29" s="2359"/>
      <c r="W29" s="2359"/>
      <c r="X29" s="2360"/>
    </row>
    <row r="30" spans="2:24" ht="14.25" customHeight="1">
      <c r="B30" s="1342" t="s">
        <v>679</v>
      </c>
      <c r="C30" s="578" t="s">
        <v>2022</v>
      </c>
      <c r="D30" s="579"/>
      <c r="E30" s="579"/>
      <c r="F30" s="579"/>
      <c r="G30" s="579"/>
      <c r="H30" s="579"/>
      <c r="I30" s="579"/>
      <c r="J30" s="579"/>
      <c r="K30" s="579"/>
      <c r="L30" s="579"/>
      <c r="M30" s="579"/>
      <c r="N30" s="580"/>
      <c r="O30" s="1344">
        <v>0</v>
      </c>
      <c r="P30" s="1344">
        <v>0</v>
      </c>
      <c r="Q30" s="1344">
        <v>7</v>
      </c>
      <c r="R30" s="2352">
        <f>'UNOS_POREZNI BILANS'!R21</f>
        <v>0</v>
      </c>
      <c r="S30" s="2353"/>
      <c r="T30" s="2353"/>
      <c r="U30" s="2353"/>
      <c r="V30" s="2353"/>
      <c r="W30" s="2353"/>
      <c r="X30" s="2354"/>
    </row>
    <row r="31" spans="2:24" ht="14.25" customHeight="1">
      <c r="B31" s="1384"/>
      <c r="C31" s="592" t="s">
        <v>2023</v>
      </c>
      <c r="D31" s="558"/>
      <c r="E31" s="558"/>
      <c r="F31" s="558"/>
      <c r="G31" s="558"/>
      <c r="H31" s="558"/>
      <c r="I31" s="558"/>
      <c r="J31" s="558"/>
      <c r="K31" s="558"/>
      <c r="L31" s="558"/>
      <c r="M31" s="558"/>
      <c r="N31" s="593"/>
      <c r="O31" s="1386"/>
      <c r="P31" s="1386"/>
      <c r="Q31" s="1386"/>
      <c r="R31" s="2355"/>
      <c r="S31" s="2356"/>
      <c r="T31" s="2356"/>
      <c r="U31" s="2356"/>
      <c r="V31" s="2356"/>
      <c r="W31" s="2356"/>
      <c r="X31" s="2357"/>
    </row>
    <row r="32" spans="2:24" ht="14.25" customHeight="1">
      <c r="B32" s="1384"/>
      <c r="C32" s="592" t="s">
        <v>2024</v>
      </c>
      <c r="D32" s="558"/>
      <c r="E32" s="558"/>
      <c r="F32" s="558"/>
      <c r="G32" s="558"/>
      <c r="H32" s="558"/>
      <c r="I32" s="558"/>
      <c r="J32" s="558"/>
      <c r="K32" s="558"/>
      <c r="L32" s="558"/>
      <c r="M32" s="558"/>
      <c r="N32" s="593"/>
      <c r="O32" s="1386"/>
      <c r="P32" s="1386"/>
      <c r="Q32" s="1386"/>
      <c r="R32" s="2355"/>
      <c r="S32" s="2356"/>
      <c r="T32" s="2356"/>
      <c r="U32" s="2356"/>
      <c r="V32" s="2356"/>
      <c r="W32" s="2356"/>
      <c r="X32" s="2357"/>
    </row>
    <row r="33" spans="1:24" ht="14.25" customHeight="1">
      <c r="A33" s="558"/>
      <c r="B33" s="1343"/>
      <c r="C33" s="581" t="s">
        <v>2025</v>
      </c>
      <c r="D33" s="582"/>
      <c r="E33" s="582"/>
      <c r="F33" s="582"/>
      <c r="G33" s="582"/>
      <c r="H33" s="582"/>
      <c r="I33" s="582"/>
      <c r="J33" s="582"/>
      <c r="K33" s="582"/>
      <c r="L33" s="582"/>
      <c r="M33" s="582"/>
      <c r="N33" s="583"/>
      <c r="O33" s="1345"/>
      <c r="P33" s="1345"/>
      <c r="Q33" s="1345"/>
      <c r="R33" s="2358"/>
      <c r="S33" s="2359"/>
      <c r="T33" s="2359"/>
      <c r="U33" s="2359"/>
      <c r="V33" s="2359"/>
      <c r="W33" s="2359"/>
      <c r="X33" s="2360"/>
    </row>
    <row r="34" spans="1:24" ht="13.5" customHeight="1">
      <c r="A34" s="558"/>
      <c r="B34" s="1342" t="s">
        <v>680</v>
      </c>
      <c r="C34" s="578" t="s">
        <v>1975</v>
      </c>
      <c r="D34" s="579"/>
      <c r="E34" s="579"/>
      <c r="F34" s="579"/>
      <c r="G34" s="579"/>
      <c r="H34" s="579"/>
      <c r="I34" s="579"/>
      <c r="J34" s="579"/>
      <c r="K34" s="579"/>
      <c r="L34" s="579"/>
      <c r="M34" s="579"/>
      <c r="N34" s="580"/>
      <c r="O34" s="1344">
        <v>0</v>
      </c>
      <c r="P34" s="1344">
        <v>0</v>
      </c>
      <c r="Q34" s="1344">
        <v>8</v>
      </c>
      <c r="R34" s="2352">
        <f>'UNOS_POREZNI BILANS'!R25</f>
        <v>0</v>
      </c>
      <c r="S34" s="2353"/>
      <c r="T34" s="2353"/>
      <c r="U34" s="2353"/>
      <c r="V34" s="2353"/>
      <c r="W34" s="2353"/>
      <c r="X34" s="2354"/>
    </row>
    <row r="35" spans="1:24" ht="13.5" customHeight="1">
      <c r="A35" s="558"/>
      <c r="B35" s="1384"/>
      <c r="C35" s="592" t="s">
        <v>1976</v>
      </c>
      <c r="D35" s="558"/>
      <c r="E35" s="558"/>
      <c r="F35" s="558"/>
      <c r="G35" s="558"/>
      <c r="H35" s="558"/>
      <c r="I35" s="558"/>
      <c r="J35" s="558"/>
      <c r="K35" s="558"/>
      <c r="L35" s="558"/>
      <c r="M35" s="558"/>
      <c r="N35" s="593"/>
      <c r="O35" s="1386"/>
      <c r="P35" s="1386"/>
      <c r="Q35" s="1386"/>
      <c r="R35" s="2355"/>
      <c r="S35" s="2356"/>
      <c r="T35" s="2356"/>
      <c r="U35" s="2356"/>
      <c r="V35" s="2356"/>
      <c r="W35" s="2356"/>
      <c r="X35" s="2357"/>
    </row>
    <row r="36" spans="1:24" ht="13.5" customHeight="1">
      <c r="A36" s="558"/>
      <c r="B36" s="1384"/>
      <c r="C36" s="592" t="s">
        <v>1977</v>
      </c>
      <c r="D36" s="558"/>
      <c r="E36" s="558"/>
      <c r="F36" s="558"/>
      <c r="G36" s="558"/>
      <c r="H36" s="558"/>
      <c r="I36" s="558"/>
      <c r="J36" s="558"/>
      <c r="K36" s="558"/>
      <c r="L36" s="558"/>
      <c r="M36" s="558"/>
      <c r="N36" s="593"/>
      <c r="O36" s="1386"/>
      <c r="P36" s="1386"/>
      <c r="Q36" s="1386"/>
      <c r="R36" s="2355"/>
      <c r="S36" s="2356"/>
      <c r="T36" s="2356"/>
      <c r="U36" s="2356"/>
      <c r="V36" s="2356"/>
      <c r="W36" s="2356"/>
      <c r="X36" s="2357"/>
    </row>
    <row r="37" spans="1:24" ht="13.5" customHeight="1">
      <c r="A37" s="558"/>
      <c r="B37" s="1343"/>
      <c r="C37" s="581" t="s">
        <v>1978</v>
      </c>
      <c r="D37" s="582"/>
      <c r="E37" s="582"/>
      <c r="F37" s="582"/>
      <c r="G37" s="582"/>
      <c r="H37" s="582"/>
      <c r="I37" s="582"/>
      <c r="J37" s="582"/>
      <c r="K37" s="582"/>
      <c r="L37" s="582"/>
      <c r="M37" s="582"/>
      <c r="N37" s="583"/>
      <c r="O37" s="1345"/>
      <c r="P37" s="1345"/>
      <c r="Q37" s="1345"/>
      <c r="R37" s="2358"/>
      <c r="S37" s="2359"/>
      <c r="T37" s="2359"/>
      <c r="U37" s="2359"/>
      <c r="V37" s="2359"/>
      <c r="W37" s="2359"/>
      <c r="X37" s="2360"/>
    </row>
    <row r="38" spans="1:24" ht="12.75" customHeight="1">
      <c r="A38" s="558"/>
      <c r="B38" s="1342" t="s">
        <v>681</v>
      </c>
      <c r="C38" s="578" t="s">
        <v>1979</v>
      </c>
      <c r="D38" s="579"/>
      <c r="E38" s="579"/>
      <c r="F38" s="579"/>
      <c r="G38" s="579"/>
      <c r="H38" s="579"/>
      <c r="I38" s="579"/>
      <c r="J38" s="579"/>
      <c r="K38" s="579"/>
      <c r="L38" s="579"/>
      <c r="M38" s="579"/>
      <c r="N38" s="580"/>
      <c r="O38" s="1344">
        <v>0</v>
      </c>
      <c r="P38" s="1344">
        <v>0</v>
      </c>
      <c r="Q38" s="1344">
        <v>9</v>
      </c>
      <c r="R38" s="2352">
        <f>'UNOS_POREZNI BILANS'!R29</f>
        <v>0</v>
      </c>
      <c r="S38" s="2353"/>
      <c r="T38" s="2353"/>
      <c r="U38" s="2353"/>
      <c r="V38" s="2353"/>
      <c r="W38" s="2353"/>
      <c r="X38" s="2354"/>
    </row>
    <row r="39" spans="1:24" ht="12.75" customHeight="1">
      <c r="A39" s="558"/>
      <c r="B39" s="1343"/>
      <c r="C39" s="581" t="s">
        <v>1980</v>
      </c>
      <c r="D39" s="582"/>
      <c r="E39" s="582"/>
      <c r="F39" s="582"/>
      <c r="G39" s="582"/>
      <c r="H39" s="582"/>
      <c r="I39" s="582"/>
      <c r="J39" s="582"/>
      <c r="K39" s="582"/>
      <c r="L39" s="582"/>
      <c r="M39" s="582"/>
      <c r="N39" s="583"/>
      <c r="O39" s="1345"/>
      <c r="P39" s="1345"/>
      <c r="Q39" s="1345"/>
      <c r="R39" s="2358"/>
      <c r="S39" s="2359"/>
      <c r="T39" s="2359"/>
      <c r="U39" s="2359"/>
      <c r="V39" s="2359"/>
      <c r="W39" s="2359"/>
      <c r="X39" s="2360"/>
    </row>
    <row r="40" spans="1:24" ht="13.5" customHeight="1">
      <c r="B40" s="1342" t="s">
        <v>682</v>
      </c>
      <c r="C40" s="578" t="s">
        <v>1981</v>
      </c>
      <c r="D40" s="579"/>
      <c r="E40" s="579"/>
      <c r="F40" s="579"/>
      <c r="G40" s="579"/>
      <c r="H40" s="579"/>
      <c r="I40" s="579"/>
      <c r="J40" s="579"/>
      <c r="K40" s="579"/>
      <c r="L40" s="579"/>
      <c r="M40" s="579"/>
      <c r="N40" s="580"/>
      <c r="O40" s="1344">
        <v>0</v>
      </c>
      <c r="P40" s="1344">
        <v>1</v>
      </c>
      <c r="Q40" s="1344">
        <v>0</v>
      </c>
      <c r="R40" s="2352">
        <f>'UNOS_POREZNI BILANS'!R31</f>
        <v>0</v>
      </c>
      <c r="S40" s="2353"/>
      <c r="T40" s="2353"/>
      <c r="U40" s="2353"/>
      <c r="V40" s="2353"/>
      <c r="W40" s="2353"/>
      <c r="X40" s="2354"/>
    </row>
    <row r="41" spans="1:24" ht="13.5" customHeight="1">
      <c r="B41" s="1343"/>
      <c r="C41" s="581" t="s">
        <v>1982</v>
      </c>
      <c r="D41" s="582"/>
      <c r="E41" s="582"/>
      <c r="F41" s="582"/>
      <c r="G41" s="582"/>
      <c r="H41" s="582"/>
      <c r="I41" s="582"/>
      <c r="J41" s="582"/>
      <c r="K41" s="582"/>
      <c r="L41" s="582"/>
      <c r="M41" s="582"/>
      <c r="N41" s="583"/>
      <c r="O41" s="1345"/>
      <c r="P41" s="1345"/>
      <c r="Q41" s="1345"/>
      <c r="R41" s="2358"/>
      <c r="S41" s="2359"/>
      <c r="T41" s="2359"/>
      <c r="U41" s="2359"/>
      <c r="V41" s="2359"/>
      <c r="W41" s="2359"/>
      <c r="X41" s="2360"/>
    </row>
    <row r="42" spans="1:24" ht="13.5" customHeight="1">
      <c r="B42" s="1342" t="s">
        <v>683</v>
      </c>
      <c r="C42" s="578" t="s">
        <v>1983</v>
      </c>
      <c r="D42" s="579"/>
      <c r="E42" s="579"/>
      <c r="F42" s="579"/>
      <c r="G42" s="579"/>
      <c r="H42" s="579"/>
      <c r="I42" s="579"/>
      <c r="J42" s="579"/>
      <c r="K42" s="579"/>
      <c r="L42" s="579"/>
      <c r="M42" s="579"/>
      <c r="N42" s="580"/>
      <c r="O42" s="1344">
        <v>0</v>
      </c>
      <c r="P42" s="1344">
        <v>1</v>
      </c>
      <c r="Q42" s="1344">
        <v>1</v>
      </c>
      <c r="R42" s="2352">
        <f>'UNOS_POREZNI BILANS'!R33</f>
        <v>0</v>
      </c>
      <c r="S42" s="2353"/>
      <c r="T42" s="2353"/>
      <c r="U42" s="2353"/>
      <c r="V42" s="2353"/>
      <c r="W42" s="2353"/>
      <c r="X42" s="2354"/>
    </row>
    <row r="43" spans="1:24" ht="13.5" customHeight="1">
      <c r="B43" s="1384"/>
      <c r="C43" s="592" t="s">
        <v>2171</v>
      </c>
      <c r="D43" s="558"/>
      <c r="E43" s="558"/>
      <c r="F43" s="558"/>
      <c r="G43" s="558"/>
      <c r="H43" s="558"/>
      <c r="I43" s="558"/>
      <c r="J43" s="558"/>
      <c r="K43" s="558"/>
      <c r="L43" s="558"/>
      <c r="M43" s="558"/>
      <c r="N43" s="593"/>
      <c r="O43" s="1386"/>
      <c r="P43" s="1386"/>
      <c r="Q43" s="1386"/>
      <c r="R43" s="2355"/>
      <c r="S43" s="2356"/>
      <c r="T43" s="2356"/>
      <c r="U43" s="2356"/>
      <c r="V43" s="2356"/>
      <c r="W43" s="2356"/>
      <c r="X43" s="2357"/>
    </row>
    <row r="44" spans="1:24" ht="13.5" customHeight="1">
      <c r="B44" s="1343"/>
      <c r="C44" s="581" t="s">
        <v>2172</v>
      </c>
      <c r="D44" s="582"/>
      <c r="E44" s="582"/>
      <c r="F44" s="582"/>
      <c r="G44" s="582"/>
      <c r="H44" s="582"/>
      <c r="I44" s="582"/>
      <c r="J44" s="582"/>
      <c r="K44" s="582"/>
      <c r="L44" s="582"/>
      <c r="M44" s="582"/>
      <c r="N44" s="583"/>
      <c r="O44" s="1345"/>
      <c r="P44" s="1345"/>
      <c r="Q44" s="1345"/>
      <c r="R44" s="2358"/>
      <c r="S44" s="2359"/>
      <c r="T44" s="2359"/>
      <c r="U44" s="2359"/>
      <c r="V44" s="2359"/>
      <c r="W44" s="2359"/>
      <c r="X44" s="2360"/>
    </row>
    <row r="45" spans="1:24" ht="13.5" customHeight="1">
      <c r="B45" s="1342" t="s">
        <v>684</v>
      </c>
      <c r="C45" s="578" t="s">
        <v>2173</v>
      </c>
      <c r="D45" s="579"/>
      <c r="E45" s="579"/>
      <c r="F45" s="579"/>
      <c r="G45" s="579"/>
      <c r="H45" s="579"/>
      <c r="I45" s="579"/>
      <c r="J45" s="579"/>
      <c r="K45" s="579"/>
      <c r="L45" s="579"/>
      <c r="M45" s="579"/>
      <c r="N45" s="580"/>
      <c r="O45" s="1344">
        <v>0</v>
      </c>
      <c r="P45" s="1344">
        <v>1</v>
      </c>
      <c r="Q45" s="1344">
        <v>2</v>
      </c>
      <c r="R45" s="2352">
        <f>'UNOS_POREZNI BILANS'!R36</f>
        <v>0</v>
      </c>
      <c r="S45" s="2353"/>
      <c r="T45" s="2353"/>
      <c r="U45" s="2353"/>
      <c r="V45" s="2353"/>
      <c r="W45" s="2353"/>
      <c r="X45" s="2354"/>
    </row>
    <row r="46" spans="1:24" ht="13.5" customHeight="1">
      <c r="B46" s="1384"/>
      <c r="C46" s="592" t="s">
        <v>2174</v>
      </c>
      <c r="D46" s="558"/>
      <c r="E46" s="558"/>
      <c r="F46" s="558"/>
      <c r="G46" s="558"/>
      <c r="H46" s="558"/>
      <c r="I46" s="558"/>
      <c r="J46" s="558"/>
      <c r="K46" s="558"/>
      <c r="L46" s="558"/>
      <c r="M46" s="558"/>
      <c r="N46" s="593"/>
      <c r="O46" s="1386"/>
      <c r="P46" s="1386"/>
      <c r="Q46" s="1386"/>
      <c r="R46" s="2355"/>
      <c r="S46" s="2356"/>
      <c r="T46" s="2356"/>
      <c r="U46" s="2356"/>
      <c r="V46" s="2356"/>
      <c r="W46" s="2356"/>
      <c r="X46" s="2357"/>
    </row>
    <row r="47" spans="1:24" s="558" customFormat="1" ht="13.5" customHeight="1">
      <c r="B47" s="1343"/>
      <c r="C47" s="581" t="s">
        <v>2175</v>
      </c>
      <c r="D47" s="582"/>
      <c r="E47" s="582"/>
      <c r="F47" s="582"/>
      <c r="G47" s="582"/>
      <c r="H47" s="582"/>
      <c r="I47" s="582"/>
      <c r="J47" s="582"/>
      <c r="K47" s="582"/>
      <c r="L47" s="582"/>
      <c r="M47" s="582"/>
      <c r="N47" s="583"/>
      <c r="O47" s="1345"/>
      <c r="P47" s="1345"/>
      <c r="Q47" s="1345"/>
      <c r="R47" s="2358"/>
      <c r="S47" s="2359"/>
      <c r="T47" s="2359"/>
      <c r="U47" s="2359"/>
      <c r="V47" s="2359"/>
      <c r="W47" s="2359"/>
      <c r="X47" s="2360"/>
    </row>
    <row r="48" spans="1:24" s="558" customFormat="1" ht="12.75" customHeight="1">
      <c r="B48" s="1342" t="s">
        <v>685</v>
      </c>
      <c r="C48" s="578" t="s">
        <v>484</v>
      </c>
      <c r="D48" s="579"/>
      <c r="E48" s="579"/>
      <c r="F48" s="579"/>
      <c r="G48" s="579"/>
      <c r="H48" s="579"/>
      <c r="I48" s="579"/>
      <c r="J48" s="579"/>
      <c r="K48" s="579"/>
      <c r="L48" s="579"/>
      <c r="M48" s="579"/>
      <c r="N48" s="580"/>
      <c r="O48" s="1344">
        <v>0</v>
      </c>
      <c r="P48" s="1344">
        <v>1</v>
      </c>
      <c r="Q48" s="1344">
        <v>3</v>
      </c>
      <c r="R48" s="2352">
        <f>'UNOS_POREZNI BILANS'!R39</f>
        <v>0</v>
      </c>
      <c r="S48" s="2353"/>
      <c r="T48" s="2353"/>
      <c r="U48" s="2353"/>
      <c r="V48" s="2353"/>
      <c r="W48" s="2353"/>
      <c r="X48" s="2354"/>
    </row>
    <row r="49" spans="2:24" ht="12.75" customHeight="1">
      <c r="B49" s="1384"/>
      <c r="C49" s="592" t="s">
        <v>485</v>
      </c>
      <c r="D49" s="558"/>
      <c r="E49" s="558"/>
      <c r="F49" s="558"/>
      <c r="G49" s="558"/>
      <c r="H49" s="558"/>
      <c r="I49" s="558"/>
      <c r="J49" s="558"/>
      <c r="K49" s="558"/>
      <c r="L49" s="558"/>
      <c r="M49" s="558"/>
      <c r="N49" s="593"/>
      <c r="O49" s="1386"/>
      <c r="P49" s="1386"/>
      <c r="Q49" s="1386"/>
      <c r="R49" s="2355"/>
      <c r="S49" s="2356"/>
      <c r="T49" s="2356"/>
      <c r="U49" s="2356"/>
      <c r="V49" s="2356"/>
      <c r="W49" s="2356"/>
      <c r="X49" s="2357"/>
    </row>
    <row r="50" spans="2:24" ht="12.75" customHeight="1">
      <c r="B50" s="1343"/>
      <c r="C50" s="581" t="s">
        <v>486</v>
      </c>
      <c r="D50" s="582"/>
      <c r="E50" s="582"/>
      <c r="F50" s="582"/>
      <c r="G50" s="582"/>
      <c r="H50" s="582"/>
      <c r="I50" s="582"/>
      <c r="J50" s="582"/>
      <c r="K50" s="582"/>
      <c r="L50" s="582"/>
      <c r="M50" s="582"/>
      <c r="N50" s="583"/>
      <c r="O50" s="1345"/>
      <c r="P50" s="1345"/>
      <c r="Q50" s="1345"/>
      <c r="R50" s="2358"/>
      <c r="S50" s="2359"/>
      <c r="T50" s="2359"/>
      <c r="U50" s="2359"/>
      <c r="V50" s="2359"/>
      <c r="W50" s="2359"/>
      <c r="X50" s="2360"/>
    </row>
    <row r="51" spans="2:24" ht="15.75" customHeight="1">
      <c r="B51" s="606" t="s">
        <v>701</v>
      </c>
      <c r="C51" s="570" t="s">
        <v>2176</v>
      </c>
      <c r="D51" s="571"/>
      <c r="E51" s="571"/>
      <c r="F51" s="571"/>
      <c r="G51" s="571"/>
      <c r="H51" s="571"/>
      <c r="I51" s="571"/>
      <c r="J51" s="571"/>
      <c r="K51" s="571"/>
      <c r="L51" s="571"/>
      <c r="M51" s="571"/>
      <c r="N51" s="572"/>
      <c r="O51" s="573">
        <v>0</v>
      </c>
      <c r="P51" s="573">
        <v>1</v>
      </c>
      <c r="Q51" s="573">
        <v>4</v>
      </c>
      <c r="R51" s="2373">
        <f>'UNOS_POREZNI BILANS'!R42</f>
        <v>0</v>
      </c>
      <c r="S51" s="2373"/>
      <c r="T51" s="2373"/>
      <c r="U51" s="2373"/>
      <c r="V51" s="2373"/>
      <c r="W51" s="2373"/>
      <c r="X51" s="2374"/>
    </row>
    <row r="52" spans="2:24" ht="14.25" customHeight="1">
      <c r="B52" s="1342" t="s">
        <v>702</v>
      </c>
      <c r="C52" s="578" t="s">
        <v>2177</v>
      </c>
      <c r="D52" s="579"/>
      <c r="E52" s="579"/>
      <c r="F52" s="579"/>
      <c r="G52" s="579"/>
      <c r="H52" s="579"/>
      <c r="I52" s="579"/>
      <c r="J52" s="579"/>
      <c r="K52" s="579"/>
      <c r="L52" s="579"/>
      <c r="M52" s="579"/>
      <c r="N52" s="580"/>
      <c r="O52" s="1344">
        <v>0</v>
      </c>
      <c r="P52" s="1344">
        <v>1</v>
      </c>
      <c r="Q52" s="1344">
        <v>5</v>
      </c>
      <c r="R52" s="2352">
        <f>'UNOS_POREZNI BILANS'!R43</f>
        <v>0</v>
      </c>
      <c r="S52" s="2353"/>
      <c r="T52" s="2353"/>
      <c r="U52" s="2353"/>
      <c r="V52" s="2353"/>
      <c r="W52" s="2353"/>
      <c r="X52" s="2354"/>
    </row>
    <row r="53" spans="2:24" ht="14.25" customHeight="1">
      <c r="B53" s="1384"/>
      <c r="C53" s="592" t="s">
        <v>2178</v>
      </c>
      <c r="D53" s="558"/>
      <c r="E53" s="558"/>
      <c r="F53" s="558"/>
      <c r="G53" s="558"/>
      <c r="H53" s="558"/>
      <c r="I53" s="558"/>
      <c r="J53" s="558"/>
      <c r="K53" s="558"/>
      <c r="L53" s="558"/>
      <c r="M53" s="558"/>
      <c r="N53" s="593"/>
      <c r="O53" s="1386"/>
      <c r="P53" s="1386"/>
      <c r="Q53" s="1386"/>
      <c r="R53" s="2355"/>
      <c r="S53" s="2356"/>
      <c r="T53" s="2356"/>
      <c r="U53" s="2356"/>
      <c r="V53" s="2356"/>
      <c r="W53" s="2356"/>
      <c r="X53" s="2357"/>
    </row>
    <row r="54" spans="2:24" ht="14.25" customHeight="1">
      <c r="B54" s="1343"/>
      <c r="C54" s="581" t="s">
        <v>2179</v>
      </c>
      <c r="D54" s="582"/>
      <c r="E54" s="582"/>
      <c r="F54" s="582"/>
      <c r="G54" s="582"/>
      <c r="H54" s="582"/>
      <c r="I54" s="582"/>
      <c r="J54" s="582"/>
      <c r="K54" s="582"/>
      <c r="L54" s="582"/>
      <c r="M54" s="582"/>
      <c r="N54" s="583"/>
      <c r="O54" s="1345"/>
      <c r="P54" s="1345"/>
      <c r="Q54" s="1345"/>
      <c r="R54" s="2358"/>
      <c r="S54" s="2359"/>
      <c r="T54" s="2359"/>
      <c r="U54" s="2359"/>
      <c r="V54" s="2359"/>
      <c r="W54" s="2359"/>
      <c r="X54" s="2360"/>
    </row>
    <row r="55" spans="2:24" ht="12.75" customHeight="1">
      <c r="B55" s="1342" t="s">
        <v>1191</v>
      </c>
      <c r="C55" s="578" t="s">
        <v>1886</v>
      </c>
      <c r="D55" s="579"/>
      <c r="E55" s="579"/>
      <c r="F55" s="579"/>
      <c r="G55" s="579"/>
      <c r="H55" s="579"/>
      <c r="I55" s="579"/>
      <c r="J55" s="579"/>
      <c r="K55" s="579"/>
      <c r="L55" s="579"/>
      <c r="M55" s="579"/>
      <c r="N55" s="580"/>
      <c r="O55" s="1344">
        <v>0</v>
      </c>
      <c r="P55" s="1344">
        <v>1</v>
      </c>
      <c r="Q55" s="1344">
        <v>6</v>
      </c>
      <c r="R55" s="2352">
        <f>'UNOS_POREZNI BILANS'!R46</f>
        <v>0</v>
      </c>
      <c r="S55" s="2353"/>
      <c r="T55" s="2353"/>
      <c r="U55" s="2353"/>
      <c r="V55" s="2353"/>
      <c r="W55" s="2353"/>
      <c r="X55" s="2354"/>
    </row>
    <row r="56" spans="2:24" ht="12.75" customHeight="1">
      <c r="B56" s="1343"/>
      <c r="C56" s="581" t="s">
        <v>2180</v>
      </c>
      <c r="D56" s="582"/>
      <c r="E56" s="582"/>
      <c r="F56" s="582"/>
      <c r="G56" s="582"/>
      <c r="H56" s="582"/>
      <c r="I56" s="582"/>
      <c r="J56" s="582"/>
      <c r="K56" s="582"/>
      <c r="L56" s="582"/>
      <c r="M56" s="582"/>
      <c r="N56" s="583"/>
      <c r="O56" s="1345"/>
      <c r="P56" s="1345"/>
      <c r="Q56" s="1345"/>
      <c r="R56" s="2358"/>
      <c r="S56" s="2359"/>
      <c r="T56" s="2359"/>
      <c r="U56" s="2359"/>
      <c r="V56" s="2359"/>
      <c r="W56" s="2359"/>
      <c r="X56" s="2360"/>
    </row>
    <row r="57" spans="2:24" ht="12.75" customHeight="1">
      <c r="B57" s="1342" t="s">
        <v>1194</v>
      </c>
      <c r="C57" s="578" t="s">
        <v>949</v>
      </c>
      <c r="D57" s="579"/>
      <c r="E57" s="579"/>
      <c r="F57" s="579"/>
      <c r="G57" s="579"/>
      <c r="H57" s="579"/>
      <c r="I57" s="579"/>
      <c r="J57" s="579"/>
      <c r="K57" s="579"/>
      <c r="L57" s="579"/>
      <c r="M57" s="579"/>
      <c r="N57" s="580"/>
      <c r="O57" s="1344">
        <v>0</v>
      </c>
      <c r="P57" s="1344">
        <v>1</v>
      </c>
      <c r="Q57" s="1344">
        <v>7</v>
      </c>
      <c r="R57" s="2352">
        <f>'UNOS_POREZNI BILANS'!R48</f>
        <v>0</v>
      </c>
      <c r="S57" s="2353"/>
      <c r="T57" s="2353"/>
      <c r="U57" s="2353"/>
      <c r="V57" s="2353"/>
      <c r="W57" s="2353"/>
      <c r="X57" s="2354"/>
    </row>
    <row r="58" spans="2:24" s="558" customFormat="1" ht="12.75" customHeight="1" thickBot="1">
      <c r="B58" s="1364"/>
      <c r="C58" s="611" t="s">
        <v>950</v>
      </c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3"/>
      <c r="O58" s="1368"/>
      <c r="P58" s="1368"/>
      <c r="Q58" s="1368"/>
      <c r="R58" s="2388"/>
      <c r="S58" s="2389"/>
      <c r="T58" s="2389"/>
      <c r="U58" s="2389"/>
      <c r="V58" s="2389"/>
      <c r="W58" s="2389"/>
      <c r="X58" s="2390"/>
    </row>
    <row r="59" spans="2:24" ht="19.5" customHeight="1">
      <c r="X59" s="569">
        <v>1</v>
      </c>
    </row>
    <row r="60" spans="2:24" ht="14.25" customHeight="1" thickBot="1"/>
    <row r="61" spans="2:24" ht="33" customHeight="1">
      <c r="B61" s="599" t="s">
        <v>1260</v>
      </c>
      <c r="C61" s="600"/>
      <c r="D61" s="601"/>
      <c r="E61" s="601"/>
      <c r="F61" s="601"/>
      <c r="G61" s="601"/>
      <c r="H61" s="602" t="s">
        <v>2272</v>
      </c>
      <c r="I61" s="601"/>
      <c r="J61" s="601"/>
      <c r="K61" s="601"/>
      <c r="L61" s="601"/>
      <c r="M61" s="601"/>
      <c r="N61" s="603"/>
      <c r="O61" s="2335" t="s">
        <v>320</v>
      </c>
      <c r="P61" s="2336"/>
      <c r="Q61" s="2337"/>
      <c r="R61" s="2350" t="s">
        <v>1491</v>
      </c>
      <c r="S61" s="2350"/>
      <c r="T61" s="2350"/>
      <c r="U61" s="2350"/>
      <c r="V61" s="2350"/>
      <c r="W61" s="2350"/>
      <c r="X61" s="2351"/>
    </row>
    <row r="62" spans="2:24" ht="12.75" customHeight="1">
      <c r="B62" s="1342" t="s">
        <v>1195</v>
      </c>
      <c r="C62" s="578" t="s">
        <v>321</v>
      </c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80"/>
      <c r="O62" s="1344">
        <v>0</v>
      </c>
      <c r="P62" s="1344">
        <v>1</v>
      </c>
      <c r="Q62" s="1344">
        <v>8</v>
      </c>
      <c r="R62" s="2364">
        <f>'UNOS_POREZNI BILANS'!R50</f>
        <v>0</v>
      </c>
      <c r="S62" s="2365"/>
      <c r="T62" s="2365"/>
      <c r="U62" s="2365"/>
      <c r="V62" s="2365"/>
      <c r="W62" s="2365"/>
      <c r="X62" s="2366"/>
    </row>
    <row r="63" spans="2:24" ht="12.75" customHeight="1">
      <c r="B63" s="1343"/>
      <c r="C63" s="581" t="s">
        <v>322</v>
      </c>
      <c r="D63" s="582"/>
      <c r="E63" s="582"/>
      <c r="F63" s="582"/>
      <c r="G63" s="582"/>
      <c r="H63" s="582"/>
      <c r="I63" s="582"/>
      <c r="J63" s="582"/>
      <c r="K63" s="582"/>
      <c r="L63" s="582"/>
      <c r="M63" s="582"/>
      <c r="N63" s="583"/>
      <c r="O63" s="1345"/>
      <c r="P63" s="1345"/>
      <c r="Q63" s="1345"/>
      <c r="R63" s="2367"/>
      <c r="S63" s="2368"/>
      <c r="T63" s="2368"/>
      <c r="U63" s="2368"/>
      <c r="V63" s="2368"/>
      <c r="W63" s="2368"/>
      <c r="X63" s="2369"/>
    </row>
    <row r="64" spans="2:24" ht="13.5" customHeight="1">
      <c r="B64" s="1342" t="s">
        <v>1196</v>
      </c>
      <c r="C64" s="578" t="s">
        <v>323</v>
      </c>
      <c r="D64" s="579"/>
      <c r="E64" s="579"/>
      <c r="F64" s="579"/>
      <c r="G64" s="579"/>
      <c r="H64" s="579"/>
      <c r="I64" s="579"/>
      <c r="J64" s="579"/>
      <c r="K64" s="579"/>
      <c r="L64" s="579"/>
      <c r="M64" s="579"/>
      <c r="N64" s="580"/>
      <c r="O64" s="1344">
        <v>0</v>
      </c>
      <c r="P64" s="1344">
        <v>1</v>
      </c>
      <c r="Q64" s="1344">
        <v>9</v>
      </c>
      <c r="R64" s="2364">
        <f>'UNOS_POREZNI BILANS'!R52</f>
        <v>0</v>
      </c>
      <c r="S64" s="2365"/>
      <c r="T64" s="2365"/>
      <c r="U64" s="2365"/>
      <c r="V64" s="2365"/>
      <c r="W64" s="2365"/>
      <c r="X64" s="2366"/>
    </row>
    <row r="65" spans="2:24" ht="13.5" customHeight="1">
      <c r="B65" s="1384"/>
      <c r="C65" s="592" t="s">
        <v>2006</v>
      </c>
      <c r="D65" s="558"/>
      <c r="E65" s="558"/>
      <c r="F65" s="558"/>
      <c r="G65" s="558"/>
      <c r="H65" s="558"/>
      <c r="I65" s="558"/>
      <c r="J65" s="558"/>
      <c r="K65" s="558"/>
      <c r="L65" s="558"/>
      <c r="M65" s="558"/>
      <c r="N65" s="593"/>
      <c r="O65" s="1386"/>
      <c r="P65" s="1386"/>
      <c r="Q65" s="1386"/>
      <c r="R65" s="2370"/>
      <c r="S65" s="2371"/>
      <c r="T65" s="2371"/>
      <c r="U65" s="2371"/>
      <c r="V65" s="2371"/>
      <c r="W65" s="2371"/>
      <c r="X65" s="2372"/>
    </row>
    <row r="66" spans="2:24" ht="13.5" customHeight="1">
      <c r="B66" s="1384"/>
      <c r="C66" s="592" t="s">
        <v>2007</v>
      </c>
      <c r="D66" s="558"/>
      <c r="E66" s="558"/>
      <c r="F66" s="558"/>
      <c r="G66" s="558"/>
      <c r="H66" s="558"/>
      <c r="I66" s="558"/>
      <c r="J66" s="558"/>
      <c r="K66" s="558"/>
      <c r="L66" s="558"/>
      <c r="M66" s="558"/>
      <c r="N66" s="593"/>
      <c r="O66" s="1386"/>
      <c r="P66" s="1386"/>
      <c r="Q66" s="1386"/>
      <c r="R66" s="2370"/>
      <c r="S66" s="2371"/>
      <c r="T66" s="2371"/>
      <c r="U66" s="2371"/>
      <c r="V66" s="2371"/>
      <c r="W66" s="2371"/>
      <c r="X66" s="2372"/>
    </row>
    <row r="67" spans="2:24" ht="13.5" customHeight="1">
      <c r="B67" s="1343"/>
      <c r="C67" s="581" t="s">
        <v>2008</v>
      </c>
      <c r="D67" s="582"/>
      <c r="E67" s="582"/>
      <c r="F67" s="582"/>
      <c r="G67" s="582"/>
      <c r="H67" s="582"/>
      <c r="I67" s="582"/>
      <c r="J67" s="582"/>
      <c r="K67" s="582"/>
      <c r="L67" s="582"/>
      <c r="M67" s="582"/>
      <c r="N67" s="583"/>
      <c r="O67" s="1345"/>
      <c r="P67" s="1345"/>
      <c r="Q67" s="1345"/>
      <c r="R67" s="2367"/>
      <c r="S67" s="2368"/>
      <c r="T67" s="2368"/>
      <c r="U67" s="2368"/>
      <c r="V67" s="2368"/>
      <c r="W67" s="2368"/>
      <c r="X67" s="2369"/>
    </row>
    <row r="68" spans="2:24" ht="13.5" customHeight="1">
      <c r="B68" s="1342" t="s">
        <v>1197</v>
      </c>
      <c r="C68" s="578" t="s">
        <v>338</v>
      </c>
      <c r="D68" s="579"/>
      <c r="E68" s="579"/>
      <c r="F68" s="579"/>
      <c r="G68" s="579"/>
      <c r="H68" s="579"/>
      <c r="I68" s="579"/>
      <c r="J68" s="579"/>
      <c r="K68" s="579"/>
      <c r="L68" s="579"/>
      <c r="M68" s="579"/>
      <c r="N68" s="580"/>
      <c r="O68" s="1348">
        <v>0</v>
      </c>
      <c r="P68" s="1348">
        <v>2</v>
      </c>
      <c r="Q68" s="1344">
        <v>0</v>
      </c>
      <c r="R68" s="2364">
        <f>'UNOS_POREZNI BILANS'!R56</f>
        <v>0</v>
      </c>
      <c r="S68" s="2365"/>
      <c r="T68" s="2365"/>
      <c r="U68" s="2365"/>
      <c r="V68" s="2365"/>
      <c r="W68" s="2365"/>
      <c r="X68" s="2366"/>
    </row>
    <row r="69" spans="2:24" ht="13.5" customHeight="1">
      <c r="B69" s="1343"/>
      <c r="C69" s="581" t="s">
        <v>339</v>
      </c>
      <c r="D69" s="582"/>
      <c r="E69" s="582"/>
      <c r="F69" s="582"/>
      <c r="G69" s="582"/>
      <c r="H69" s="582"/>
      <c r="I69" s="582"/>
      <c r="J69" s="582"/>
      <c r="K69" s="582"/>
      <c r="L69" s="582"/>
      <c r="M69" s="582"/>
      <c r="N69" s="583"/>
      <c r="O69" s="1349"/>
      <c r="P69" s="1349"/>
      <c r="Q69" s="1345"/>
      <c r="R69" s="2367"/>
      <c r="S69" s="2368"/>
      <c r="T69" s="2368"/>
      <c r="U69" s="2368"/>
      <c r="V69" s="2368"/>
      <c r="W69" s="2368"/>
      <c r="X69" s="2369"/>
    </row>
    <row r="70" spans="2:24" ht="12.75" customHeight="1">
      <c r="B70" s="1342" t="s">
        <v>1198</v>
      </c>
      <c r="C70" s="578" t="s">
        <v>656</v>
      </c>
      <c r="D70" s="579"/>
      <c r="E70" s="579"/>
      <c r="F70" s="579"/>
      <c r="G70" s="579"/>
      <c r="H70" s="579"/>
      <c r="I70" s="579"/>
      <c r="J70" s="579"/>
      <c r="K70" s="579"/>
      <c r="L70" s="579"/>
      <c r="M70" s="579"/>
      <c r="N70" s="580"/>
      <c r="O70" s="1348">
        <v>0</v>
      </c>
      <c r="P70" s="1348">
        <v>2</v>
      </c>
      <c r="Q70" s="1344">
        <v>1</v>
      </c>
      <c r="R70" s="2364">
        <f>'UNOS_POREZNI BILANS'!R58</f>
        <v>0</v>
      </c>
      <c r="S70" s="2365"/>
      <c r="T70" s="2365"/>
      <c r="U70" s="2365"/>
      <c r="V70" s="2365"/>
      <c r="W70" s="2365"/>
      <c r="X70" s="2366"/>
    </row>
    <row r="71" spans="2:24" ht="12.75" customHeight="1">
      <c r="B71" s="1343"/>
      <c r="C71" s="581" t="s">
        <v>657</v>
      </c>
      <c r="D71" s="582"/>
      <c r="E71" s="582"/>
      <c r="F71" s="582"/>
      <c r="G71" s="582"/>
      <c r="H71" s="582"/>
      <c r="I71" s="582"/>
      <c r="J71" s="582"/>
      <c r="K71" s="582"/>
      <c r="L71" s="582"/>
      <c r="M71" s="582"/>
      <c r="N71" s="583"/>
      <c r="O71" s="1349"/>
      <c r="P71" s="1349"/>
      <c r="Q71" s="1345"/>
      <c r="R71" s="2367"/>
      <c r="S71" s="2368"/>
      <c r="T71" s="2368"/>
      <c r="U71" s="2368"/>
      <c r="V71" s="2368"/>
      <c r="W71" s="2368"/>
      <c r="X71" s="2369"/>
    </row>
    <row r="72" spans="2:24" ht="13.5" customHeight="1">
      <c r="B72" s="1342" t="s">
        <v>2530</v>
      </c>
      <c r="C72" s="578" t="s">
        <v>658</v>
      </c>
      <c r="D72" s="579"/>
      <c r="E72" s="579"/>
      <c r="F72" s="579"/>
      <c r="G72" s="579"/>
      <c r="H72" s="579"/>
      <c r="I72" s="579"/>
      <c r="J72" s="579"/>
      <c r="K72" s="579"/>
      <c r="L72" s="579"/>
      <c r="M72" s="579"/>
      <c r="N72" s="580"/>
      <c r="O72" s="1348">
        <v>0</v>
      </c>
      <c r="P72" s="1348">
        <v>2</v>
      </c>
      <c r="Q72" s="1344">
        <v>2</v>
      </c>
      <c r="R72" s="2364">
        <f>'UNOS_POREZNI BILANS'!R60</f>
        <v>0</v>
      </c>
      <c r="S72" s="2365"/>
      <c r="T72" s="2365"/>
      <c r="U72" s="2365"/>
      <c r="V72" s="2365"/>
      <c r="W72" s="2365"/>
      <c r="X72" s="2366"/>
    </row>
    <row r="73" spans="2:24" ht="13.5" customHeight="1">
      <c r="B73" s="1343"/>
      <c r="C73" s="581" t="s">
        <v>659</v>
      </c>
      <c r="D73" s="582"/>
      <c r="E73" s="582"/>
      <c r="F73" s="582"/>
      <c r="G73" s="582"/>
      <c r="H73" s="582"/>
      <c r="I73" s="582"/>
      <c r="J73" s="582"/>
      <c r="K73" s="582"/>
      <c r="L73" s="582"/>
      <c r="M73" s="582"/>
      <c r="N73" s="583"/>
      <c r="O73" s="1349"/>
      <c r="P73" s="1349"/>
      <c r="Q73" s="1345"/>
      <c r="R73" s="2367"/>
      <c r="S73" s="2368"/>
      <c r="T73" s="2368"/>
      <c r="U73" s="2368"/>
      <c r="V73" s="2368"/>
      <c r="W73" s="2368"/>
      <c r="X73" s="2369"/>
    </row>
    <row r="74" spans="2:24" ht="14.25" customHeight="1">
      <c r="B74" s="1342" t="s">
        <v>2234</v>
      </c>
      <c r="C74" s="578" t="s">
        <v>660</v>
      </c>
      <c r="D74" s="579"/>
      <c r="E74" s="579"/>
      <c r="F74" s="579"/>
      <c r="G74" s="579"/>
      <c r="H74" s="579"/>
      <c r="I74" s="579"/>
      <c r="J74" s="579"/>
      <c r="K74" s="579"/>
      <c r="L74" s="579"/>
      <c r="M74" s="579"/>
      <c r="N74" s="580"/>
      <c r="O74" s="1348">
        <v>0</v>
      </c>
      <c r="P74" s="1348">
        <v>2</v>
      </c>
      <c r="Q74" s="1344">
        <v>3</v>
      </c>
      <c r="R74" s="2364">
        <f>'UNOS_POREZNI BILANS'!R62</f>
        <v>0</v>
      </c>
      <c r="S74" s="2365"/>
      <c r="T74" s="2365"/>
      <c r="U74" s="2365"/>
      <c r="V74" s="2365"/>
      <c r="W74" s="2365"/>
      <c r="X74" s="2366"/>
    </row>
    <row r="75" spans="2:24" ht="14.25" customHeight="1">
      <c r="B75" s="1384"/>
      <c r="C75" s="592" t="s">
        <v>661</v>
      </c>
      <c r="D75" s="558"/>
      <c r="E75" s="558"/>
      <c r="F75" s="558"/>
      <c r="G75" s="558"/>
      <c r="H75" s="558"/>
      <c r="I75" s="558"/>
      <c r="J75" s="558"/>
      <c r="K75" s="558"/>
      <c r="L75" s="558"/>
      <c r="M75" s="558"/>
      <c r="N75" s="593"/>
      <c r="O75" s="1385"/>
      <c r="P75" s="1385"/>
      <c r="Q75" s="1386"/>
      <c r="R75" s="2370"/>
      <c r="S75" s="2371"/>
      <c r="T75" s="2371"/>
      <c r="U75" s="2371"/>
      <c r="V75" s="2371"/>
      <c r="W75" s="2371"/>
      <c r="X75" s="2372"/>
    </row>
    <row r="76" spans="2:24" ht="14.25" customHeight="1">
      <c r="B76" s="1343"/>
      <c r="C76" s="581" t="s">
        <v>662</v>
      </c>
      <c r="D76" s="582"/>
      <c r="E76" s="582"/>
      <c r="F76" s="582"/>
      <c r="G76" s="582"/>
      <c r="H76" s="582"/>
      <c r="I76" s="582"/>
      <c r="J76" s="582"/>
      <c r="K76" s="582"/>
      <c r="L76" s="582"/>
      <c r="M76" s="582"/>
      <c r="N76" s="583"/>
      <c r="O76" s="1349"/>
      <c r="P76" s="1349"/>
      <c r="Q76" s="1345"/>
      <c r="R76" s="2367"/>
      <c r="S76" s="2368"/>
      <c r="T76" s="2368"/>
      <c r="U76" s="2368"/>
      <c r="V76" s="2368"/>
      <c r="W76" s="2368"/>
      <c r="X76" s="2369"/>
    </row>
    <row r="77" spans="2:24" ht="14.25" customHeight="1">
      <c r="B77" s="1342" t="s">
        <v>2236</v>
      </c>
      <c r="C77" s="578" t="s">
        <v>663</v>
      </c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80"/>
      <c r="O77" s="1348">
        <v>0</v>
      </c>
      <c r="P77" s="1348">
        <v>2</v>
      </c>
      <c r="Q77" s="1344">
        <v>4</v>
      </c>
      <c r="R77" s="2364">
        <f>'UNOS_POREZNI BILANS'!R65</f>
        <v>0</v>
      </c>
      <c r="S77" s="2365"/>
      <c r="T77" s="2365"/>
      <c r="U77" s="2365"/>
      <c r="V77" s="2365"/>
      <c r="W77" s="2365"/>
      <c r="X77" s="2366"/>
    </row>
    <row r="78" spans="2:24" ht="14.25" customHeight="1">
      <c r="B78" s="1384"/>
      <c r="C78" s="592" t="s">
        <v>664</v>
      </c>
      <c r="D78" s="558"/>
      <c r="E78" s="558"/>
      <c r="F78" s="558"/>
      <c r="G78" s="558"/>
      <c r="H78" s="558"/>
      <c r="I78" s="558"/>
      <c r="J78" s="558"/>
      <c r="K78" s="558"/>
      <c r="L78" s="558"/>
      <c r="M78" s="558"/>
      <c r="N78" s="593"/>
      <c r="O78" s="1385"/>
      <c r="P78" s="1385"/>
      <c r="Q78" s="1386"/>
      <c r="R78" s="2370"/>
      <c r="S78" s="2371"/>
      <c r="T78" s="2371"/>
      <c r="U78" s="2371"/>
      <c r="V78" s="2371"/>
      <c r="W78" s="2371"/>
      <c r="X78" s="2372"/>
    </row>
    <row r="79" spans="2:24" ht="14.25" customHeight="1">
      <c r="B79" s="1343"/>
      <c r="C79" s="581" t="s">
        <v>1418</v>
      </c>
      <c r="D79" s="582"/>
      <c r="E79" s="582"/>
      <c r="F79" s="582"/>
      <c r="G79" s="582"/>
      <c r="H79" s="582"/>
      <c r="I79" s="582"/>
      <c r="J79" s="582"/>
      <c r="K79" s="582"/>
      <c r="L79" s="582"/>
      <c r="M79" s="582"/>
      <c r="N79" s="583"/>
      <c r="O79" s="1349"/>
      <c r="P79" s="1349"/>
      <c r="Q79" s="1345"/>
      <c r="R79" s="2367"/>
      <c r="S79" s="2368"/>
      <c r="T79" s="2368"/>
      <c r="U79" s="2368"/>
      <c r="V79" s="2368"/>
      <c r="W79" s="2368"/>
      <c r="X79" s="2369"/>
    </row>
    <row r="80" spans="2:24" ht="12.75" customHeight="1">
      <c r="B80" s="1342" t="s">
        <v>2237</v>
      </c>
      <c r="C80" s="578" t="s">
        <v>407</v>
      </c>
      <c r="D80" s="579"/>
      <c r="E80" s="579"/>
      <c r="F80" s="579"/>
      <c r="G80" s="579"/>
      <c r="H80" s="579"/>
      <c r="I80" s="579"/>
      <c r="J80" s="579"/>
      <c r="K80" s="579"/>
      <c r="L80" s="579"/>
      <c r="M80" s="579"/>
      <c r="N80" s="580"/>
      <c r="O80" s="1348">
        <v>0</v>
      </c>
      <c r="P80" s="1348">
        <v>2</v>
      </c>
      <c r="Q80" s="1344">
        <v>5</v>
      </c>
      <c r="R80" s="2364">
        <f>'UNOS_POREZNI BILANS'!R68</f>
        <v>0</v>
      </c>
      <c r="S80" s="2365"/>
      <c r="T80" s="2365"/>
      <c r="U80" s="2365"/>
      <c r="V80" s="2365"/>
      <c r="W80" s="2365"/>
      <c r="X80" s="2366"/>
    </row>
    <row r="81" spans="2:24" ht="12.75" customHeight="1">
      <c r="B81" s="1384"/>
      <c r="C81" s="592" t="s">
        <v>408</v>
      </c>
      <c r="D81" s="558"/>
      <c r="E81" s="558"/>
      <c r="F81" s="558"/>
      <c r="G81" s="558"/>
      <c r="H81" s="558"/>
      <c r="I81" s="558"/>
      <c r="J81" s="558"/>
      <c r="K81" s="558"/>
      <c r="L81" s="558"/>
      <c r="M81" s="558"/>
      <c r="N81" s="593"/>
      <c r="O81" s="1385"/>
      <c r="P81" s="1385"/>
      <c r="Q81" s="1386"/>
      <c r="R81" s="2370"/>
      <c r="S81" s="2371"/>
      <c r="T81" s="2371"/>
      <c r="U81" s="2371"/>
      <c r="V81" s="2371"/>
      <c r="W81" s="2371"/>
      <c r="X81" s="2372"/>
    </row>
    <row r="82" spans="2:24" ht="12.75" customHeight="1">
      <c r="B82" s="1384"/>
      <c r="C82" s="592" t="s">
        <v>409</v>
      </c>
      <c r="D82" s="558"/>
      <c r="E82" s="558"/>
      <c r="F82" s="558"/>
      <c r="G82" s="558"/>
      <c r="H82" s="558"/>
      <c r="I82" s="558"/>
      <c r="J82" s="558"/>
      <c r="K82" s="558"/>
      <c r="L82" s="558"/>
      <c r="M82" s="558"/>
      <c r="N82" s="593"/>
      <c r="O82" s="1385"/>
      <c r="P82" s="1385"/>
      <c r="Q82" s="1386"/>
      <c r="R82" s="2370"/>
      <c r="S82" s="2371"/>
      <c r="T82" s="2371"/>
      <c r="U82" s="2371"/>
      <c r="V82" s="2371"/>
      <c r="W82" s="2371"/>
      <c r="X82" s="2372"/>
    </row>
    <row r="83" spans="2:24" ht="12.75" customHeight="1">
      <c r="B83" s="1343"/>
      <c r="C83" s="581" t="s">
        <v>410</v>
      </c>
      <c r="D83" s="582"/>
      <c r="E83" s="582"/>
      <c r="F83" s="582"/>
      <c r="G83" s="582"/>
      <c r="H83" s="582"/>
      <c r="I83" s="582"/>
      <c r="J83" s="582"/>
      <c r="K83" s="582"/>
      <c r="L83" s="582"/>
      <c r="M83" s="582"/>
      <c r="N83" s="583"/>
      <c r="O83" s="1349"/>
      <c r="P83" s="1349"/>
      <c r="Q83" s="1345"/>
      <c r="R83" s="2367"/>
      <c r="S83" s="2368"/>
      <c r="T83" s="2368"/>
      <c r="U83" s="2368"/>
      <c r="V83" s="2368"/>
      <c r="W83" s="2368"/>
      <c r="X83" s="2369"/>
    </row>
    <row r="84" spans="2:24" ht="14.25" customHeight="1">
      <c r="B84" s="1342" t="s">
        <v>2238</v>
      </c>
      <c r="C84" s="578" t="s">
        <v>411</v>
      </c>
      <c r="D84" s="579"/>
      <c r="E84" s="579"/>
      <c r="F84" s="579"/>
      <c r="G84" s="579"/>
      <c r="H84" s="579"/>
      <c r="I84" s="579"/>
      <c r="J84" s="579"/>
      <c r="K84" s="579"/>
      <c r="L84" s="579"/>
      <c r="M84" s="579"/>
      <c r="N84" s="580"/>
      <c r="O84" s="1348">
        <v>0</v>
      </c>
      <c r="P84" s="1348">
        <v>2</v>
      </c>
      <c r="Q84" s="1344">
        <v>6</v>
      </c>
      <c r="R84" s="2364">
        <f>'UNOS_POREZNI BILANS'!R72</f>
        <v>0</v>
      </c>
      <c r="S84" s="2365"/>
      <c r="T84" s="2365"/>
      <c r="U84" s="2365"/>
      <c r="V84" s="2365"/>
      <c r="W84" s="2365"/>
      <c r="X84" s="2366"/>
    </row>
    <row r="85" spans="2:24" ht="14.25" customHeight="1">
      <c r="B85" s="1384"/>
      <c r="C85" s="592" t="s">
        <v>412</v>
      </c>
      <c r="D85" s="558"/>
      <c r="E85" s="558"/>
      <c r="F85" s="558"/>
      <c r="G85" s="558"/>
      <c r="H85" s="558"/>
      <c r="I85" s="558"/>
      <c r="J85" s="558"/>
      <c r="K85" s="558"/>
      <c r="L85" s="558"/>
      <c r="M85" s="558"/>
      <c r="N85" s="593"/>
      <c r="O85" s="1385"/>
      <c r="P85" s="1385"/>
      <c r="Q85" s="1386"/>
      <c r="R85" s="2370"/>
      <c r="S85" s="2371"/>
      <c r="T85" s="2371"/>
      <c r="U85" s="2371"/>
      <c r="V85" s="2371"/>
      <c r="W85" s="2371"/>
      <c r="X85" s="2372"/>
    </row>
    <row r="86" spans="2:24" ht="14.25" customHeight="1">
      <c r="B86" s="1343"/>
      <c r="C86" s="581" t="s">
        <v>1876</v>
      </c>
      <c r="D86" s="582"/>
      <c r="E86" s="582"/>
      <c r="F86" s="582"/>
      <c r="G86" s="582"/>
      <c r="H86" s="582"/>
      <c r="I86" s="582"/>
      <c r="J86" s="582"/>
      <c r="K86" s="582"/>
      <c r="L86" s="582"/>
      <c r="M86" s="582"/>
      <c r="N86" s="583"/>
      <c r="O86" s="1349"/>
      <c r="P86" s="1349"/>
      <c r="Q86" s="1345"/>
      <c r="R86" s="2367"/>
      <c r="S86" s="2368"/>
      <c r="T86" s="2368"/>
      <c r="U86" s="2368"/>
      <c r="V86" s="2368"/>
      <c r="W86" s="2368"/>
      <c r="X86" s="2369"/>
    </row>
    <row r="87" spans="2:24" ht="14.25" customHeight="1">
      <c r="B87" s="1342" t="s">
        <v>2239</v>
      </c>
      <c r="C87" s="578" t="s">
        <v>1877</v>
      </c>
      <c r="D87" s="579"/>
      <c r="E87" s="579"/>
      <c r="F87" s="579"/>
      <c r="G87" s="579"/>
      <c r="H87" s="579"/>
      <c r="I87" s="579"/>
      <c r="J87" s="579"/>
      <c r="K87" s="579"/>
      <c r="L87" s="579"/>
      <c r="M87" s="579"/>
      <c r="N87" s="580"/>
      <c r="O87" s="1348">
        <v>0</v>
      </c>
      <c r="P87" s="1348">
        <v>2</v>
      </c>
      <c r="Q87" s="1344">
        <v>7</v>
      </c>
      <c r="R87" s="2364">
        <f>'UNOS_POREZNI BILANS'!R75</f>
        <v>0</v>
      </c>
      <c r="S87" s="2365"/>
      <c r="T87" s="2365"/>
      <c r="U87" s="2365"/>
      <c r="V87" s="2365"/>
      <c r="W87" s="2365"/>
      <c r="X87" s="2366"/>
    </row>
    <row r="88" spans="2:24" ht="14.25" customHeight="1">
      <c r="B88" s="1384"/>
      <c r="C88" s="592" t="s">
        <v>1878</v>
      </c>
      <c r="D88" s="558"/>
      <c r="E88" s="558"/>
      <c r="F88" s="558"/>
      <c r="G88" s="558"/>
      <c r="H88" s="558"/>
      <c r="I88" s="558"/>
      <c r="J88" s="558"/>
      <c r="K88" s="558"/>
      <c r="L88" s="558"/>
      <c r="M88" s="558"/>
      <c r="N88" s="593"/>
      <c r="O88" s="1385"/>
      <c r="P88" s="1385"/>
      <c r="Q88" s="1386"/>
      <c r="R88" s="2370"/>
      <c r="S88" s="2371"/>
      <c r="T88" s="2371"/>
      <c r="U88" s="2371"/>
      <c r="V88" s="2371"/>
      <c r="W88" s="2371"/>
      <c r="X88" s="2372"/>
    </row>
    <row r="89" spans="2:24" ht="14.25" customHeight="1">
      <c r="B89" s="1343"/>
      <c r="C89" s="581" t="s">
        <v>1879</v>
      </c>
      <c r="D89" s="582"/>
      <c r="E89" s="582"/>
      <c r="F89" s="582"/>
      <c r="G89" s="582"/>
      <c r="H89" s="582"/>
      <c r="I89" s="582"/>
      <c r="J89" s="582"/>
      <c r="K89" s="582"/>
      <c r="L89" s="582"/>
      <c r="M89" s="582"/>
      <c r="N89" s="583"/>
      <c r="O89" s="1349"/>
      <c r="P89" s="1349"/>
      <c r="Q89" s="1345"/>
      <c r="R89" s="2367"/>
      <c r="S89" s="2368"/>
      <c r="T89" s="2368"/>
      <c r="U89" s="2368"/>
      <c r="V89" s="2368"/>
      <c r="W89" s="2368"/>
      <c r="X89" s="2369"/>
    </row>
    <row r="90" spans="2:24" ht="13.5" customHeight="1">
      <c r="B90" s="1342" t="s">
        <v>2240</v>
      </c>
      <c r="C90" s="578" t="s">
        <v>1880</v>
      </c>
      <c r="D90" s="579"/>
      <c r="E90" s="579"/>
      <c r="F90" s="579"/>
      <c r="G90" s="579"/>
      <c r="H90" s="579"/>
      <c r="I90" s="579"/>
      <c r="J90" s="579"/>
      <c r="K90" s="579"/>
      <c r="L90" s="579"/>
      <c r="M90" s="579"/>
      <c r="N90" s="580"/>
      <c r="O90" s="1348">
        <v>0</v>
      </c>
      <c r="P90" s="1348">
        <v>2</v>
      </c>
      <c r="Q90" s="1344">
        <v>8</v>
      </c>
      <c r="R90" s="2364">
        <f>'UNOS_POREZNI BILANS'!R78</f>
        <v>0</v>
      </c>
      <c r="S90" s="2365"/>
      <c r="T90" s="2365"/>
      <c r="U90" s="2365"/>
      <c r="V90" s="2365"/>
      <c r="W90" s="2365"/>
      <c r="X90" s="2366"/>
    </row>
    <row r="91" spans="2:24" ht="13.5" customHeight="1">
      <c r="B91" s="1384"/>
      <c r="C91" s="592" t="s">
        <v>412</v>
      </c>
      <c r="D91" s="558"/>
      <c r="E91" s="558"/>
      <c r="F91" s="558"/>
      <c r="G91" s="558"/>
      <c r="H91" s="558"/>
      <c r="I91" s="558"/>
      <c r="J91" s="558"/>
      <c r="K91" s="558"/>
      <c r="L91" s="558"/>
      <c r="M91" s="558"/>
      <c r="N91" s="593"/>
      <c r="O91" s="1385"/>
      <c r="P91" s="1385"/>
      <c r="Q91" s="1386"/>
      <c r="R91" s="2370"/>
      <c r="S91" s="2371"/>
      <c r="T91" s="2371"/>
      <c r="U91" s="2371"/>
      <c r="V91" s="2371"/>
      <c r="W91" s="2371"/>
      <c r="X91" s="2372"/>
    </row>
    <row r="92" spans="2:24" ht="13.5" customHeight="1">
      <c r="B92" s="1343"/>
      <c r="C92" s="581" t="s">
        <v>1879</v>
      </c>
      <c r="D92" s="582"/>
      <c r="E92" s="582"/>
      <c r="F92" s="582"/>
      <c r="G92" s="582"/>
      <c r="H92" s="582"/>
      <c r="I92" s="582"/>
      <c r="J92" s="582"/>
      <c r="K92" s="582"/>
      <c r="L92" s="582"/>
      <c r="M92" s="582"/>
      <c r="N92" s="583"/>
      <c r="O92" s="1349"/>
      <c r="P92" s="1349"/>
      <c r="Q92" s="1345"/>
      <c r="R92" s="2367"/>
      <c r="S92" s="2368"/>
      <c r="T92" s="2368"/>
      <c r="U92" s="2368"/>
      <c r="V92" s="2368"/>
      <c r="W92" s="2368"/>
      <c r="X92" s="2369"/>
    </row>
    <row r="93" spans="2:24" ht="14.25" customHeight="1">
      <c r="B93" s="1342" t="s">
        <v>2241</v>
      </c>
      <c r="C93" s="578" t="s">
        <v>1881</v>
      </c>
      <c r="D93" s="579"/>
      <c r="E93" s="579"/>
      <c r="F93" s="579"/>
      <c r="G93" s="579"/>
      <c r="H93" s="579"/>
      <c r="I93" s="579"/>
      <c r="J93" s="579"/>
      <c r="K93" s="579"/>
      <c r="L93" s="579"/>
      <c r="M93" s="579"/>
      <c r="N93" s="580"/>
      <c r="O93" s="1348">
        <v>0</v>
      </c>
      <c r="P93" s="1348">
        <v>2</v>
      </c>
      <c r="Q93" s="1344">
        <v>9</v>
      </c>
      <c r="R93" s="2364">
        <f>'UNOS_POREZNI BILANS'!R81</f>
        <v>0</v>
      </c>
      <c r="S93" s="2365"/>
      <c r="T93" s="2365"/>
      <c r="U93" s="2365"/>
      <c r="V93" s="2365"/>
      <c r="W93" s="2365"/>
      <c r="X93" s="2366"/>
    </row>
    <row r="94" spans="2:24" ht="14.25" customHeight="1">
      <c r="B94" s="1384"/>
      <c r="C94" s="592" t="s">
        <v>1882</v>
      </c>
      <c r="D94" s="558"/>
      <c r="E94" s="558"/>
      <c r="F94" s="558"/>
      <c r="G94" s="558"/>
      <c r="H94" s="558"/>
      <c r="I94" s="558"/>
      <c r="J94" s="558"/>
      <c r="K94" s="558"/>
      <c r="L94" s="558"/>
      <c r="M94" s="558"/>
      <c r="N94" s="593"/>
      <c r="O94" s="1385"/>
      <c r="P94" s="1385"/>
      <c r="Q94" s="1386"/>
      <c r="R94" s="2370"/>
      <c r="S94" s="2371"/>
      <c r="T94" s="2371"/>
      <c r="U94" s="2371"/>
      <c r="V94" s="2371"/>
      <c r="W94" s="2371"/>
      <c r="X94" s="2372"/>
    </row>
    <row r="95" spans="2:24" ht="14.25" customHeight="1">
      <c r="B95" s="1343"/>
      <c r="C95" s="581" t="s">
        <v>410</v>
      </c>
      <c r="D95" s="582"/>
      <c r="E95" s="582"/>
      <c r="F95" s="582"/>
      <c r="G95" s="582"/>
      <c r="H95" s="582"/>
      <c r="I95" s="582"/>
      <c r="J95" s="582"/>
      <c r="K95" s="582"/>
      <c r="L95" s="582"/>
      <c r="M95" s="582"/>
      <c r="N95" s="583"/>
      <c r="O95" s="1349"/>
      <c r="P95" s="1349"/>
      <c r="Q95" s="1345"/>
      <c r="R95" s="2367"/>
      <c r="S95" s="2368"/>
      <c r="T95" s="2368"/>
      <c r="U95" s="2368"/>
      <c r="V95" s="2368"/>
      <c r="W95" s="2368"/>
      <c r="X95" s="2369"/>
    </row>
    <row r="96" spans="2:24" ht="13.5" customHeight="1">
      <c r="B96" s="1342" t="s">
        <v>2242</v>
      </c>
      <c r="C96" s="578" t="s">
        <v>1883</v>
      </c>
      <c r="D96" s="579"/>
      <c r="E96" s="579"/>
      <c r="F96" s="579"/>
      <c r="G96" s="579"/>
      <c r="H96" s="579"/>
      <c r="I96" s="579"/>
      <c r="J96" s="579"/>
      <c r="K96" s="579"/>
      <c r="L96" s="579"/>
      <c r="M96" s="579"/>
      <c r="N96" s="580"/>
      <c r="O96" s="1348">
        <v>0</v>
      </c>
      <c r="P96" s="1348">
        <v>3</v>
      </c>
      <c r="Q96" s="1348">
        <v>0</v>
      </c>
      <c r="R96" s="2364">
        <f>'UNOS_POREZNI BILANS'!R84</f>
        <v>0</v>
      </c>
      <c r="S96" s="2365"/>
      <c r="T96" s="2365"/>
      <c r="U96" s="2365"/>
      <c r="V96" s="2365"/>
      <c r="W96" s="2365"/>
      <c r="X96" s="2366"/>
    </row>
    <row r="97" spans="2:24" ht="13.5" customHeight="1">
      <c r="B97" s="1343"/>
      <c r="C97" s="581" t="s">
        <v>1884</v>
      </c>
      <c r="D97" s="582"/>
      <c r="E97" s="582"/>
      <c r="F97" s="582"/>
      <c r="G97" s="582"/>
      <c r="H97" s="582"/>
      <c r="I97" s="582"/>
      <c r="J97" s="582"/>
      <c r="K97" s="582"/>
      <c r="L97" s="582"/>
      <c r="M97" s="582"/>
      <c r="N97" s="583"/>
      <c r="O97" s="1349"/>
      <c r="P97" s="1349"/>
      <c r="Q97" s="1349"/>
      <c r="R97" s="2367"/>
      <c r="S97" s="2368"/>
      <c r="T97" s="2368"/>
      <c r="U97" s="2368"/>
      <c r="V97" s="2368"/>
      <c r="W97" s="2368"/>
      <c r="X97" s="2369"/>
    </row>
    <row r="98" spans="2:24" ht="13.5" customHeight="1">
      <c r="B98" s="1342" t="s">
        <v>2243</v>
      </c>
      <c r="C98" s="578" t="s">
        <v>1425</v>
      </c>
      <c r="D98" s="579"/>
      <c r="E98" s="579"/>
      <c r="F98" s="579"/>
      <c r="G98" s="579"/>
      <c r="H98" s="579"/>
      <c r="I98" s="579"/>
      <c r="J98" s="579"/>
      <c r="K98" s="579"/>
      <c r="L98" s="579"/>
      <c r="M98" s="579"/>
      <c r="N98" s="580"/>
      <c r="O98" s="1348">
        <v>0</v>
      </c>
      <c r="P98" s="1348">
        <v>3</v>
      </c>
      <c r="Q98" s="1348">
        <v>1</v>
      </c>
      <c r="R98" s="2364">
        <f>'UNOS_POREZNI BILANS'!R86</f>
        <v>0</v>
      </c>
      <c r="S98" s="2365"/>
      <c r="T98" s="2365"/>
      <c r="U98" s="2365"/>
      <c r="V98" s="2365"/>
      <c r="W98" s="2365"/>
      <c r="X98" s="2366"/>
    </row>
    <row r="99" spans="2:24" ht="13.5" customHeight="1">
      <c r="B99" s="1343"/>
      <c r="C99" s="581" t="s">
        <v>1426</v>
      </c>
      <c r="D99" s="582"/>
      <c r="E99" s="582"/>
      <c r="F99" s="582"/>
      <c r="G99" s="582"/>
      <c r="H99" s="582"/>
      <c r="I99" s="582"/>
      <c r="J99" s="582"/>
      <c r="K99" s="582"/>
      <c r="L99" s="582"/>
      <c r="M99" s="582"/>
      <c r="N99" s="583"/>
      <c r="O99" s="1349"/>
      <c r="P99" s="1349"/>
      <c r="Q99" s="1349"/>
      <c r="R99" s="2367"/>
      <c r="S99" s="2368"/>
      <c r="T99" s="2368"/>
      <c r="U99" s="2368"/>
      <c r="V99" s="2368"/>
      <c r="W99" s="2368"/>
      <c r="X99" s="2369"/>
    </row>
    <row r="100" spans="2:24" ht="12.75" customHeight="1">
      <c r="B100" s="1342" t="s">
        <v>2244</v>
      </c>
      <c r="C100" s="578" t="s">
        <v>1427</v>
      </c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80"/>
      <c r="O100" s="1348">
        <v>0</v>
      </c>
      <c r="P100" s="1348">
        <v>3</v>
      </c>
      <c r="Q100" s="1348">
        <v>2</v>
      </c>
      <c r="R100" s="2364">
        <f>'UNOS_POREZNI BILANS'!R88</f>
        <v>0</v>
      </c>
      <c r="S100" s="2365"/>
      <c r="T100" s="2365"/>
      <c r="U100" s="2365"/>
      <c r="V100" s="2365"/>
      <c r="W100" s="2365"/>
      <c r="X100" s="2366"/>
    </row>
    <row r="101" spans="2:24" ht="12.75" customHeight="1">
      <c r="B101" s="1343"/>
      <c r="C101" s="581" t="s">
        <v>1428</v>
      </c>
      <c r="D101" s="582"/>
      <c r="E101" s="582"/>
      <c r="F101" s="582"/>
      <c r="G101" s="582"/>
      <c r="H101" s="582"/>
      <c r="I101" s="582"/>
      <c r="J101" s="582"/>
      <c r="K101" s="582"/>
      <c r="L101" s="582"/>
      <c r="M101" s="582"/>
      <c r="N101" s="583"/>
      <c r="O101" s="1349"/>
      <c r="P101" s="1349"/>
      <c r="Q101" s="1349"/>
      <c r="R101" s="2367"/>
      <c r="S101" s="2368"/>
      <c r="T101" s="2368"/>
      <c r="U101" s="2368"/>
      <c r="V101" s="2368"/>
      <c r="W101" s="2368"/>
      <c r="X101" s="2369"/>
    </row>
    <row r="102" spans="2:24" s="440" customFormat="1" ht="15.75" customHeight="1">
      <c r="B102" s="604" t="s">
        <v>1421</v>
      </c>
      <c r="C102" s="585" t="s">
        <v>1429</v>
      </c>
      <c r="D102" s="568"/>
      <c r="E102" s="568"/>
      <c r="F102" s="568"/>
      <c r="G102" s="568"/>
      <c r="H102" s="568"/>
      <c r="I102" s="568"/>
      <c r="J102" s="568"/>
      <c r="K102" s="568"/>
      <c r="L102" s="568"/>
      <c r="M102" s="568"/>
      <c r="N102" s="586"/>
      <c r="O102" s="584"/>
      <c r="P102" s="584"/>
      <c r="Q102" s="584"/>
      <c r="R102" s="2391"/>
      <c r="S102" s="2391"/>
      <c r="T102" s="2391"/>
      <c r="U102" s="2391"/>
      <c r="V102" s="2391"/>
      <c r="W102" s="2391"/>
      <c r="X102" s="2392"/>
    </row>
    <row r="103" spans="2:24" ht="13.5" customHeight="1">
      <c r="B103" s="1342" t="s">
        <v>2245</v>
      </c>
      <c r="C103" s="578" t="s">
        <v>1430</v>
      </c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80"/>
      <c r="O103" s="1348">
        <v>0</v>
      </c>
      <c r="P103" s="1348">
        <v>3</v>
      </c>
      <c r="Q103" s="1348">
        <v>3</v>
      </c>
      <c r="R103" s="2364">
        <f>'UNOS_POREZNI BILANS'!R91</f>
        <v>0</v>
      </c>
      <c r="S103" s="2365"/>
      <c r="T103" s="2365"/>
      <c r="U103" s="2365"/>
      <c r="V103" s="2365"/>
      <c r="W103" s="2365"/>
      <c r="X103" s="2366"/>
    </row>
    <row r="104" spans="2:24" ht="13.5" customHeight="1">
      <c r="B104" s="1343"/>
      <c r="C104" s="581" t="s">
        <v>1431</v>
      </c>
      <c r="D104" s="582"/>
      <c r="E104" s="582"/>
      <c r="F104" s="582"/>
      <c r="G104" s="582"/>
      <c r="H104" s="582"/>
      <c r="I104" s="582"/>
      <c r="J104" s="582"/>
      <c r="K104" s="582"/>
      <c r="L104" s="582"/>
      <c r="M104" s="582"/>
      <c r="N104" s="583"/>
      <c r="O104" s="1349"/>
      <c r="P104" s="1349"/>
      <c r="Q104" s="1349"/>
      <c r="R104" s="2367"/>
      <c r="S104" s="2368"/>
      <c r="T104" s="2368"/>
      <c r="U104" s="2368"/>
      <c r="V104" s="2368"/>
      <c r="W104" s="2368"/>
      <c r="X104" s="2369"/>
    </row>
    <row r="105" spans="2:24" ht="14.25" customHeight="1">
      <c r="B105" s="1342" t="s">
        <v>2246</v>
      </c>
      <c r="C105" s="578" t="s">
        <v>1432</v>
      </c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80"/>
      <c r="O105" s="1348">
        <v>0</v>
      </c>
      <c r="P105" s="1348">
        <v>3</v>
      </c>
      <c r="Q105" s="1344">
        <v>4</v>
      </c>
      <c r="R105" s="2364">
        <f>'UNOS_POREZNI BILANS'!R93</f>
        <v>0</v>
      </c>
      <c r="S105" s="2365"/>
      <c r="T105" s="2365"/>
      <c r="U105" s="2365"/>
      <c r="V105" s="2365"/>
      <c r="W105" s="2365"/>
      <c r="X105" s="2366"/>
    </row>
    <row r="106" spans="2:24" ht="14.25" customHeight="1">
      <c r="B106" s="1384"/>
      <c r="C106" s="592" t="s">
        <v>1433</v>
      </c>
      <c r="D106" s="558"/>
      <c r="E106" s="558"/>
      <c r="F106" s="558"/>
      <c r="G106" s="558"/>
      <c r="H106" s="558"/>
      <c r="I106" s="558"/>
      <c r="J106" s="558"/>
      <c r="K106" s="558"/>
      <c r="L106" s="558"/>
      <c r="M106" s="558"/>
      <c r="N106" s="593"/>
      <c r="O106" s="1385"/>
      <c r="P106" s="1385"/>
      <c r="Q106" s="1386"/>
      <c r="R106" s="2370"/>
      <c r="S106" s="2371"/>
      <c r="T106" s="2371"/>
      <c r="U106" s="2371"/>
      <c r="V106" s="2371"/>
      <c r="W106" s="2371"/>
      <c r="X106" s="2372"/>
    </row>
    <row r="107" spans="2:24" ht="14.25" customHeight="1">
      <c r="B107" s="1343"/>
      <c r="C107" s="581" t="s">
        <v>1434</v>
      </c>
      <c r="D107" s="582"/>
      <c r="E107" s="582"/>
      <c r="F107" s="582"/>
      <c r="G107" s="582"/>
      <c r="H107" s="582"/>
      <c r="I107" s="582"/>
      <c r="J107" s="582"/>
      <c r="K107" s="582"/>
      <c r="L107" s="582"/>
      <c r="M107" s="582"/>
      <c r="N107" s="583"/>
      <c r="O107" s="1349"/>
      <c r="P107" s="1349"/>
      <c r="Q107" s="1345"/>
      <c r="R107" s="2367"/>
      <c r="S107" s="2368"/>
      <c r="T107" s="2368"/>
      <c r="U107" s="2368"/>
      <c r="V107" s="2368"/>
      <c r="W107" s="2368"/>
      <c r="X107" s="2369"/>
    </row>
    <row r="108" spans="2:24" ht="15" customHeight="1">
      <c r="B108" s="1342" t="s">
        <v>2247</v>
      </c>
      <c r="C108" s="578" t="s">
        <v>1435</v>
      </c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80"/>
      <c r="O108" s="1348">
        <v>0</v>
      </c>
      <c r="P108" s="1348">
        <v>3</v>
      </c>
      <c r="Q108" s="1344">
        <v>5</v>
      </c>
      <c r="R108" s="2364">
        <f>'UNOS_POREZNI BILANS'!R96</f>
        <v>0</v>
      </c>
      <c r="S108" s="2365"/>
      <c r="T108" s="2365"/>
      <c r="U108" s="2365"/>
      <c r="V108" s="2365"/>
      <c r="W108" s="2365"/>
      <c r="X108" s="2366"/>
    </row>
    <row r="109" spans="2:24" ht="15" customHeight="1">
      <c r="B109" s="1384"/>
      <c r="C109" s="592" t="s">
        <v>1436</v>
      </c>
      <c r="D109" s="558"/>
      <c r="E109" s="558"/>
      <c r="F109" s="558"/>
      <c r="G109" s="558"/>
      <c r="H109" s="558"/>
      <c r="I109" s="558"/>
      <c r="J109" s="558"/>
      <c r="K109" s="558"/>
      <c r="L109" s="558"/>
      <c r="M109" s="558"/>
      <c r="N109" s="593"/>
      <c r="O109" s="1385"/>
      <c r="P109" s="1385"/>
      <c r="Q109" s="1386"/>
      <c r="R109" s="2370"/>
      <c r="S109" s="2371"/>
      <c r="T109" s="2371"/>
      <c r="U109" s="2371"/>
      <c r="V109" s="2371"/>
      <c r="W109" s="2371"/>
      <c r="X109" s="2372"/>
    </row>
    <row r="110" spans="2:24" ht="15" customHeight="1">
      <c r="B110" s="1343"/>
      <c r="C110" s="581" t="s">
        <v>1437</v>
      </c>
      <c r="D110" s="582"/>
      <c r="E110" s="582"/>
      <c r="F110" s="582"/>
      <c r="G110" s="582"/>
      <c r="H110" s="582"/>
      <c r="I110" s="582"/>
      <c r="J110" s="582"/>
      <c r="K110" s="582"/>
      <c r="L110" s="582"/>
      <c r="M110" s="582"/>
      <c r="N110" s="583"/>
      <c r="O110" s="1349"/>
      <c r="P110" s="1349"/>
      <c r="Q110" s="1345"/>
      <c r="R110" s="2367"/>
      <c r="S110" s="2368"/>
      <c r="T110" s="2368"/>
      <c r="U110" s="2368"/>
      <c r="V110" s="2368"/>
      <c r="W110" s="2368"/>
      <c r="X110" s="2369"/>
    </row>
    <row r="111" spans="2:24" ht="12.75" customHeight="1">
      <c r="B111" s="1342" t="s">
        <v>2248</v>
      </c>
      <c r="C111" s="578" t="s">
        <v>487</v>
      </c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80"/>
      <c r="O111" s="1348">
        <v>0</v>
      </c>
      <c r="P111" s="1348">
        <v>3</v>
      </c>
      <c r="Q111" s="1344">
        <v>6</v>
      </c>
      <c r="R111" s="2364">
        <f>'UNOS_POREZNI BILANS'!R99</f>
        <v>0</v>
      </c>
      <c r="S111" s="2365"/>
      <c r="T111" s="2365"/>
      <c r="U111" s="2365"/>
      <c r="V111" s="2365"/>
      <c r="W111" s="2365"/>
      <c r="X111" s="2366"/>
    </row>
    <row r="112" spans="2:24" ht="12.75" customHeight="1">
      <c r="B112" s="1343"/>
      <c r="C112" s="581" t="s">
        <v>488</v>
      </c>
      <c r="D112" s="582"/>
      <c r="E112" s="582"/>
      <c r="F112" s="582"/>
      <c r="G112" s="582"/>
      <c r="H112" s="582"/>
      <c r="I112" s="582"/>
      <c r="J112" s="582"/>
      <c r="K112" s="582"/>
      <c r="L112" s="582"/>
      <c r="M112" s="582"/>
      <c r="N112" s="583"/>
      <c r="O112" s="1349"/>
      <c r="P112" s="1349"/>
      <c r="Q112" s="1345"/>
      <c r="R112" s="2367"/>
      <c r="S112" s="2368"/>
      <c r="T112" s="2368"/>
      <c r="U112" s="2368"/>
      <c r="V112" s="2368"/>
      <c r="W112" s="2368"/>
      <c r="X112" s="2369"/>
    </row>
    <row r="113" spans="2:24" ht="12.75" customHeight="1">
      <c r="B113" s="1342" t="s">
        <v>2249</v>
      </c>
      <c r="C113" s="592" t="s">
        <v>491</v>
      </c>
      <c r="D113" s="558"/>
      <c r="E113" s="558"/>
      <c r="F113" s="558"/>
      <c r="G113" s="558"/>
      <c r="H113" s="558"/>
      <c r="I113" s="558"/>
      <c r="J113" s="558"/>
      <c r="K113" s="558"/>
      <c r="L113" s="558"/>
      <c r="M113" s="558"/>
      <c r="N113" s="593"/>
      <c r="O113" s="1344">
        <v>0</v>
      </c>
      <c r="P113" s="1344">
        <v>3</v>
      </c>
      <c r="Q113" s="1344">
        <v>7</v>
      </c>
      <c r="R113" s="2364">
        <f>'UNOS_POREZNI BILANS'!R101</f>
        <v>0</v>
      </c>
      <c r="S113" s="2365"/>
      <c r="T113" s="2365"/>
      <c r="U113" s="2365"/>
      <c r="V113" s="2365"/>
      <c r="W113" s="2365"/>
      <c r="X113" s="2366"/>
    </row>
    <row r="114" spans="2:24" ht="12.75" customHeight="1">
      <c r="B114" s="1343"/>
      <c r="C114" s="592" t="s">
        <v>492</v>
      </c>
      <c r="D114" s="558"/>
      <c r="E114" s="558"/>
      <c r="F114" s="558"/>
      <c r="G114" s="558"/>
      <c r="H114" s="558"/>
      <c r="I114" s="558"/>
      <c r="J114" s="558"/>
      <c r="K114" s="558"/>
      <c r="L114" s="558"/>
      <c r="M114" s="558"/>
      <c r="N114" s="593"/>
      <c r="O114" s="1345"/>
      <c r="P114" s="1345"/>
      <c r="Q114" s="1345"/>
      <c r="R114" s="2367"/>
      <c r="S114" s="2368"/>
      <c r="T114" s="2368"/>
      <c r="U114" s="2368"/>
      <c r="V114" s="2368"/>
      <c r="W114" s="2368"/>
      <c r="X114" s="2369"/>
    </row>
    <row r="115" spans="2:24" ht="14.25" customHeight="1">
      <c r="B115" s="1342" t="s">
        <v>2250</v>
      </c>
      <c r="C115" s="578" t="s">
        <v>489</v>
      </c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80"/>
      <c r="O115" s="1348">
        <v>0</v>
      </c>
      <c r="P115" s="1348">
        <v>3</v>
      </c>
      <c r="Q115" s="1344">
        <v>8</v>
      </c>
      <c r="R115" s="2364">
        <f>'UNOS_POREZNI BILANS'!R103</f>
        <v>0</v>
      </c>
      <c r="S115" s="2365"/>
      <c r="T115" s="2365"/>
      <c r="U115" s="2365"/>
      <c r="V115" s="2365"/>
      <c r="W115" s="2365"/>
      <c r="X115" s="2366"/>
    </row>
    <row r="116" spans="2:24" ht="14.25" customHeight="1" thickBot="1">
      <c r="B116" s="1364"/>
      <c r="C116" s="611" t="s">
        <v>490</v>
      </c>
      <c r="D116" s="612"/>
      <c r="E116" s="612"/>
      <c r="F116" s="612"/>
      <c r="G116" s="612"/>
      <c r="H116" s="612"/>
      <c r="I116" s="612"/>
      <c r="J116" s="612"/>
      <c r="K116" s="612"/>
      <c r="L116" s="612"/>
      <c r="M116" s="612"/>
      <c r="N116" s="613"/>
      <c r="O116" s="1389"/>
      <c r="P116" s="1389"/>
      <c r="Q116" s="1368"/>
      <c r="R116" s="2393"/>
      <c r="S116" s="2394"/>
      <c r="T116" s="2394"/>
      <c r="U116" s="2394"/>
      <c r="V116" s="2394"/>
      <c r="W116" s="2394"/>
      <c r="X116" s="2395"/>
    </row>
    <row r="117" spans="2:24" ht="30" customHeight="1">
      <c r="X117" s="569">
        <v>2</v>
      </c>
    </row>
    <row r="118" spans="2:24" ht="18.75" customHeight="1" thickBot="1"/>
    <row r="119" spans="2:24" ht="33" customHeight="1">
      <c r="B119" s="599" t="s">
        <v>1260</v>
      </c>
      <c r="C119" s="600"/>
      <c r="D119" s="601"/>
      <c r="E119" s="601"/>
      <c r="F119" s="601"/>
      <c r="G119" s="601"/>
      <c r="H119" s="602" t="s">
        <v>2272</v>
      </c>
      <c r="I119" s="601"/>
      <c r="J119" s="601"/>
      <c r="K119" s="601"/>
      <c r="L119" s="601"/>
      <c r="M119" s="601"/>
      <c r="N119" s="603"/>
      <c r="O119" s="2335" t="s">
        <v>320</v>
      </c>
      <c r="P119" s="2336"/>
      <c r="Q119" s="2337"/>
      <c r="R119" s="2350" t="s">
        <v>1491</v>
      </c>
      <c r="S119" s="2350"/>
      <c r="T119" s="2350"/>
      <c r="U119" s="2350"/>
      <c r="V119" s="2350"/>
      <c r="W119" s="2350"/>
      <c r="X119" s="2351"/>
    </row>
    <row r="120" spans="2:24" s="440" customFormat="1" ht="15.75" customHeight="1">
      <c r="B120" s="604" t="s">
        <v>493</v>
      </c>
      <c r="C120" s="585" t="s">
        <v>494</v>
      </c>
      <c r="D120" s="568"/>
      <c r="E120" s="568"/>
      <c r="F120" s="568"/>
      <c r="G120" s="568"/>
      <c r="H120" s="568"/>
      <c r="I120" s="568"/>
      <c r="J120" s="568"/>
      <c r="K120" s="568"/>
      <c r="L120" s="568"/>
      <c r="M120" s="568"/>
      <c r="N120" s="586"/>
      <c r="O120" s="584"/>
      <c r="P120" s="584"/>
      <c r="Q120" s="584"/>
      <c r="R120" s="2361"/>
      <c r="S120" s="2362"/>
      <c r="T120" s="2362"/>
      <c r="U120" s="2362"/>
      <c r="V120" s="2362"/>
      <c r="W120" s="2362"/>
      <c r="X120" s="2363"/>
    </row>
    <row r="121" spans="2:24" ht="14.25" customHeight="1">
      <c r="B121" s="1342" t="s">
        <v>2251</v>
      </c>
      <c r="C121" s="578" t="s">
        <v>1210</v>
      </c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80"/>
      <c r="O121" s="1348">
        <v>0</v>
      </c>
      <c r="P121" s="1348">
        <v>3</v>
      </c>
      <c r="Q121" s="1344">
        <v>9</v>
      </c>
      <c r="R121" s="2352">
        <f>'UNOS_POREZNI BILANS'!R106</f>
        <v>0</v>
      </c>
      <c r="S121" s="2353"/>
      <c r="T121" s="2353"/>
      <c r="U121" s="2353"/>
      <c r="V121" s="2353"/>
      <c r="W121" s="2353"/>
      <c r="X121" s="2354"/>
    </row>
    <row r="122" spans="2:24" ht="14.25" customHeight="1">
      <c r="B122" s="1384"/>
      <c r="C122" s="592" t="s">
        <v>1211</v>
      </c>
      <c r="D122" s="558"/>
      <c r="E122" s="558"/>
      <c r="F122" s="558"/>
      <c r="G122" s="558"/>
      <c r="H122" s="558"/>
      <c r="I122" s="558"/>
      <c r="J122" s="558"/>
      <c r="K122" s="558"/>
      <c r="L122" s="558"/>
      <c r="M122" s="558"/>
      <c r="N122" s="593"/>
      <c r="O122" s="1385"/>
      <c r="P122" s="1385"/>
      <c r="Q122" s="1386"/>
      <c r="R122" s="2355"/>
      <c r="S122" s="2356"/>
      <c r="T122" s="2356"/>
      <c r="U122" s="2356"/>
      <c r="V122" s="2356"/>
      <c r="W122" s="2356"/>
      <c r="X122" s="2357"/>
    </row>
    <row r="123" spans="2:24" ht="14.25" customHeight="1">
      <c r="B123" s="1343"/>
      <c r="C123" s="581" t="s">
        <v>1212</v>
      </c>
      <c r="D123" s="582"/>
      <c r="E123" s="582"/>
      <c r="F123" s="582"/>
      <c r="G123" s="582"/>
      <c r="H123" s="582"/>
      <c r="I123" s="582"/>
      <c r="J123" s="582"/>
      <c r="K123" s="582"/>
      <c r="L123" s="582"/>
      <c r="M123" s="582"/>
      <c r="N123" s="583"/>
      <c r="O123" s="1349"/>
      <c r="P123" s="1349"/>
      <c r="Q123" s="1345"/>
      <c r="R123" s="2358"/>
      <c r="S123" s="2359"/>
      <c r="T123" s="2359"/>
      <c r="U123" s="2359"/>
      <c r="V123" s="2359"/>
      <c r="W123" s="2359"/>
      <c r="X123" s="2360"/>
    </row>
    <row r="124" spans="2:24" ht="13.5" customHeight="1">
      <c r="B124" s="1342" t="s">
        <v>2252</v>
      </c>
      <c r="C124" s="578" t="s">
        <v>1213</v>
      </c>
      <c r="D124" s="579"/>
      <c r="E124" s="579"/>
      <c r="F124" s="579"/>
      <c r="G124" s="579"/>
      <c r="H124" s="579"/>
      <c r="I124" s="579"/>
      <c r="J124" s="579"/>
      <c r="K124" s="579"/>
      <c r="L124" s="579"/>
      <c r="M124" s="579"/>
      <c r="N124" s="580"/>
      <c r="O124" s="1348">
        <v>0</v>
      </c>
      <c r="P124" s="1348">
        <v>4</v>
      </c>
      <c r="Q124" s="1344">
        <v>0</v>
      </c>
      <c r="R124" s="2352">
        <f>'UNOS_POREZNI BILANS'!R109</f>
        <v>0</v>
      </c>
      <c r="S124" s="2353"/>
      <c r="T124" s="2353"/>
      <c r="U124" s="2353"/>
      <c r="V124" s="2353"/>
      <c r="W124" s="2353"/>
      <c r="X124" s="2354"/>
    </row>
    <row r="125" spans="2:24" ht="13.5" customHeight="1">
      <c r="B125" s="1384"/>
      <c r="C125" s="592" t="s">
        <v>1214</v>
      </c>
      <c r="D125" s="558"/>
      <c r="E125" s="558"/>
      <c r="F125" s="558"/>
      <c r="G125" s="558"/>
      <c r="H125" s="558"/>
      <c r="I125" s="558"/>
      <c r="J125" s="558"/>
      <c r="K125" s="558"/>
      <c r="L125" s="558"/>
      <c r="M125" s="558"/>
      <c r="N125" s="593"/>
      <c r="O125" s="1385"/>
      <c r="P125" s="1385"/>
      <c r="Q125" s="1386"/>
      <c r="R125" s="2355"/>
      <c r="S125" s="2356"/>
      <c r="T125" s="2356"/>
      <c r="U125" s="2356"/>
      <c r="V125" s="2356"/>
      <c r="W125" s="2356"/>
      <c r="X125" s="2357"/>
    </row>
    <row r="126" spans="2:24" ht="13.5" customHeight="1">
      <c r="B126" s="1343"/>
      <c r="C126" s="581" t="s">
        <v>1215</v>
      </c>
      <c r="D126" s="582"/>
      <c r="E126" s="582"/>
      <c r="F126" s="582"/>
      <c r="G126" s="582"/>
      <c r="H126" s="582"/>
      <c r="I126" s="582"/>
      <c r="J126" s="582"/>
      <c r="K126" s="582"/>
      <c r="L126" s="582"/>
      <c r="M126" s="582"/>
      <c r="N126" s="583"/>
      <c r="O126" s="1349"/>
      <c r="P126" s="1349"/>
      <c r="Q126" s="1345"/>
      <c r="R126" s="2358"/>
      <c r="S126" s="2359"/>
      <c r="T126" s="2359"/>
      <c r="U126" s="2359"/>
      <c r="V126" s="2359"/>
      <c r="W126" s="2359"/>
      <c r="X126" s="2360"/>
    </row>
    <row r="127" spans="2:24" ht="14.25" customHeight="1">
      <c r="B127" s="1342" t="s">
        <v>2254</v>
      </c>
      <c r="C127" s="578" t="s">
        <v>1216</v>
      </c>
      <c r="D127" s="579"/>
      <c r="E127" s="579"/>
      <c r="F127" s="579"/>
      <c r="G127" s="579"/>
      <c r="H127" s="579"/>
      <c r="I127" s="579"/>
      <c r="J127" s="579"/>
      <c r="K127" s="579"/>
      <c r="L127" s="579"/>
      <c r="M127" s="579"/>
      <c r="N127" s="580"/>
      <c r="O127" s="1348">
        <v>0</v>
      </c>
      <c r="P127" s="1348">
        <v>4</v>
      </c>
      <c r="Q127" s="1344">
        <v>1</v>
      </c>
      <c r="R127" s="2352">
        <f>'UNOS_POREZNI BILANS'!R112</f>
        <v>0</v>
      </c>
      <c r="S127" s="2353"/>
      <c r="T127" s="2353"/>
      <c r="U127" s="2353"/>
      <c r="V127" s="2353"/>
      <c r="W127" s="2353"/>
      <c r="X127" s="2354"/>
    </row>
    <row r="128" spans="2:24" ht="14.25" customHeight="1">
      <c r="B128" s="1384"/>
      <c r="C128" s="592" t="s">
        <v>1217</v>
      </c>
      <c r="D128" s="558"/>
      <c r="E128" s="558"/>
      <c r="F128" s="558"/>
      <c r="G128" s="558"/>
      <c r="H128" s="558"/>
      <c r="I128" s="558"/>
      <c r="J128" s="558"/>
      <c r="K128" s="558"/>
      <c r="L128" s="558"/>
      <c r="M128" s="558"/>
      <c r="N128" s="593"/>
      <c r="O128" s="1385"/>
      <c r="P128" s="1385"/>
      <c r="Q128" s="1386"/>
      <c r="R128" s="2355"/>
      <c r="S128" s="2356"/>
      <c r="T128" s="2356"/>
      <c r="U128" s="2356"/>
      <c r="V128" s="2356"/>
      <c r="W128" s="2356"/>
      <c r="X128" s="2357"/>
    </row>
    <row r="129" spans="2:24" ht="14.25" customHeight="1">
      <c r="B129" s="1343"/>
      <c r="C129" s="581" t="s">
        <v>1218</v>
      </c>
      <c r="D129" s="582"/>
      <c r="E129" s="582"/>
      <c r="F129" s="582"/>
      <c r="G129" s="582"/>
      <c r="H129" s="582"/>
      <c r="I129" s="582"/>
      <c r="J129" s="582"/>
      <c r="K129" s="582"/>
      <c r="L129" s="582"/>
      <c r="M129" s="582"/>
      <c r="N129" s="583"/>
      <c r="O129" s="1349"/>
      <c r="P129" s="1349"/>
      <c r="Q129" s="1345"/>
      <c r="R129" s="2358"/>
      <c r="S129" s="2359"/>
      <c r="T129" s="2359"/>
      <c r="U129" s="2359"/>
      <c r="V129" s="2359"/>
      <c r="W129" s="2359"/>
      <c r="X129" s="2360"/>
    </row>
    <row r="130" spans="2:24" ht="15.75" customHeight="1">
      <c r="B130" s="605"/>
      <c r="C130" s="587" t="s">
        <v>1219</v>
      </c>
      <c r="D130" s="579"/>
      <c r="E130" s="579"/>
      <c r="F130" s="579"/>
      <c r="G130" s="579"/>
      <c r="H130" s="579"/>
      <c r="I130" s="579"/>
      <c r="J130" s="579"/>
      <c r="K130" s="579"/>
      <c r="L130" s="579"/>
      <c r="M130" s="579"/>
      <c r="N130" s="580"/>
      <c r="O130" s="576"/>
      <c r="P130" s="576"/>
      <c r="Q130" s="576"/>
      <c r="R130" s="2352"/>
      <c r="S130" s="2353"/>
      <c r="T130" s="2353"/>
      <c r="U130" s="2353"/>
      <c r="V130" s="2353"/>
      <c r="W130" s="2353"/>
      <c r="X130" s="2354"/>
    </row>
    <row r="131" spans="2:24" ht="15.75" customHeight="1">
      <c r="B131" s="607" t="s">
        <v>2032</v>
      </c>
      <c r="C131" s="590" t="s">
        <v>2031</v>
      </c>
      <c r="D131" s="582"/>
      <c r="E131" s="582"/>
      <c r="F131" s="582"/>
      <c r="G131" s="582"/>
      <c r="H131" s="582"/>
      <c r="I131" s="582"/>
      <c r="J131" s="582"/>
      <c r="K131" s="582"/>
      <c r="L131" s="582"/>
      <c r="M131" s="582"/>
      <c r="N131" s="583"/>
      <c r="O131" s="577"/>
      <c r="P131" s="577"/>
      <c r="Q131" s="577"/>
      <c r="R131" s="2358"/>
      <c r="S131" s="2359"/>
      <c r="T131" s="2359"/>
      <c r="U131" s="2359"/>
      <c r="V131" s="2359"/>
      <c r="W131" s="2359"/>
      <c r="X131" s="2360"/>
    </row>
    <row r="132" spans="2:24" ht="12" customHeight="1">
      <c r="B132" s="1342">
        <v>42</v>
      </c>
      <c r="C132" s="578" t="s">
        <v>776</v>
      </c>
      <c r="D132" s="579"/>
      <c r="E132" s="579"/>
      <c r="F132" s="579"/>
      <c r="G132" s="579"/>
      <c r="H132" s="579"/>
      <c r="I132" s="579"/>
      <c r="J132" s="579"/>
      <c r="K132" s="579"/>
      <c r="L132" s="579"/>
      <c r="M132" s="579"/>
      <c r="N132" s="580"/>
      <c r="O132" s="1348">
        <v>0</v>
      </c>
      <c r="P132" s="1348">
        <v>4</v>
      </c>
      <c r="Q132" s="1344">
        <v>2</v>
      </c>
      <c r="R132" s="2352">
        <f>'UNOS_POREZNI BILANS'!R117</f>
        <v>0</v>
      </c>
      <c r="S132" s="2353"/>
      <c r="T132" s="2353"/>
      <c r="U132" s="2353"/>
      <c r="V132" s="2353"/>
      <c r="W132" s="2353"/>
      <c r="X132" s="2354"/>
    </row>
    <row r="133" spans="2:24" ht="12" customHeight="1">
      <c r="B133" s="1384"/>
      <c r="C133" s="592" t="s">
        <v>2585</v>
      </c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93"/>
      <c r="O133" s="1385"/>
      <c r="P133" s="1385"/>
      <c r="Q133" s="1386"/>
      <c r="R133" s="2355"/>
      <c r="S133" s="2356"/>
      <c r="T133" s="2356"/>
      <c r="U133" s="2356"/>
      <c r="V133" s="2356"/>
      <c r="W133" s="2356"/>
      <c r="X133" s="2357"/>
    </row>
    <row r="134" spans="2:24" ht="12" customHeight="1">
      <c r="B134" s="1343"/>
      <c r="C134" s="581" t="s">
        <v>778</v>
      </c>
      <c r="D134" s="582"/>
      <c r="E134" s="582"/>
      <c r="F134" s="582"/>
      <c r="G134" s="582"/>
      <c r="H134" s="582"/>
      <c r="I134" s="582"/>
      <c r="J134" s="582"/>
      <c r="K134" s="582"/>
      <c r="L134" s="582"/>
      <c r="M134" s="582"/>
      <c r="N134" s="583"/>
      <c r="O134" s="1349"/>
      <c r="P134" s="1349"/>
      <c r="Q134" s="1345"/>
      <c r="R134" s="2358"/>
      <c r="S134" s="2359"/>
      <c r="T134" s="2359"/>
      <c r="U134" s="2359"/>
      <c r="V134" s="2359"/>
      <c r="W134" s="2359"/>
      <c r="X134" s="2360"/>
    </row>
    <row r="135" spans="2:24" ht="12" customHeight="1">
      <c r="B135" s="1342" t="s">
        <v>2256</v>
      </c>
      <c r="C135" s="578" t="s">
        <v>2584</v>
      </c>
      <c r="D135" s="579"/>
      <c r="E135" s="579"/>
      <c r="F135" s="579"/>
      <c r="G135" s="579"/>
      <c r="H135" s="579"/>
      <c r="I135" s="579"/>
      <c r="J135" s="579"/>
      <c r="K135" s="579"/>
      <c r="L135" s="579"/>
      <c r="M135" s="579"/>
      <c r="N135" s="580"/>
      <c r="O135" s="1348">
        <v>0</v>
      </c>
      <c r="P135" s="1348">
        <v>4</v>
      </c>
      <c r="Q135" s="1344">
        <v>3</v>
      </c>
      <c r="R135" s="2352">
        <f>'UNOS_POREZNI BILANS'!R120</f>
        <v>0</v>
      </c>
      <c r="S135" s="2353"/>
      <c r="T135" s="2353"/>
      <c r="U135" s="2353"/>
      <c r="V135" s="2353"/>
      <c r="W135" s="2353"/>
      <c r="X135" s="2354"/>
    </row>
    <row r="136" spans="2:24" ht="12" customHeight="1">
      <c r="B136" s="1384"/>
      <c r="C136" s="592" t="s">
        <v>2585</v>
      </c>
      <c r="D136" s="558"/>
      <c r="E136" s="558"/>
      <c r="F136" s="558"/>
      <c r="G136" s="558"/>
      <c r="H136" s="558"/>
      <c r="I136" s="558"/>
      <c r="J136" s="558"/>
      <c r="K136" s="558"/>
      <c r="L136" s="558"/>
      <c r="M136" s="558"/>
      <c r="N136" s="593"/>
      <c r="O136" s="1385"/>
      <c r="P136" s="1385"/>
      <c r="Q136" s="1386"/>
      <c r="R136" s="2355"/>
      <c r="S136" s="2356"/>
      <c r="T136" s="2356"/>
      <c r="U136" s="2356"/>
      <c r="V136" s="2356"/>
      <c r="W136" s="2356"/>
      <c r="X136" s="2357"/>
    </row>
    <row r="137" spans="2:24" ht="12" customHeight="1">
      <c r="B137" s="1343"/>
      <c r="C137" s="581" t="s">
        <v>2586</v>
      </c>
      <c r="D137" s="582"/>
      <c r="E137" s="582"/>
      <c r="F137" s="582"/>
      <c r="G137" s="582"/>
      <c r="H137" s="582"/>
      <c r="I137" s="582"/>
      <c r="J137" s="582"/>
      <c r="K137" s="582"/>
      <c r="L137" s="582"/>
      <c r="M137" s="582"/>
      <c r="N137" s="583"/>
      <c r="O137" s="1349"/>
      <c r="P137" s="1349"/>
      <c r="Q137" s="1345"/>
      <c r="R137" s="2358"/>
      <c r="S137" s="2359"/>
      <c r="T137" s="2359"/>
      <c r="U137" s="2359"/>
      <c r="V137" s="2359"/>
      <c r="W137" s="2359"/>
      <c r="X137" s="2360"/>
    </row>
    <row r="138" spans="2:24" s="440" customFormat="1" ht="15.75" customHeight="1">
      <c r="B138" s="604" t="s">
        <v>2587</v>
      </c>
      <c r="C138" s="585" t="s">
        <v>2588</v>
      </c>
      <c r="D138" s="568"/>
      <c r="E138" s="568"/>
      <c r="F138" s="568"/>
      <c r="G138" s="568"/>
      <c r="H138" s="568"/>
      <c r="I138" s="568"/>
      <c r="J138" s="568"/>
      <c r="K138" s="568"/>
      <c r="L138" s="568"/>
      <c r="M138" s="568"/>
      <c r="N138" s="586"/>
      <c r="O138" s="584"/>
      <c r="P138" s="584"/>
      <c r="Q138" s="584"/>
      <c r="R138" s="2361"/>
      <c r="S138" s="2362"/>
      <c r="T138" s="2362"/>
      <c r="U138" s="2362"/>
      <c r="V138" s="2362"/>
      <c r="W138" s="2362"/>
      <c r="X138" s="2363"/>
    </row>
    <row r="139" spans="2:24" ht="13.5" customHeight="1">
      <c r="B139" s="1342" t="s">
        <v>2257</v>
      </c>
      <c r="C139" s="578" t="s">
        <v>2589</v>
      </c>
      <c r="D139" s="579"/>
      <c r="E139" s="579"/>
      <c r="F139" s="579"/>
      <c r="G139" s="579"/>
      <c r="H139" s="579"/>
      <c r="I139" s="579"/>
      <c r="J139" s="579"/>
      <c r="K139" s="579"/>
      <c r="L139" s="579"/>
      <c r="M139" s="579"/>
      <c r="N139" s="580"/>
      <c r="O139" s="1348">
        <v>0</v>
      </c>
      <c r="P139" s="1348">
        <v>4</v>
      </c>
      <c r="Q139" s="1344">
        <v>4</v>
      </c>
      <c r="R139" s="2352">
        <f>'UNOS_POREZNI BILANS'!R124</f>
        <v>0</v>
      </c>
      <c r="S139" s="2353"/>
      <c r="T139" s="2353"/>
      <c r="U139" s="2353"/>
      <c r="V139" s="2353"/>
      <c r="W139" s="2353"/>
      <c r="X139" s="2354"/>
    </row>
    <row r="140" spans="2:24" ht="13.5" customHeight="1">
      <c r="B140" s="1384"/>
      <c r="C140" s="592" t="s">
        <v>2590</v>
      </c>
      <c r="D140" s="558"/>
      <c r="E140" s="558"/>
      <c r="F140" s="558"/>
      <c r="G140" s="558"/>
      <c r="H140" s="558"/>
      <c r="I140" s="558"/>
      <c r="J140" s="558"/>
      <c r="K140" s="558"/>
      <c r="L140" s="558"/>
      <c r="M140" s="558"/>
      <c r="N140" s="593"/>
      <c r="O140" s="1385"/>
      <c r="P140" s="1385"/>
      <c r="Q140" s="1386"/>
      <c r="R140" s="2355"/>
      <c r="S140" s="2356"/>
      <c r="T140" s="2356"/>
      <c r="U140" s="2356"/>
      <c r="V140" s="2356"/>
      <c r="W140" s="2356"/>
      <c r="X140" s="2357"/>
    </row>
    <row r="141" spans="2:24" ht="13.5" customHeight="1">
      <c r="B141" s="1343"/>
      <c r="C141" s="581" t="s">
        <v>2591</v>
      </c>
      <c r="D141" s="582"/>
      <c r="E141" s="582"/>
      <c r="F141" s="582"/>
      <c r="G141" s="582"/>
      <c r="H141" s="582"/>
      <c r="I141" s="582"/>
      <c r="J141" s="582"/>
      <c r="K141" s="582"/>
      <c r="L141" s="582"/>
      <c r="M141" s="582"/>
      <c r="N141" s="583"/>
      <c r="O141" s="1349"/>
      <c r="P141" s="1349"/>
      <c r="Q141" s="1345"/>
      <c r="R141" s="2358"/>
      <c r="S141" s="2359"/>
      <c r="T141" s="2359"/>
      <c r="U141" s="2359"/>
      <c r="V141" s="2359"/>
      <c r="W141" s="2359"/>
      <c r="X141" s="2360"/>
    </row>
    <row r="142" spans="2:24" ht="13.5" customHeight="1">
      <c r="B142" s="1342" t="s">
        <v>1172</v>
      </c>
      <c r="C142" s="578" t="s">
        <v>2592</v>
      </c>
      <c r="D142" s="579"/>
      <c r="E142" s="579"/>
      <c r="F142" s="579"/>
      <c r="G142" s="579"/>
      <c r="H142" s="579"/>
      <c r="I142" s="579"/>
      <c r="J142" s="579"/>
      <c r="K142" s="579"/>
      <c r="L142" s="579"/>
      <c r="M142" s="579"/>
      <c r="N142" s="580"/>
      <c r="O142" s="1348">
        <v>0</v>
      </c>
      <c r="P142" s="1348">
        <v>4</v>
      </c>
      <c r="Q142" s="1344">
        <v>5</v>
      </c>
      <c r="R142" s="2352">
        <f>'UNOS_POREZNI BILANS'!R127</f>
        <v>0</v>
      </c>
      <c r="S142" s="2353"/>
      <c r="T142" s="2353"/>
      <c r="U142" s="2353"/>
      <c r="V142" s="2353"/>
      <c r="W142" s="2353"/>
      <c r="X142" s="2354"/>
    </row>
    <row r="143" spans="2:24" ht="13.5" customHeight="1">
      <c r="B143" s="1343"/>
      <c r="C143" s="581" t="s">
        <v>2593</v>
      </c>
      <c r="D143" s="582"/>
      <c r="E143" s="582"/>
      <c r="F143" s="582"/>
      <c r="G143" s="582"/>
      <c r="H143" s="582"/>
      <c r="I143" s="582"/>
      <c r="J143" s="582"/>
      <c r="K143" s="582"/>
      <c r="L143" s="582"/>
      <c r="M143" s="582"/>
      <c r="N143" s="583"/>
      <c r="O143" s="1349"/>
      <c r="P143" s="1349"/>
      <c r="Q143" s="1345"/>
      <c r="R143" s="2358"/>
      <c r="S143" s="2359"/>
      <c r="T143" s="2359"/>
      <c r="U143" s="2359"/>
      <c r="V143" s="2359"/>
      <c r="W143" s="2359"/>
      <c r="X143" s="2360"/>
    </row>
    <row r="144" spans="2:24" ht="13.5" customHeight="1">
      <c r="B144" s="1342" t="s">
        <v>363</v>
      </c>
      <c r="C144" s="578" t="s">
        <v>2594</v>
      </c>
      <c r="D144" s="579"/>
      <c r="E144" s="579"/>
      <c r="F144" s="579"/>
      <c r="G144" s="579"/>
      <c r="H144" s="579"/>
      <c r="I144" s="579"/>
      <c r="J144" s="579"/>
      <c r="K144" s="579"/>
      <c r="L144" s="579"/>
      <c r="M144" s="579"/>
      <c r="N144" s="580"/>
      <c r="O144" s="1348">
        <v>0</v>
      </c>
      <c r="P144" s="1348">
        <v>4</v>
      </c>
      <c r="Q144" s="1344">
        <v>6</v>
      </c>
      <c r="R144" s="2352">
        <f>'UNOS_POREZNI BILANS'!R129</f>
        <v>0</v>
      </c>
      <c r="S144" s="2353"/>
      <c r="T144" s="2353"/>
      <c r="U144" s="2353"/>
      <c r="V144" s="2353"/>
      <c r="W144" s="2353"/>
      <c r="X144" s="2354"/>
    </row>
    <row r="145" spans="2:24" ht="13.5" customHeight="1">
      <c r="B145" s="1343"/>
      <c r="C145" s="581" t="s">
        <v>2595</v>
      </c>
      <c r="D145" s="582"/>
      <c r="E145" s="582"/>
      <c r="F145" s="582"/>
      <c r="G145" s="582"/>
      <c r="H145" s="582"/>
      <c r="I145" s="582"/>
      <c r="J145" s="582"/>
      <c r="K145" s="582"/>
      <c r="L145" s="582"/>
      <c r="M145" s="582"/>
      <c r="N145" s="583"/>
      <c r="O145" s="1349"/>
      <c r="P145" s="1349"/>
      <c r="Q145" s="1345"/>
      <c r="R145" s="2358"/>
      <c r="S145" s="2359"/>
      <c r="T145" s="2359"/>
      <c r="U145" s="2359"/>
      <c r="V145" s="2359"/>
      <c r="W145" s="2359"/>
      <c r="X145" s="2360"/>
    </row>
    <row r="146" spans="2:24" ht="13.5" customHeight="1">
      <c r="B146" s="1342" t="s">
        <v>364</v>
      </c>
      <c r="C146" s="578" t="s">
        <v>2118</v>
      </c>
      <c r="D146" s="579"/>
      <c r="E146" s="579"/>
      <c r="F146" s="579"/>
      <c r="G146" s="579"/>
      <c r="H146" s="579"/>
      <c r="I146" s="579"/>
      <c r="J146" s="579"/>
      <c r="K146" s="579"/>
      <c r="L146" s="579"/>
      <c r="M146" s="579"/>
      <c r="N146" s="580"/>
      <c r="O146" s="1348">
        <v>0</v>
      </c>
      <c r="P146" s="1348">
        <v>4</v>
      </c>
      <c r="Q146" s="1344">
        <v>7</v>
      </c>
      <c r="R146" s="2352">
        <f>'UNOS_POREZNI BILANS'!R131</f>
        <v>0</v>
      </c>
      <c r="S146" s="2353"/>
      <c r="T146" s="2353"/>
      <c r="U146" s="2353"/>
      <c r="V146" s="2353"/>
      <c r="W146" s="2353"/>
      <c r="X146" s="2354"/>
    </row>
    <row r="147" spans="2:24" ht="13.5" customHeight="1">
      <c r="B147" s="1384"/>
      <c r="C147" s="592" t="s">
        <v>2119</v>
      </c>
      <c r="D147" s="558"/>
      <c r="E147" s="558"/>
      <c r="F147" s="558"/>
      <c r="G147" s="558"/>
      <c r="H147" s="558"/>
      <c r="I147" s="558"/>
      <c r="J147" s="558"/>
      <c r="K147" s="558"/>
      <c r="L147" s="558"/>
      <c r="M147" s="558"/>
      <c r="N147" s="593"/>
      <c r="O147" s="1385"/>
      <c r="P147" s="1385"/>
      <c r="Q147" s="1386"/>
      <c r="R147" s="2355"/>
      <c r="S147" s="2356"/>
      <c r="T147" s="2356"/>
      <c r="U147" s="2356"/>
      <c r="V147" s="2356"/>
      <c r="W147" s="2356"/>
      <c r="X147" s="2357"/>
    </row>
    <row r="148" spans="2:24" ht="13.5" customHeight="1">
      <c r="B148" s="1343"/>
      <c r="C148" s="581" t="s">
        <v>1276</v>
      </c>
      <c r="D148" s="582"/>
      <c r="E148" s="582"/>
      <c r="F148" s="582"/>
      <c r="G148" s="582"/>
      <c r="H148" s="582"/>
      <c r="I148" s="582"/>
      <c r="J148" s="582"/>
      <c r="K148" s="582"/>
      <c r="L148" s="582"/>
      <c r="M148" s="582"/>
      <c r="N148" s="583"/>
      <c r="O148" s="1349"/>
      <c r="P148" s="1349"/>
      <c r="Q148" s="1345"/>
      <c r="R148" s="2358"/>
      <c r="S148" s="2359"/>
      <c r="T148" s="2359"/>
      <c r="U148" s="2359"/>
      <c r="V148" s="2359"/>
      <c r="W148" s="2359"/>
      <c r="X148" s="2360"/>
    </row>
    <row r="149" spans="2:24" s="440" customFormat="1" ht="15.75" customHeight="1">
      <c r="B149" s="608"/>
      <c r="C149" s="587" t="s">
        <v>1277</v>
      </c>
      <c r="D149" s="588"/>
      <c r="E149" s="588"/>
      <c r="F149" s="588"/>
      <c r="G149" s="588"/>
      <c r="H149" s="588"/>
      <c r="I149" s="588"/>
      <c r="J149" s="588"/>
      <c r="K149" s="588"/>
      <c r="L149" s="588"/>
      <c r="M149" s="588"/>
      <c r="N149" s="589"/>
      <c r="O149" s="596"/>
      <c r="P149" s="596"/>
      <c r="Q149" s="596"/>
      <c r="R149" s="614"/>
      <c r="S149" s="615"/>
      <c r="T149" s="615"/>
      <c r="U149" s="615"/>
      <c r="V149" s="615"/>
      <c r="W149" s="615"/>
      <c r="X149" s="616"/>
    </row>
    <row r="150" spans="2:24" s="440" customFormat="1" ht="15.75" customHeight="1">
      <c r="B150" s="607" t="s">
        <v>1279</v>
      </c>
      <c r="C150" s="590" t="s">
        <v>1278</v>
      </c>
      <c r="D150" s="567"/>
      <c r="E150" s="567"/>
      <c r="F150" s="567"/>
      <c r="G150" s="567"/>
      <c r="H150" s="567"/>
      <c r="I150" s="567"/>
      <c r="J150" s="567"/>
      <c r="K150" s="567"/>
      <c r="L150" s="567"/>
      <c r="M150" s="567"/>
      <c r="N150" s="591"/>
      <c r="O150" s="566"/>
      <c r="P150" s="566"/>
      <c r="Q150" s="566"/>
      <c r="R150" s="617"/>
      <c r="S150" s="618"/>
      <c r="T150" s="618"/>
      <c r="U150" s="618"/>
      <c r="V150" s="618"/>
      <c r="W150" s="618"/>
      <c r="X150" s="619"/>
    </row>
    <row r="151" spans="2:24" ht="15.75" customHeight="1">
      <c r="B151" s="606" t="s">
        <v>365</v>
      </c>
      <c r="C151" s="570" t="s">
        <v>1280</v>
      </c>
      <c r="D151" s="571"/>
      <c r="E151" s="571"/>
      <c r="F151" s="571"/>
      <c r="G151" s="571"/>
      <c r="H151" s="571"/>
      <c r="I151" s="571"/>
      <c r="J151" s="571"/>
      <c r="K151" s="571"/>
      <c r="L151" s="571"/>
      <c r="M151" s="571"/>
      <c r="N151" s="572"/>
      <c r="O151" s="573">
        <v>0</v>
      </c>
      <c r="P151" s="573">
        <v>4</v>
      </c>
      <c r="Q151" s="573">
        <v>8</v>
      </c>
      <c r="R151" s="2341">
        <f>'UNOS_POREZNI BILANS'!R136</f>
        <v>0</v>
      </c>
      <c r="S151" s="2342"/>
      <c r="T151" s="2342"/>
      <c r="U151" s="2342"/>
      <c r="V151" s="2342"/>
      <c r="W151" s="2342"/>
      <c r="X151" s="2343"/>
    </row>
    <row r="152" spans="2:24" ht="15.75" customHeight="1">
      <c r="B152" s="606" t="s">
        <v>366</v>
      </c>
      <c r="C152" s="570" t="s">
        <v>1281</v>
      </c>
      <c r="D152" s="571"/>
      <c r="E152" s="571"/>
      <c r="F152" s="571"/>
      <c r="G152" s="571"/>
      <c r="H152" s="571"/>
      <c r="I152" s="571"/>
      <c r="J152" s="571"/>
      <c r="K152" s="571"/>
      <c r="L152" s="571"/>
      <c r="M152" s="571"/>
      <c r="N152" s="572"/>
      <c r="O152" s="573">
        <v>0</v>
      </c>
      <c r="P152" s="573">
        <v>4</v>
      </c>
      <c r="Q152" s="573">
        <v>9</v>
      </c>
      <c r="R152" s="2341">
        <f>'UNOS_POREZNI BILANS'!R137</f>
        <v>0</v>
      </c>
      <c r="S152" s="2342"/>
      <c r="T152" s="2342"/>
      <c r="U152" s="2342"/>
      <c r="V152" s="2342"/>
      <c r="W152" s="2342"/>
      <c r="X152" s="2343"/>
    </row>
    <row r="153" spans="2:24" ht="15.75" customHeight="1">
      <c r="B153" s="606" t="s">
        <v>367</v>
      </c>
      <c r="C153" s="570" t="s">
        <v>1282</v>
      </c>
      <c r="D153" s="571"/>
      <c r="E153" s="571"/>
      <c r="F153" s="571"/>
      <c r="G153" s="571"/>
      <c r="H153" s="571"/>
      <c r="I153" s="571"/>
      <c r="J153" s="571"/>
      <c r="K153" s="571"/>
      <c r="L153" s="571"/>
      <c r="M153" s="571"/>
      <c r="N153" s="572"/>
      <c r="O153" s="573">
        <v>0</v>
      </c>
      <c r="P153" s="573">
        <v>5</v>
      </c>
      <c r="Q153" s="573">
        <v>0</v>
      </c>
      <c r="R153" s="2341">
        <f>'UNOS_POREZNI BILANS'!R138</f>
        <v>0</v>
      </c>
      <c r="S153" s="2342"/>
      <c r="T153" s="2342"/>
      <c r="U153" s="2342"/>
      <c r="V153" s="2342"/>
      <c r="W153" s="2342"/>
      <c r="X153" s="2343"/>
    </row>
    <row r="154" spans="2:24" ht="15.75" customHeight="1">
      <c r="B154" s="606"/>
      <c r="C154" s="598" t="s">
        <v>1283</v>
      </c>
      <c r="D154" s="570" t="s">
        <v>1284</v>
      </c>
      <c r="E154" s="571"/>
      <c r="F154" s="571"/>
      <c r="G154" s="571"/>
      <c r="H154" s="571"/>
      <c r="I154" s="571"/>
      <c r="J154" s="571"/>
      <c r="K154" s="571"/>
      <c r="L154" s="571"/>
      <c r="M154" s="571"/>
      <c r="N154" s="572"/>
      <c r="O154" s="573"/>
      <c r="P154" s="573"/>
      <c r="Q154" s="573"/>
      <c r="R154" s="2341">
        <f>'UNOS_POREZNI BILANS'!R139</f>
        <v>0</v>
      </c>
      <c r="S154" s="2342"/>
      <c r="T154" s="2342"/>
      <c r="U154" s="2342"/>
      <c r="V154" s="2342"/>
      <c r="W154" s="2342"/>
      <c r="X154" s="2343"/>
    </row>
    <row r="155" spans="2:24" ht="15.75" customHeight="1">
      <c r="B155" s="606"/>
      <c r="C155" s="598" t="s">
        <v>1285</v>
      </c>
      <c r="D155" s="570" t="s">
        <v>1286</v>
      </c>
      <c r="E155" s="571"/>
      <c r="F155" s="571"/>
      <c r="G155" s="571"/>
      <c r="H155" s="571"/>
      <c r="I155" s="571"/>
      <c r="J155" s="571"/>
      <c r="K155" s="571"/>
      <c r="L155" s="571"/>
      <c r="M155" s="571"/>
      <c r="N155" s="572"/>
      <c r="O155" s="573"/>
      <c r="P155" s="573"/>
      <c r="Q155" s="573"/>
      <c r="R155" s="2341">
        <f>'UNOS_POREZNI BILANS'!R140</f>
        <v>0</v>
      </c>
      <c r="S155" s="2342"/>
      <c r="T155" s="2342"/>
      <c r="U155" s="2342"/>
      <c r="V155" s="2342"/>
      <c r="W155" s="2342"/>
      <c r="X155" s="2343"/>
    </row>
    <row r="156" spans="2:24" ht="15.75" customHeight="1">
      <c r="B156" s="1342"/>
      <c r="C156" s="1382" t="s">
        <v>1287</v>
      </c>
      <c r="D156" s="578" t="s">
        <v>1288</v>
      </c>
      <c r="E156" s="579"/>
      <c r="F156" s="579"/>
      <c r="G156" s="579"/>
      <c r="H156" s="579"/>
      <c r="I156" s="579"/>
      <c r="J156" s="579"/>
      <c r="K156" s="579"/>
      <c r="L156" s="579"/>
      <c r="M156" s="579"/>
      <c r="N156" s="580"/>
      <c r="O156" s="1344"/>
      <c r="P156" s="1344"/>
      <c r="Q156" s="1344"/>
      <c r="R156" s="2352">
        <f>'UNOS_POREZNI BILANS'!R141</f>
        <v>0</v>
      </c>
      <c r="S156" s="2353"/>
      <c r="T156" s="2353"/>
      <c r="U156" s="2353"/>
      <c r="V156" s="2353"/>
      <c r="W156" s="2353"/>
      <c r="X156" s="2354"/>
    </row>
    <row r="157" spans="2:24" ht="15.75" customHeight="1">
      <c r="B157" s="1343"/>
      <c r="C157" s="1383"/>
      <c r="D157" s="581" t="s">
        <v>1289</v>
      </c>
      <c r="E157" s="582"/>
      <c r="F157" s="582"/>
      <c r="G157" s="582"/>
      <c r="H157" s="582"/>
      <c r="I157" s="582"/>
      <c r="J157" s="582"/>
      <c r="K157" s="582"/>
      <c r="L157" s="582"/>
      <c r="M157" s="582"/>
      <c r="N157" s="583"/>
      <c r="O157" s="1345"/>
      <c r="P157" s="1345"/>
      <c r="Q157" s="1345"/>
      <c r="R157" s="2358"/>
      <c r="S157" s="2359"/>
      <c r="T157" s="2359"/>
      <c r="U157" s="2359"/>
      <c r="V157" s="2359"/>
      <c r="W157" s="2359"/>
      <c r="X157" s="2360"/>
    </row>
    <row r="158" spans="2:24" ht="15.75" customHeight="1">
      <c r="B158" s="606"/>
      <c r="C158" s="598" t="s">
        <v>1290</v>
      </c>
      <c r="D158" s="570" t="s">
        <v>1291</v>
      </c>
      <c r="E158" s="571"/>
      <c r="F158" s="571"/>
      <c r="G158" s="571"/>
      <c r="H158" s="571"/>
      <c r="I158" s="571"/>
      <c r="J158" s="571"/>
      <c r="K158" s="571"/>
      <c r="L158" s="571"/>
      <c r="M158" s="571"/>
      <c r="N158" s="572"/>
      <c r="O158" s="573"/>
      <c r="P158" s="573"/>
      <c r="Q158" s="573"/>
      <c r="R158" s="2341">
        <f>'UNOS_POREZNI BILANS'!R143</f>
        <v>0</v>
      </c>
      <c r="S158" s="2342"/>
      <c r="T158" s="2342"/>
      <c r="U158" s="2342"/>
      <c r="V158" s="2342"/>
      <c r="W158" s="2342"/>
      <c r="X158" s="2343"/>
    </row>
    <row r="159" spans="2:24" ht="15.75" customHeight="1">
      <c r="B159" s="606"/>
      <c r="C159" s="598" t="s">
        <v>1292</v>
      </c>
      <c r="D159" s="570" t="s">
        <v>730</v>
      </c>
      <c r="E159" s="571"/>
      <c r="F159" s="571"/>
      <c r="G159" s="571"/>
      <c r="H159" s="571"/>
      <c r="I159" s="571"/>
      <c r="J159" s="571"/>
      <c r="K159" s="571"/>
      <c r="L159" s="571"/>
      <c r="M159" s="571"/>
      <c r="N159" s="572"/>
      <c r="O159" s="573"/>
      <c r="P159" s="573"/>
      <c r="Q159" s="573"/>
      <c r="R159" s="2341">
        <f>'UNOS_POREZNI BILANS'!R144</f>
        <v>0</v>
      </c>
      <c r="S159" s="2342"/>
      <c r="T159" s="2342"/>
      <c r="U159" s="2342"/>
      <c r="V159" s="2342"/>
      <c r="W159" s="2342"/>
      <c r="X159" s="2343"/>
    </row>
    <row r="160" spans="2:24" ht="15.75" customHeight="1">
      <c r="B160" s="606" t="s">
        <v>368</v>
      </c>
      <c r="C160" s="1361" t="s">
        <v>731</v>
      </c>
      <c r="D160" s="1362"/>
      <c r="E160" s="1362"/>
      <c r="F160" s="1362"/>
      <c r="G160" s="1362"/>
      <c r="H160" s="1362"/>
      <c r="I160" s="1362"/>
      <c r="J160" s="1362"/>
      <c r="K160" s="1362"/>
      <c r="L160" s="1362"/>
      <c r="M160" s="1362"/>
      <c r="N160" s="1363"/>
      <c r="O160" s="573">
        <v>0</v>
      </c>
      <c r="P160" s="573">
        <v>5</v>
      </c>
      <c r="Q160" s="573">
        <v>1</v>
      </c>
      <c r="R160" s="2341">
        <f>'UNOS_POREZNI BILANS'!R145</f>
        <v>0</v>
      </c>
      <c r="S160" s="2342"/>
      <c r="T160" s="2342"/>
      <c r="U160" s="2342"/>
      <c r="V160" s="2342"/>
      <c r="W160" s="2342"/>
      <c r="X160" s="2343"/>
    </row>
    <row r="161" spans="2:24" ht="15.75" customHeight="1">
      <c r="B161" s="606"/>
      <c r="C161" s="598" t="s">
        <v>1283</v>
      </c>
      <c r="D161" s="570" t="s">
        <v>732</v>
      </c>
      <c r="E161" s="571"/>
      <c r="F161" s="571"/>
      <c r="G161" s="571"/>
      <c r="H161" s="571"/>
      <c r="I161" s="571"/>
      <c r="J161" s="571"/>
      <c r="K161" s="571"/>
      <c r="L161" s="571"/>
      <c r="M161" s="571"/>
      <c r="N161" s="572"/>
      <c r="O161" s="573"/>
      <c r="P161" s="573"/>
      <c r="Q161" s="573"/>
      <c r="R161" s="2341">
        <f>'UNOS_POREZNI BILANS'!R146</f>
        <v>0</v>
      </c>
      <c r="S161" s="2342"/>
      <c r="T161" s="2342"/>
      <c r="U161" s="2342"/>
      <c r="V161" s="2342"/>
      <c r="W161" s="2342"/>
      <c r="X161" s="2343"/>
    </row>
    <row r="162" spans="2:24" ht="15.75" customHeight="1">
      <c r="B162" s="606"/>
      <c r="C162" s="598" t="s">
        <v>1285</v>
      </c>
      <c r="D162" s="570" t="s">
        <v>733</v>
      </c>
      <c r="E162" s="571"/>
      <c r="F162" s="571"/>
      <c r="G162" s="571"/>
      <c r="H162" s="571"/>
      <c r="I162" s="571"/>
      <c r="J162" s="571"/>
      <c r="K162" s="571"/>
      <c r="L162" s="571"/>
      <c r="M162" s="571"/>
      <c r="N162" s="572"/>
      <c r="O162" s="573"/>
      <c r="P162" s="573"/>
      <c r="Q162" s="573"/>
      <c r="R162" s="2341">
        <f>'UNOS_POREZNI BILANS'!R147</f>
        <v>0</v>
      </c>
      <c r="S162" s="2342"/>
      <c r="T162" s="2342"/>
      <c r="U162" s="2342"/>
      <c r="V162" s="2342"/>
      <c r="W162" s="2342"/>
      <c r="X162" s="2343"/>
    </row>
    <row r="163" spans="2:24" ht="15.75" customHeight="1">
      <c r="B163" s="606"/>
      <c r="C163" s="598" t="s">
        <v>734</v>
      </c>
      <c r="D163" s="570" t="s">
        <v>735</v>
      </c>
      <c r="E163" s="571"/>
      <c r="F163" s="571"/>
      <c r="G163" s="571"/>
      <c r="H163" s="571"/>
      <c r="I163" s="571"/>
      <c r="J163" s="571"/>
      <c r="K163" s="571"/>
      <c r="L163" s="571"/>
      <c r="M163" s="571"/>
      <c r="N163" s="572"/>
      <c r="O163" s="573"/>
      <c r="P163" s="573"/>
      <c r="Q163" s="573"/>
      <c r="R163" s="2341">
        <f>'UNOS_POREZNI BILANS'!R148</f>
        <v>0</v>
      </c>
      <c r="S163" s="2342"/>
      <c r="T163" s="2342"/>
      <c r="U163" s="2342"/>
      <c r="V163" s="2342"/>
      <c r="W163" s="2342"/>
      <c r="X163" s="2343"/>
    </row>
    <row r="164" spans="2:24" ht="15.75" customHeight="1">
      <c r="B164" s="606"/>
      <c r="C164" s="598" t="s">
        <v>1290</v>
      </c>
      <c r="D164" s="570" t="s">
        <v>736</v>
      </c>
      <c r="E164" s="571"/>
      <c r="F164" s="571"/>
      <c r="G164" s="571"/>
      <c r="H164" s="571"/>
      <c r="I164" s="571"/>
      <c r="J164" s="571"/>
      <c r="K164" s="571"/>
      <c r="L164" s="571"/>
      <c r="M164" s="571"/>
      <c r="N164" s="572"/>
      <c r="O164" s="573"/>
      <c r="P164" s="573"/>
      <c r="Q164" s="573"/>
      <c r="R164" s="2341">
        <f>'UNOS_POREZNI BILANS'!R149</f>
        <v>0</v>
      </c>
      <c r="S164" s="2342"/>
      <c r="T164" s="2342"/>
      <c r="U164" s="2342"/>
      <c r="V164" s="2342"/>
      <c r="W164" s="2342"/>
      <c r="X164" s="2343"/>
    </row>
    <row r="165" spans="2:24" ht="15.75" customHeight="1">
      <c r="B165" s="606"/>
      <c r="C165" s="598" t="s">
        <v>1292</v>
      </c>
      <c r="D165" s="570" t="s">
        <v>737</v>
      </c>
      <c r="E165" s="571"/>
      <c r="F165" s="571"/>
      <c r="G165" s="571"/>
      <c r="H165" s="571"/>
      <c r="I165" s="571"/>
      <c r="J165" s="571"/>
      <c r="K165" s="571"/>
      <c r="L165" s="571"/>
      <c r="M165" s="571"/>
      <c r="N165" s="572"/>
      <c r="O165" s="573"/>
      <c r="P165" s="573"/>
      <c r="Q165" s="573"/>
      <c r="R165" s="2341">
        <f>'UNOS_POREZNI BILANS'!R150</f>
        <v>0</v>
      </c>
      <c r="S165" s="2342"/>
      <c r="T165" s="2342"/>
      <c r="U165" s="2342"/>
      <c r="V165" s="2342"/>
      <c r="W165" s="2342"/>
      <c r="X165" s="2343"/>
    </row>
    <row r="166" spans="2:24" ht="15.75" customHeight="1">
      <c r="B166" s="606" t="s">
        <v>369</v>
      </c>
      <c r="C166" s="1361" t="s">
        <v>738</v>
      </c>
      <c r="D166" s="1362"/>
      <c r="E166" s="1362"/>
      <c r="F166" s="1362"/>
      <c r="G166" s="1362"/>
      <c r="H166" s="1362"/>
      <c r="I166" s="1362"/>
      <c r="J166" s="1362"/>
      <c r="K166" s="1362"/>
      <c r="L166" s="1362"/>
      <c r="M166" s="1362"/>
      <c r="N166" s="1363"/>
      <c r="O166" s="573">
        <v>0</v>
      </c>
      <c r="P166" s="573">
        <v>5</v>
      </c>
      <c r="Q166" s="573">
        <v>2</v>
      </c>
      <c r="R166" s="2341">
        <f>'UNOS_POREZNI BILANS'!R151</f>
        <v>0</v>
      </c>
      <c r="S166" s="2342"/>
      <c r="T166" s="2342"/>
      <c r="U166" s="2342"/>
      <c r="V166" s="2342"/>
      <c r="W166" s="2342"/>
      <c r="X166" s="2343"/>
    </row>
    <row r="167" spans="2:24" ht="15.75" customHeight="1">
      <c r="B167" s="606"/>
      <c r="C167" s="598" t="s">
        <v>1283</v>
      </c>
      <c r="D167" s="570" t="s">
        <v>455</v>
      </c>
      <c r="E167" s="571"/>
      <c r="F167" s="571"/>
      <c r="G167" s="571"/>
      <c r="H167" s="571"/>
      <c r="I167" s="571"/>
      <c r="J167" s="571"/>
      <c r="K167" s="571"/>
      <c r="L167" s="571"/>
      <c r="M167" s="571"/>
      <c r="N167" s="572"/>
      <c r="O167" s="573"/>
      <c r="P167" s="573"/>
      <c r="Q167" s="573"/>
      <c r="R167" s="2341">
        <f>'UNOS_POREZNI BILANS'!R152</f>
        <v>0</v>
      </c>
      <c r="S167" s="2342"/>
      <c r="T167" s="2342"/>
      <c r="U167" s="2342"/>
      <c r="V167" s="2342"/>
      <c r="W167" s="2342"/>
      <c r="X167" s="2343"/>
    </row>
    <row r="168" spans="2:24" ht="15.75" customHeight="1">
      <c r="B168" s="606"/>
      <c r="C168" s="598" t="s">
        <v>1285</v>
      </c>
      <c r="D168" s="570" t="s">
        <v>456</v>
      </c>
      <c r="E168" s="571"/>
      <c r="F168" s="571"/>
      <c r="G168" s="571"/>
      <c r="H168" s="571"/>
      <c r="I168" s="571"/>
      <c r="J168" s="571"/>
      <c r="K168" s="571"/>
      <c r="L168" s="571"/>
      <c r="M168" s="571"/>
      <c r="N168" s="572"/>
      <c r="O168" s="573"/>
      <c r="P168" s="573"/>
      <c r="Q168" s="573"/>
      <c r="R168" s="2341">
        <f>'UNOS_POREZNI BILANS'!R153</f>
        <v>0</v>
      </c>
      <c r="S168" s="2342"/>
      <c r="T168" s="2342"/>
      <c r="U168" s="2342"/>
      <c r="V168" s="2342"/>
      <c r="W168" s="2342"/>
      <c r="X168" s="2343"/>
    </row>
    <row r="169" spans="2:24" ht="15.75" customHeight="1">
      <c r="B169" s="606"/>
      <c r="C169" s="598" t="s">
        <v>1287</v>
      </c>
      <c r="D169" s="570" t="s">
        <v>457</v>
      </c>
      <c r="E169" s="571"/>
      <c r="F169" s="571"/>
      <c r="G169" s="571"/>
      <c r="H169" s="571"/>
      <c r="I169" s="571"/>
      <c r="J169" s="571"/>
      <c r="K169" s="571"/>
      <c r="L169" s="571"/>
      <c r="M169" s="571"/>
      <c r="N169" s="572"/>
      <c r="O169" s="573"/>
      <c r="P169" s="573"/>
      <c r="Q169" s="573"/>
      <c r="R169" s="2341">
        <f>'UNOS_POREZNI BILANS'!R154</f>
        <v>0</v>
      </c>
      <c r="S169" s="2342"/>
      <c r="T169" s="2342"/>
      <c r="U169" s="2342"/>
      <c r="V169" s="2342"/>
      <c r="W169" s="2342"/>
      <c r="X169" s="2343"/>
    </row>
    <row r="170" spans="2:24" ht="15.75" customHeight="1" thickBot="1">
      <c r="B170" s="609" t="s">
        <v>370</v>
      </c>
      <c r="C170" s="1350" t="s">
        <v>458</v>
      </c>
      <c r="D170" s="1351"/>
      <c r="E170" s="1351"/>
      <c r="F170" s="1351"/>
      <c r="G170" s="1351"/>
      <c r="H170" s="1351"/>
      <c r="I170" s="1351"/>
      <c r="J170" s="1351"/>
      <c r="K170" s="1351"/>
      <c r="L170" s="1351"/>
      <c r="M170" s="1351"/>
      <c r="N170" s="1352"/>
      <c r="O170" s="610">
        <v>0</v>
      </c>
      <c r="P170" s="610">
        <v>5</v>
      </c>
      <c r="Q170" s="610">
        <v>3</v>
      </c>
      <c r="R170" s="2344">
        <f>'UNOS_POREZNI BILANS'!R155</f>
        <v>0</v>
      </c>
      <c r="S170" s="2345"/>
      <c r="T170" s="2345"/>
      <c r="U170" s="2345"/>
      <c r="V170" s="2345"/>
      <c r="W170" s="2345"/>
      <c r="X170" s="2346"/>
    </row>
    <row r="172" spans="2:24" ht="15.75" customHeight="1">
      <c r="X172" s="569">
        <v>3</v>
      </c>
    </row>
    <row r="173" spans="2:24" ht="18.75" customHeight="1" thickBot="1"/>
    <row r="174" spans="2:24" ht="33" customHeight="1">
      <c r="B174" s="599" t="s">
        <v>1260</v>
      </c>
      <c r="C174" s="600"/>
      <c r="D174" s="601"/>
      <c r="E174" s="601"/>
      <c r="F174" s="601"/>
      <c r="G174" s="601"/>
      <c r="H174" s="602" t="s">
        <v>2272</v>
      </c>
      <c r="I174" s="601"/>
      <c r="J174" s="601"/>
      <c r="K174" s="601"/>
      <c r="L174" s="601"/>
      <c r="M174" s="601"/>
      <c r="N174" s="603"/>
      <c r="O174" s="2335" t="s">
        <v>320</v>
      </c>
      <c r="P174" s="2336"/>
      <c r="Q174" s="2337"/>
      <c r="R174" s="2350" t="s">
        <v>1491</v>
      </c>
      <c r="S174" s="2350"/>
      <c r="T174" s="2350"/>
      <c r="U174" s="2350"/>
      <c r="V174" s="2350"/>
      <c r="W174" s="2350"/>
      <c r="X174" s="2351"/>
    </row>
    <row r="175" spans="2:24" s="440" customFormat="1" ht="15.75" customHeight="1">
      <c r="B175" s="604"/>
      <c r="C175" s="585" t="s">
        <v>459</v>
      </c>
      <c r="D175" s="568"/>
      <c r="E175" s="568"/>
      <c r="F175" s="568"/>
      <c r="G175" s="568"/>
      <c r="H175" s="568"/>
      <c r="I175" s="568"/>
      <c r="J175" s="568"/>
      <c r="K175" s="568"/>
      <c r="L175" s="568"/>
      <c r="M175" s="568"/>
      <c r="N175" s="586"/>
      <c r="O175" s="584"/>
      <c r="P175" s="584"/>
      <c r="Q175" s="584"/>
      <c r="R175" s="2347"/>
      <c r="S175" s="2348"/>
      <c r="T175" s="2348"/>
      <c r="U175" s="2348"/>
      <c r="V175" s="2348"/>
      <c r="W175" s="2348"/>
      <c r="X175" s="2349"/>
    </row>
    <row r="176" spans="2:24" ht="14.25" customHeight="1">
      <c r="B176" s="1342" t="s">
        <v>372</v>
      </c>
      <c r="C176" s="578" t="s">
        <v>460</v>
      </c>
      <c r="D176" s="579"/>
      <c r="E176" s="579"/>
      <c r="F176" s="579"/>
      <c r="G176" s="579"/>
      <c r="H176" s="579"/>
      <c r="I176" s="579"/>
      <c r="J176" s="579"/>
      <c r="K176" s="579"/>
      <c r="L176" s="579"/>
      <c r="M176" s="579"/>
      <c r="N176" s="580"/>
      <c r="O176" s="1348">
        <v>0</v>
      </c>
      <c r="P176" s="1348">
        <v>5</v>
      </c>
      <c r="Q176" s="1344">
        <v>4</v>
      </c>
      <c r="R176" s="2329">
        <f>'UNOS_POREZNI BILANS'!R157</f>
        <v>0</v>
      </c>
      <c r="S176" s="2330"/>
      <c r="T176" s="2330"/>
      <c r="U176" s="2330"/>
      <c r="V176" s="2330"/>
      <c r="W176" s="2330"/>
      <c r="X176" s="2331"/>
    </row>
    <row r="177" spans="2:24" ht="14.25" customHeight="1">
      <c r="B177" s="1343"/>
      <c r="C177" s="581" t="s">
        <v>2429</v>
      </c>
      <c r="D177" s="582"/>
      <c r="E177" s="582"/>
      <c r="F177" s="582"/>
      <c r="G177" s="582"/>
      <c r="H177" s="582"/>
      <c r="I177" s="582"/>
      <c r="J177" s="582"/>
      <c r="K177" s="582"/>
      <c r="L177" s="582"/>
      <c r="M177" s="582"/>
      <c r="N177" s="583"/>
      <c r="O177" s="1349"/>
      <c r="P177" s="1349"/>
      <c r="Q177" s="1345"/>
      <c r="R177" s="2338"/>
      <c r="S177" s="2339"/>
      <c r="T177" s="2339"/>
      <c r="U177" s="2339"/>
      <c r="V177" s="2339"/>
      <c r="W177" s="2339"/>
      <c r="X177" s="2340"/>
    </row>
    <row r="178" spans="2:24" ht="15.75" customHeight="1">
      <c r="B178" s="1342" t="s">
        <v>373</v>
      </c>
      <c r="C178" s="578" t="s">
        <v>2430</v>
      </c>
      <c r="D178" s="579"/>
      <c r="E178" s="579"/>
      <c r="F178" s="579"/>
      <c r="G178" s="579"/>
      <c r="H178" s="579"/>
      <c r="I178" s="579"/>
      <c r="J178" s="579"/>
      <c r="K178" s="579"/>
      <c r="L178" s="579"/>
      <c r="M178" s="579"/>
      <c r="N178" s="580"/>
      <c r="O178" s="1348">
        <v>0</v>
      </c>
      <c r="P178" s="1348">
        <v>5</v>
      </c>
      <c r="Q178" s="1344">
        <v>5</v>
      </c>
      <c r="R178" s="2329">
        <f>'UNOS_POREZNI BILANS'!R159</f>
        <v>0</v>
      </c>
      <c r="S178" s="2330"/>
      <c r="T178" s="2330"/>
      <c r="U178" s="2330"/>
      <c r="V178" s="2330"/>
      <c r="W178" s="2330"/>
      <c r="X178" s="2331"/>
    </row>
    <row r="179" spans="2:24" ht="15.75" customHeight="1">
      <c r="B179" s="1343"/>
      <c r="C179" s="581" t="s">
        <v>2431</v>
      </c>
      <c r="D179" s="582"/>
      <c r="E179" s="582"/>
      <c r="F179" s="582"/>
      <c r="G179" s="582"/>
      <c r="H179" s="582"/>
      <c r="I179" s="582"/>
      <c r="J179" s="582"/>
      <c r="K179" s="582"/>
      <c r="L179" s="582"/>
      <c r="M179" s="582"/>
      <c r="N179" s="583"/>
      <c r="O179" s="1349"/>
      <c r="P179" s="1349"/>
      <c r="Q179" s="1345"/>
      <c r="R179" s="2338"/>
      <c r="S179" s="2339"/>
      <c r="T179" s="2339"/>
      <c r="U179" s="2339"/>
      <c r="V179" s="2339"/>
      <c r="W179" s="2339"/>
      <c r="X179" s="2340"/>
    </row>
    <row r="180" spans="2:24" ht="15.75" customHeight="1">
      <c r="B180" s="606" t="s">
        <v>375</v>
      </c>
      <c r="C180" s="1361" t="s">
        <v>857</v>
      </c>
      <c r="D180" s="1362"/>
      <c r="E180" s="1362"/>
      <c r="F180" s="1362"/>
      <c r="G180" s="1362"/>
      <c r="H180" s="1362"/>
      <c r="I180" s="1362"/>
      <c r="J180" s="1362"/>
      <c r="K180" s="1362"/>
      <c r="L180" s="1362"/>
      <c r="M180" s="1362"/>
      <c r="N180" s="1363"/>
      <c r="O180" s="573">
        <v>0</v>
      </c>
      <c r="P180" s="573">
        <v>5</v>
      </c>
      <c r="Q180" s="573">
        <v>6</v>
      </c>
      <c r="R180" s="2326">
        <f>'UNOS_POREZNI BILANS'!R161</f>
        <v>0</v>
      </c>
      <c r="S180" s="2327"/>
      <c r="T180" s="2327"/>
      <c r="U180" s="2327"/>
      <c r="V180" s="2327"/>
      <c r="W180" s="2327"/>
      <c r="X180" s="2328"/>
    </row>
    <row r="181" spans="2:24" ht="15.75" customHeight="1">
      <c r="B181" s="606" t="s">
        <v>1225</v>
      </c>
      <c r="C181" s="1337" t="s">
        <v>2433</v>
      </c>
      <c r="D181" s="1338"/>
      <c r="E181" s="1338"/>
      <c r="F181" s="1338"/>
      <c r="G181" s="1338"/>
      <c r="H181" s="1338"/>
      <c r="I181" s="1338"/>
      <c r="J181" s="1338"/>
      <c r="K181" s="1338"/>
      <c r="L181" s="1338"/>
      <c r="M181" s="1338"/>
      <c r="N181" s="1339"/>
      <c r="O181" s="573">
        <v>0</v>
      </c>
      <c r="P181" s="573">
        <v>5</v>
      </c>
      <c r="Q181" s="573">
        <v>7</v>
      </c>
      <c r="R181" s="2326">
        <f>'UNOS_POREZNI BILANS'!R162</f>
        <v>0</v>
      </c>
      <c r="S181" s="2327"/>
      <c r="T181" s="2327"/>
      <c r="U181" s="2327"/>
      <c r="V181" s="2327"/>
      <c r="W181" s="2327"/>
      <c r="X181" s="2328"/>
    </row>
    <row r="182" spans="2:24" ht="15.75" customHeight="1">
      <c r="B182" s="606" t="s">
        <v>1226</v>
      </c>
      <c r="C182" s="1337" t="s">
        <v>2434</v>
      </c>
      <c r="D182" s="1338"/>
      <c r="E182" s="1338"/>
      <c r="F182" s="1338"/>
      <c r="G182" s="1338"/>
      <c r="H182" s="1338"/>
      <c r="I182" s="1338"/>
      <c r="J182" s="1338"/>
      <c r="K182" s="1338"/>
      <c r="L182" s="1338"/>
      <c r="M182" s="1338"/>
      <c r="N182" s="1339"/>
      <c r="O182" s="573">
        <v>0</v>
      </c>
      <c r="P182" s="573">
        <v>5</v>
      </c>
      <c r="Q182" s="573">
        <v>8</v>
      </c>
      <c r="R182" s="2326">
        <f>'UNOS_POREZNI BILANS'!R163</f>
        <v>0</v>
      </c>
      <c r="S182" s="2327"/>
      <c r="T182" s="2327"/>
      <c r="U182" s="2327"/>
      <c r="V182" s="2327"/>
      <c r="W182" s="2327"/>
      <c r="X182" s="2328"/>
    </row>
    <row r="183" spans="2:24" ht="15.75" customHeight="1">
      <c r="B183" s="1342" t="s">
        <v>1227</v>
      </c>
      <c r="C183" s="1365" t="s">
        <v>2435</v>
      </c>
      <c r="D183" s="1366"/>
      <c r="E183" s="1366"/>
      <c r="F183" s="1366"/>
      <c r="G183" s="1366"/>
      <c r="H183" s="1366"/>
      <c r="I183" s="1366"/>
      <c r="J183" s="1366"/>
      <c r="K183" s="1366"/>
      <c r="L183" s="1366"/>
      <c r="M183" s="1366"/>
      <c r="N183" s="1367"/>
      <c r="O183" s="1344">
        <v>0</v>
      </c>
      <c r="P183" s="1344">
        <v>5</v>
      </c>
      <c r="Q183" s="1344">
        <v>9</v>
      </c>
      <c r="R183" s="2329">
        <f>'UNOS_POREZNI BILANS'!R164</f>
        <v>0</v>
      </c>
      <c r="S183" s="2330"/>
      <c r="T183" s="2330"/>
      <c r="U183" s="2330"/>
      <c r="V183" s="2330"/>
      <c r="W183" s="2330"/>
      <c r="X183" s="2331"/>
    </row>
    <row r="184" spans="2:24" ht="15.75" customHeight="1" thickBot="1">
      <c r="B184" s="1364"/>
      <c r="C184" s="1375" t="s">
        <v>2436</v>
      </c>
      <c r="D184" s="1376"/>
      <c r="E184" s="1376"/>
      <c r="F184" s="1376"/>
      <c r="G184" s="1376"/>
      <c r="H184" s="1376"/>
      <c r="I184" s="1376"/>
      <c r="J184" s="1376"/>
      <c r="K184" s="1376"/>
      <c r="L184" s="1376"/>
      <c r="M184" s="1376"/>
      <c r="N184" s="1377"/>
      <c r="O184" s="1368"/>
      <c r="P184" s="1368"/>
      <c r="Q184" s="1368"/>
      <c r="R184" s="2332"/>
      <c r="S184" s="2333"/>
      <c r="T184" s="2333"/>
      <c r="U184" s="2333"/>
      <c r="V184" s="2333"/>
      <c r="W184" s="2333"/>
      <c r="X184" s="2334"/>
    </row>
    <row r="188" spans="2:24" ht="15.75" customHeight="1">
      <c r="R188" s="569" t="s">
        <v>686</v>
      </c>
    </row>
    <row r="190" spans="2:24" ht="15.75" customHeight="1">
      <c r="B190" s="594" t="s">
        <v>2437</v>
      </c>
      <c r="C190" s="1090">
        <f>FirmaSjediste</f>
        <v>0</v>
      </c>
      <c r="D190" s="582"/>
      <c r="E190" s="582"/>
      <c r="F190" s="582"/>
      <c r="G190" s="582"/>
      <c r="H190" s="582"/>
      <c r="I190" s="582"/>
      <c r="J190" s="582"/>
    </row>
    <row r="192" spans="2:24" ht="15.75" customHeight="1">
      <c r="C192" s="594" t="s">
        <v>2438</v>
      </c>
      <c r="D192" s="1090" t="str">
        <f>ObracunPredaja</f>
        <v>28.2.2012.</v>
      </c>
      <c r="E192" s="582"/>
      <c r="F192" s="582"/>
      <c r="G192" s="582" t="s">
        <v>2268</v>
      </c>
      <c r="H192" s="582"/>
      <c r="I192" s="582"/>
      <c r="J192" s="582"/>
      <c r="L192" s="569" t="s">
        <v>2439</v>
      </c>
      <c r="V192" s="575" t="s">
        <v>845</v>
      </c>
    </row>
    <row r="193" spans="3:24" ht="15.75" customHeight="1">
      <c r="N193" s="575">
        <f>RacunovodjaIme</f>
        <v>0</v>
      </c>
      <c r="V193" s="575">
        <f>FirmaDirekor</f>
        <v>0</v>
      </c>
      <c r="W193" s="575"/>
    </row>
    <row r="195" spans="3:24" ht="15.75" customHeight="1">
      <c r="L195" s="582"/>
      <c r="M195" s="582"/>
      <c r="N195" s="582"/>
      <c r="O195" s="595"/>
      <c r="P195" s="595"/>
      <c r="T195" s="582"/>
      <c r="U195" s="582"/>
      <c r="V195" s="582"/>
      <c r="W195" s="582"/>
      <c r="X195" s="582"/>
    </row>
    <row r="198" spans="3:24" ht="15.75" customHeight="1">
      <c r="C198" s="569" t="s">
        <v>2440</v>
      </c>
    </row>
    <row r="223" spans="24:24" ht="15.75" customHeight="1">
      <c r="X223" s="569">
        <v>4</v>
      </c>
    </row>
  </sheetData>
  <sheetProtection formatCells="0" formatColumns="0" formatRows="0" insertColumns="0" insertRows="0" insertHyperlinks="0" deleteColumns="0" deleteRows="0" sort="0" autoFilter="0" pivotTables="0"/>
  <mergeCells count="300">
    <mergeCell ref="R130:X131"/>
    <mergeCell ref="R124:X126"/>
    <mergeCell ref="B127:B129"/>
    <mergeCell ref="O127:O129"/>
    <mergeCell ref="P127:P129"/>
    <mergeCell ref="R119:X119"/>
    <mergeCell ref="Q127:Q129"/>
    <mergeCell ref="R120:X120"/>
    <mergeCell ref="R127:X129"/>
    <mergeCell ref="B124:B126"/>
    <mergeCell ref="O124:O126"/>
    <mergeCell ref="P124:P126"/>
    <mergeCell ref="Q124:Q126"/>
    <mergeCell ref="O119:Q119"/>
    <mergeCell ref="O105:O107"/>
    <mergeCell ref="P105:P107"/>
    <mergeCell ref="Q105:Q107"/>
    <mergeCell ref="R111:X112"/>
    <mergeCell ref="B115:B116"/>
    <mergeCell ref="O115:O116"/>
    <mergeCell ref="P115:P116"/>
    <mergeCell ref="Q115:Q116"/>
    <mergeCell ref="R115:X116"/>
    <mergeCell ref="R113:X114"/>
    <mergeCell ref="O113:O114"/>
    <mergeCell ref="B113:B114"/>
    <mergeCell ref="P113:P114"/>
    <mergeCell ref="Q113:Q114"/>
    <mergeCell ref="R102:X102"/>
    <mergeCell ref="R103:X104"/>
    <mergeCell ref="B121:B123"/>
    <mergeCell ref="O121:O123"/>
    <mergeCell ref="P121:P123"/>
    <mergeCell ref="Q121:Q123"/>
    <mergeCell ref="R121:X123"/>
    <mergeCell ref="B100:B101"/>
    <mergeCell ref="O100:O101"/>
    <mergeCell ref="B103:B104"/>
    <mergeCell ref="O103:O104"/>
    <mergeCell ref="P103:P104"/>
    <mergeCell ref="Q103:Q104"/>
    <mergeCell ref="B111:B112"/>
    <mergeCell ref="O111:O112"/>
    <mergeCell ref="P111:P112"/>
    <mergeCell ref="Q111:Q112"/>
    <mergeCell ref="R105:X107"/>
    <mergeCell ref="B108:B110"/>
    <mergeCell ref="O108:O110"/>
    <mergeCell ref="P108:P110"/>
    <mergeCell ref="Q108:Q110"/>
    <mergeCell ref="R108:X110"/>
    <mergeCell ref="B105:B107"/>
    <mergeCell ref="P100:P101"/>
    <mergeCell ref="Q100:Q101"/>
    <mergeCell ref="R10:X10"/>
    <mergeCell ref="R11:X11"/>
    <mergeCell ref="R98:X99"/>
    <mergeCell ref="R25:X29"/>
    <mergeCell ref="R22:X24"/>
    <mergeCell ref="R21:X21"/>
    <mergeCell ref="R14:X14"/>
    <mergeCell ref="R100:X101"/>
    <mergeCell ref="Q84:Q86"/>
    <mergeCell ref="R87:X89"/>
    <mergeCell ref="R80:X83"/>
    <mergeCell ref="R84:X86"/>
    <mergeCell ref="Q87:Q89"/>
    <mergeCell ref="Q70:Q71"/>
    <mergeCell ref="R70:X71"/>
    <mergeCell ref="R72:X73"/>
    <mergeCell ref="R68:X69"/>
    <mergeCell ref="R61:X61"/>
    <mergeCell ref="R57:X58"/>
    <mergeCell ref="R19:X20"/>
    <mergeCell ref="R52:X54"/>
    <mergeCell ref="R55:X56"/>
    <mergeCell ref="B98:B99"/>
    <mergeCell ref="O98:O99"/>
    <mergeCell ref="P98:P99"/>
    <mergeCell ref="Q98:Q99"/>
    <mergeCell ref="B96:B97"/>
    <mergeCell ref="O96:O97"/>
    <mergeCell ref="P96:P97"/>
    <mergeCell ref="Q96:Q97"/>
    <mergeCell ref="R96:X97"/>
    <mergeCell ref="B90:B92"/>
    <mergeCell ref="O90:O92"/>
    <mergeCell ref="P90:P92"/>
    <mergeCell ref="Q90:Q92"/>
    <mergeCell ref="B87:B89"/>
    <mergeCell ref="O87:O89"/>
    <mergeCell ref="P87:P89"/>
    <mergeCell ref="R34:X37"/>
    <mergeCell ref="B93:B95"/>
    <mergeCell ref="O93:O95"/>
    <mergeCell ref="P93:P95"/>
    <mergeCell ref="Q93:Q95"/>
    <mergeCell ref="R93:X95"/>
    <mergeCell ref="R38:X39"/>
    <mergeCell ref="R40:X41"/>
    <mergeCell ref="R90:X92"/>
    <mergeCell ref="R42:X44"/>
    <mergeCell ref="B80:B83"/>
    <mergeCell ref="O80:O83"/>
    <mergeCell ref="P80:P83"/>
    <mergeCell ref="Q80:Q83"/>
    <mergeCell ref="B84:B86"/>
    <mergeCell ref="O84:O86"/>
    <mergeCell ref="P84:P86"/>
    <mergeCell ref="B77:B79"/>
    <mergeCell ref="O77:O79"/>
    <mergeCell ref="P77:P79"/>
    <mergeCell ref="Q77:Q79"/>
    <mergeCell ref="R77:X79"/>
    <mergeCell ref="B74:B76"/>
    <mergeCell ref="O74:O76"/>
    <mergeCell ref="P74:P76"/>
    <mergeCell ref="Q74:Q76"/>
    <mergeCell ref="R74:X76"/>
    <mergeCell ref="H3:R3"/>
    <mergeCell ref="H4:R4"/>
    <mergeCell ref="H5:R5"/>
    <mergeCell ref="B17:B18"/>
    <mergeCell ref="O17:O18"/>
    <mergeCell ref="P17:P18"/>
    <mergeCell ref="Q17:Q18"/>
    <mergeCell ref="R17:X18"/>
    <mergeCell ref="M8:N8"/>
    <mergeCell ref="B12:B13"/>
    <mergeCell ref="O12:O13"/>
    <mergeCell ref="P12:P13"/>
    <mergeCell ref="Q12:Q13"/>
    <mergeCell ref="R12:X13"/>
    <mergeCell ref="R16:X16"/>
    <mergeCell ref="S15:X15"/>
    <mergeCell ref="O8:P8"/>
    <mergeCell ref="J8:K8"/>
    <mergeCell ref="O10:Q10"/>
    <mergeCell ref="R64:X67"/>
    <mergeCell ref="R51:X51"/>
    <mergeCell ref="Q57:Q58"/>
    <mergeCell ref="B55:B56"/>
    <mergeCell ref="O55:O56"/>
    <mergeCell ref="P55:P56"/>
    <mergeCell ref="B64:B67"/>
    <mergeCell ref="O64:O67"/>
    <mergeCell ref="P64:P67"/>
    <mergeCell ref="O61:Q61"/>
    <mergeCell ref="Q62:Q63"/>
    <mergeCell ref="B57:B58"/>
    <mergeCell ref="O57:O58"/>
    <mergeCell ref="P57:P58"/>
    <mergeCell ref="Q55:Q56"/>
    <mergeCell ref="B62:B63"/>
    <mergeCell ref="O62:O63"/>
    <mergeCell ref="P62:P63"/>
    <mergeCell ref="Q64:Q67"/>
    <mergeCell ref="R45:X47"/>
    <mergeCell ref="R62:X63"/>
    <mergeCell ref="R48:X50"/>
    <mergeCell ref="P19:P20"/>
    <mergeCell ref="Q19:Q20"/>
    <mergeCell ref="B19:B20"/>
    <mergeCell ref="O19:O20"/>
    <mergeCell ref="R30:X33"/>
    <mergeCell ref="B22:B24"/>
    <mergeCell ref="O22:O24"/>
    <mergeCell ref="B30:B33"/>
    <mergeCell ref="P48:P50"/>
    <mergeCell ref="Q48:Q50"/>
    <mergeCell ref="B52:B54"/>
    <mergeCell ref="O52:O54"/>
    <mergeCell ref="O45:O47"/>
    <mergeCell ref="P45:P47"/>
    <mergeCell ref="P52:P54"/>
    <mergeCell ref="Q45:Q47"/>
    <mergeCell ref="B42:B44"/>
    <mergeCell ref="O42:O44"/>
    <mergeCell ref="P42:P44"/>
    <mergeCell ref="Q42:Q44"/>
    <mergeCell ref="Q52:Q54"/>
    <mergeCell ref="B45:B47"/>
    <mergeCell ref="B48:B50"/>
    <mergeCell ref="O48:O50"/>
    <mergeCell ref="P40:P41"/>
    <mergeCell ref="Q40:Q41"/>
    <mergeCell ref="Q38:Q39"/>
    <mergeCell ref="Q30:Q33"/>
    <mergeCell ref="B34:B37"/>
    <mergeCell ref="O34:O37"/>
    <mergeCell ref="P34:P37"/>
    <mergeCell ref="Q34:Q37"/>
    <mergeCell ref="B40:B41"/>
    <mergeCell ref="O40:O41"/>
    <mergeCell ref="P22:P24"/>
    <mergeCell ref="O30:O33"/>
    <mergeCell ref="P30:P33"/>
    <mergeCell ref="Q22:Q24"/>
    <mergeCell ref="B25:B29"/>
    <mergeCell ref="O25:O29"/>
    <mergeCell ref="P25:P29"/>
    <mergeCell ref="Q25:Q29"/>
    <mergeCell ref="B38:B39"/>
    <mergeCell ref="O38:O39"/>
    <mergeCell ref="P38:P39"/>
    <mergeCell ref="P68:P69"/>
    <mergeCell ref="Q68:Q69"/>
    <mergeCell ref="B72:B73"/>
    <mergeCell ref="O72:O73"/>
    <mergeCell ref="P72:P73"/>
    <mergeCell ref="Q72:Q73"/>
    <mergeCell ref="B70:B71"/>
    <mergeCell ref="O70:O71"/>
    <mergeCell ref="P70:P71"/>
    <mergeCell ref="B68:B69"/>
    <mergeCell ref="O68:O69"/>
    <mergeCell ref="Q139:Q141"/>
    <mergeCell ref="R139:X141"/>
    <mergeCell ref="R132:X134"/>
    <mergeCell ref="B135:B137"/>
    <mergeCell ref="R153:X153"/>
    <mergeCell ref="R142:X143"/>
    <mergeCell ref="B144:B145"/>
    <mergeCell ref="O144:O145"/>
    <mergeCell ref="P144:P145"/>
    <mergeCell ref="Q144:Q145"/>
    <mergeCell ref="R135:X137"/>
    <mergeCell ref="B132:B134"/>
    <mergeCell ref="O132:O134"/>
    <mergeCell ref="P132:P134"/>
    <mergeCell ref="Q142:Q143"/>
    <mergeCell ref="Q132:Q134"/>
    <mergeCell ref="R138:X138"/>
    <mergeCell ref="B139:B141"/>
    <mergeCell ref="O139:O141"/>
    <mergeCell ref="P139:P141"/>
    <mergeCell ref="O135:O137"/>
    <mergeCell ref="P135:P137"/>
    <mergeCell ref="Q135:Q137"/>
    <mergeCell ref="R155:X155"/>
    <mergeCell ref="R146:X148"/>
    <mergeCell ref="R151:X151"/>
    <mergeCell ref="R152:X152"/>
    <mergeCell ref="R159:X159"/>
    <mergeCell ref="R160:X160"/>
    <mergeCell ref="R144:X145"/>
    <mergeCell ref="B142:B143"/>
    <mergeCell ref="O142:O143"/>
    <mergeCell ref="P142:P143"/>
    <mergeCell ref="R156:X157"/>
    <mergeCell ref="B146:B148"/>
    <mergeCell ref="O146:O148"/>
    <mergeCell ref="P146:P148"/>
    <mergeCell ref="Q146:Q148"/>
    <mergeCell ref="R154:X154"/>
    <mergeCell ref="R163:X163"/>
    <mergeCell ref="R164:X164"/>
    <mergeCell ref="R161:X161"/>
    <mergeCell ref="R162:X162"/>
    <mergeCell ref="R158:X158"/>
    <mergeCell ref="B156:B157"/>
    <mergeCell ref="C156:C157"/>
    <mergeCell ref="O156:O157"/>
    <mergeCell ref="P156:P157"/>
    <mergeCell ref="Q156:Q157"/>
    <mergeCell ref="C160:N160"/>
    <mergeCell ref="C170:N170"/>
    <mergeCell ref="O174:Q174"/>
    <mergeCell ref="R176:X177"/>
    <mergeCell ref="R178:X179"/>
    <mergeCell ref="R169:X169"/>
    <mergeCell ref="R170:X170"/>
    <mergeCell ref="R175:X175"/>
    <mergeCell ref="R165:X165"/>
    <mergeCell ref="R174:X174"/>
    <mergeCell ref="R166:X166"/>
    <mergeCell ref="R167:X167"/>
    <mergeCell ref="R168:X168"/>
    <mergeCell ref="C166:N166"/>
    <mergeCell ref="C180:N180"/>
    <mergeCell ref="R180:X180"/>
    <mergeCell ref="C181:N181"/>
    <mergeCell ref="R181:X181"/>
    <mergeCell ref="B178:B179"/>
    <mergeCell ref="O178:O179"/>
    <mergeCell ref="P178:P179"/>
    <mergeCell ref="Q178:Q179"/>
    <mergeCell ref="B176:B177"/>
    <mergeCell ref="O176:O177"/>
    <mergeCell ref="P176:P177"/>
    <mergeCell ref="Q176:Q177"/>
    <mergeCell ref="R182:X182"/>
    <mergeCell ref="C183:N183"/>
    <mergeCell ref="R183:X184"/>
    <mergeCell ref="B183:B184"/>
    <mergeCell ref="O183:O184"/>
    <mergeCell ref="P183:P184"/>
    <mergeCell ref="Q183:Q184"/>
    <mergeCell ref="C184:N184"/>
    <mergeCell ref="C182:N182"/>
  </mergeCells>
  <phoneticPr fontId="0" type="noConversion"/>
  <pageMargins left="0.77" right="0.27" top="0.49" bottom="0.4" header="0.3" footer="0.27"/>
  <pageSetup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0"/>
  </sheetPr>
  <dimension ref="A1:J24"/>
  <sheetViews>
    <sheetView showGridLines="0" workbookViewId="0">
      <selection activeCell="I14" sqref="I14"/>
    </sheetView>
  </sheetViews>
  <sheetFormatPr defaultRowHeight="15"/>
  <cols>
    <col min="1" max="1" width="9.140625" style="816"/>
    <col min="2" max="2" width="9.7109375" style="816" bestFit="1" customWidth="1"/>
    <col min="3" max="8" width="9.140625" style="816"/>
    <col min="9" max="9" width="13.42578125" style="816" customWidth="1"/>
    <col min="10" max="16384" width="9.140625" style="816"/>
  </cols>
  <sheetData>
    <row r="1" spans="1:10" s="815" customFormat="1" ht="15.75">
      <c r="A1" s="818">
        <f>FirmaNaziv</f>
        <v>0</v>
      </c>
    </row>
    <row r="2" spans="1:10" s="815" customFormat="1" ht="15.75">
      <c r="A2" s="818">
        <f>FirmaAdresa</f>
        <v>0</v>
      </c>
    </row>
    <row r="3" spans="1:10" s="815" customFormat="1" ht="15.75">
      <c r="A3" s="818" t="s">
        <v>1154</v>
      </c>
    </row>
    <row r="6" spans="1:10">
      <c r="A6" s="816" t="s">
        <v>2438</v>
      </c>
      <c r="B6" s="1091" t="str">
        <f>ObracunPredaja</f>
        <v>28.2.2012.</v>
      </c>
    </row>
    <row r="10" spans="1:10" s="815" customFormat="1" ht="15.75">
      <c r="A10" s="815" t="s">
        <v>1155</v>
      </c>
    </row>
    <row r="13" spans="1:10">
      <c r="B13" s="816" t="s">
        <v>1156</v>
      </c>
    </row>
    <row r="14" spans="1:10">
      <c r="A14" s="816" t="s">
        <v>2944</v>
      </c>
      <c r="I14" s="819">
        <f>'UNOS_POREZNI BILANS'!R164</f>
        <v>0</v>
      </c>
      <c r="J14" s="816" t="s">
        <v>327</v>
      </c>
    </row>
    <row r="15" spans="1:10">
      <c r="A15" s="816" t="s">
        <v>324</v>
      </c>
    </row>
    <row r="16" spans="1:10">
      <c r="A16" s="816" t="s">
        <v>325</v>
      </c>
    </row>
    <row r="20" spans="6:8">
      <c r="G20" s="820" t="s">
        <v>326</v>
      </c>
    </row>
    <row r="21" spans="6:8">
      <c r="G21" s="820" t="s">
        <v>845</v>
      </c>
    </row>
    <row r="22" spans="6:8">
      <c r="G22" s="820"/>
    </row>
    <row r="23" spans="6:8">
      <c r="F23" s="817"/>
      <c r="G23" s="821"/>
      <c r="H23" s="817"/>
    </row>
    <row r="24" spans="6:8">
      <c r="G24" s="820">
        <f>FirmaDirekor</f>
        <v>0</v>
      </c>
    </row>
  </sheetData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29"/>
  </sheetPr>
  <dimension ref="B1:Q42"/>
  <sheetViews>
    <sheetView showGridLines="0" topLeftCell="A34" workbookViewId="0">
      <selection activeCell="B5" sqref="B5:K5"/>
    </sheetView>
  </sheetViews>
  <sheetFormatPr defaultRowHeight="13.5" customHeight="1"/>
  <cols>
    <col min="1" max="1" width="1.42578125" style="627" customWidth="1"/>
    <col min="2" max="2" width="4.140625" style="627" customWidth="1"/>
    <col min="3" max="9" width="3.7109375" style="627" customWidth="1"/>
    <col min="10" max="10" width="4.5703125" style="627" customWidth="1"/>
    <col min="11" max="11" width="10.7109375" style="657" bestFit="1" customWidth="1"/>
    <col min="12" max="16" width="9.140625" style="657"/>
    <col min="17" max="17" width="11.42578125" style="657" customWidth="1"/>
    <col min="18" max="16384" width="9.140625" style="627"/>
  </cols>
  <sheetData>
    <row r="1" spans="2:17" ht="13.5" customHeight="1">
      <c r="B1" s="621" t="s">
        <v>1361</v>
      </c>
    </row>
    <row r="2" spans="2:17" ht="13.5" customHeight="1">
      <c r="B2" s="621" t="s">
        <v>1362</v>
      </c>
      <c r="P2" s="2398" t="s">
        <v>38</v>
      </c>
      <c r="Q2" s="2399"/>
    </row>
    <row r="3" spans="2:17" ht="13.5" customHeight="1">
      <c r="B3" s="621" t="s">
        <v>1363</v>
      </c>
    </row>
    <row r="4" spans="2:17" ht="15.75" customHeight="1">
      <c r="B4" s="628" t="s">
        <v>2441</v>
      </c>
      <c r="I4" s="2397" t="s">
        <v>148</v>
      </c>
      <c r="J4" s="2397"/>
      <c r="K4" s="2397"/>
    </row>
    <row r="5" spans="2:17" ht="16.5" customHeight="1">
      <c r="B5" s="2397">
        <f>FirmaSjediste</f>
        <v>0</v>
      </c>
      <c r="C5" s="2397"/>
      <c r="D5" s="2397"/>
      <c r="E5" s="2397"/>
      <c r="F5" s="2397"/>
      <c r="G5" s="2397"/>
      <c r="H5" s="2397"/>
      <c r="I5" s="2397"/>
      <c r="J5" s="2397"/>
      <c r="K5" s="2397"/>
    </row>
    <row r="6" spans="2:17" ht="13.5" customHeight="1">
      <c r="B6" s="675" t="s">
        <v>2442</v>
      </c>
      <c r="M6" s="755"/>
    </row>
    <row r="8" spans="2:17" ht="13.5" customHeight="1">
      <c r="L8" s="676" t="s">
        <v>39</v>
      </c>
    </row>
    <row r="9" spans="2:17" ht="13.5" customHeight="1">
      <c r="L9" s="677" t="s">
        <v>2039</v>
      </c>
    </row>
    <row r="10" spans="2:17" s="678" customFormat="1" ht="13.5" customHeight="1">
      <c r="K10" s="679" t="s">
        <v>2040</v>
      </c>
      <c r="L10" s="681" t="str">
        <f>ObracunDoDatuma</f>
        <v>31.12.</v>
      </c>
      <c r="M10" s="681" t="str">
        <f>ObracunGodina</f>
        <v>2011</v>
      </c>
      <c r="N10" s="680" t="s">
        <v>2268</v>
      </c>
      <c r="O10" s="680"/>
      <c r="P10" s="680"/>
      <c r="Q10" s="680"/>
    </row>
    <row r="12" spans="2:17" ht="13.5" customHeight="1">
      <c r="B12" s="2417" t="s">
        <v>25</v>
      </c>
      <c r="C12" s="2408" t="s">
        <v>2272</v>
      </c>
      <c r="D12" s="2409"/>
      <c r="E12" s="2409"/>
      <c r="F12" s="2409"/>
      <c r="G12" s="2409"/>
      <c r="H12" s="2409"/>
      <c r="I12" s="2409"/>
      <c r="J12" s="2410"/>
      <c r="K12" s="2398" t="s">
        <v>23</v>
      </c>
      <c r="L12" s="2404"/>
      <c r="M12" s="2404"/>
      <c r="N12" s="2404"/>
      <c r="O12" s="2404"/>
      <c r="P12" s="2399"/>
      <c r="Q12" s="2405" t="s">
        <v>24</v>
      </c>
    </row>
    <row r="13" spans="2:17" ht="13.5" customHeight="1">
      <c r="B13" s="2418"/>
      <c r="C13" s="2411"/>
      <c r="D13" s="2412"/>
      <c r="E13" s="2412"/>
      <c r="F13" s="2412"/>
      <c r="G13" s="2412"/>
      <c r="H13" s="2412"/>
      <c r="I13" s="2412"/>
      <c r="J13" s="2413"/>
      <c r="K13" s="659">
        <v>2006</v>
      </c>
      <c r="L13" s="659">
        <v>2007</v>
      </c>
      <c r="M13" s="659">
        <v>2008</v>
      </c>
      <c r="N13" s="659">
        <v>2009</v>
      </c>
      <c r="O13" s="659">
        <v>2010</v>
      </c>
      <c r="P13" s="661">
        <v>2011</v>
      </c>
      <c r="Q13" s="2406"/>
    </row>
    <row r="14" spans="2:17" ht="13.5" customHeight="1">
      <c r="B14" s="2419"/>
      <c r="C14" s="2414"/>
      <c r="D14" s="2415"/>
      <c r="E14" s="2415"/>
      <c r="F14" s="2415"/>
      <c r="G14" s="2415"/>
      <c r="H14" s="2415"/>
      <c r="I14" s="2415"/>
      <c r="J14" s="2416"/>
      <c r="K14" s="660" t="s">
        <v>17</v>
      </c>
      <c r="L14" s="660" t="s">
        <v>18</v>
      </c>
      <c r="M14" s="660" t="s">
        <v>19</v>
      </c>
      <c r="N14" s="660" t="s">
        <v>20</v>
      </c>
      <c r="O14" s="660" t="s">
        <v>21</v>
      </c>
      <c r="P14" s="662" t="s">
        <v>22</v>
      </c>
      <c r="Q14" s="2407"/>
    </row>
    <row r="15" spans="2:17" ht="17.25" customHeight="1">
      <c r="B15" s="667" t="s">
        <v>2046</v>
      </c>
      <c r="C15" s="664" t="s">
        <v>29</v>
      </c>
      <c r="D15" s="665"/>
      <c r="E15" s="665"/>
      <c r="F15" s="665"/>
      <c r="G15" s="2401">
        <f>K13</f>
        <v>2006</v>
      </c>
      <c r="H15" s="2401"/>
      <c r="I15" s="665" t="s">
        <v>26</v>
      </c>
      <c r="J15" s="666"/>
      <c r="K15" s="674">
        <v>0</v>
      </c>
      <c r="L15" s="674" t="s">
        <v>413</v>
      </c>
      <c r="M15" s="674" t="s">
        <v>2162</v>
      </c>
      <c r="N15" s="674" t="s">
        <v>2162</v>
      </c>
      <c r="O15" s="674" t="s">
        <v>413</v>
      </c>
      <c r="P15" s="674" t="s">
        <v>2162</v>
      </c>
      <c r="Q15" s="674" t="s">
        <v>2162</v>
      </c>
    </row>
    <row r="16" spans="2:17" ht="17.25" customHeight="1">
      <c r="B16" s="667" t="s">
        <v>2047</v>
      </c>
      <c r="C16" s="664" t="s">
        <v>27</v>
      </c>
      <c r="D16" s="665"/>
      <c r="E16" s="665"/>
      <c r="F16" s="665"/>
      <c r="G16" s="665"/>
      <c r="H16" s="665"/>
      <c r="I16" s="665"/>
      <c r="J16" s="666"/>
      <c r="K16" s="674" t="s">
        <v>2162</v>
      </c>
      <c r="L16" s="674">
        <v>0</v>
      </c>
      <c r="M16" s="674">
        <v>0</v>
      </c>
      <c r="N16" s="674">
        <v>0</v>
      </c>
      <c r="O16" s="674">
        <v>0</v>
      </c>
      <c r="P16" s="674">
        <v>0</v>
      </c>
      <c r="Q16" s="674">
        <f>SUM(L16:P16)</f>
        <v>0</v>
      </c>
    </row>
    <row r="17" spans="2:17" ht="17.25" customHeight="1">
      <c r="B17" s="667" t="s">
        <v>2048</v>
      </c>
      <c r="C17" s="664" t="s">
        <v>28</v>
      </c>
      <c r="D17" s="665"/>
      <c r="E17" s="665"/>
      <c r="F17" s="665"/>
      <c r="G17" s="665"/>
      <c r="H17" s="665"/>
      <c r="I17" s="665"/>
      <c r="J17" s="666"/>
      <c r="K17" s="674" t="s">
        <v>2162</v>
      </c>
      <c r="L17" s="674" t="s">
        <v>413</v>
      </c>
      <c r="M17" s="674" t="s">
        <v>2162</v>
      </c>
      <c r="N17" s="674" t="s">
        <v>2162</v>
      </c>
      <c r="O17" s="674" t="s">
        <v>413</v>
      </c>
      <c r="P17" s="674" t="s">
        <v>413</v>
      </c>
      <c r="Q17" s="674">
        <f>K15-Q16</f>
        <v>0</v>
      </c>
    </row>
    <row r="18" spans="2:17" ht="17.25" customHeight="1">
      <c r="B18" s="667" t="s">
        <v>2049</v>
      </c>
      <c r="C18" s="664" t="s">
        <v>29</v>
      </c>
      <c r="D18" s="665"/>
      <c r="E18" s="665"/>
      <c r="F18" s="665"/>
      <c r="G18" s="2401">
        <f>L13</f>
        <v>2007</v>
      </c>
      <c r="H18" s="2402"/>
      <c r="I18" s="665" t="s">
        <v>30</v>
      </c>
      <c r="J18" s="666"/>
      <c r="K18" s="674" t="s">
        <v>2162</v>
      </c>
      <c r="L18" s="674">
        <v>0</v>
      </c>
      <c r="M18" s="674" t="s">
        <v>2162</v>
      </c>
      <c r="N18" s="674" t="s">
        <v>2162</v>
      </c>
      <c r="O18" s="674" t="s">
        <v>413</v>
      </c>
      <c r="P18" s="674" t="s">
        <v>2162</v>
      </c>
      <c r="Q18" s="674" t="s">
        <v>2162</v>
      </c>
    </row>
    <row r="19" spans="2:17" ht="17.25" customHeight="1">
      <c r="B19" s="667" t="s">
        <v>2050</v>
      </c>
      <c r="C19" s="664" t="s">
        <v>27</v>
      </c>
      <c r="D19" s="665"/>
      <c r="E19" s="665"/>
      <c r="F19" s="665"/>
      <c r="G19" s="665"/>
      <c r="H19" s="665"/>
      <c r="I19" s="665"/>
      <c r="J19" s="666"/>
      <c r="K19" s="674" t="s">
        <v>2162</v>
      </c>
      <c r="L19" s="674" t="s">
        <v>413</v>
      </c>
      <c r="M19" s="674">
        <v>0</v>
      </c>
      <c r="N19" s="674">
        <v>0</v>
      </c>
      <c r="O19" s="674">
        <v>0</v>
      </c>
      <c r="P19" s="674">
        <v>0</v>
      </c>
      <c r="Q19" s="674">
        <f>SUM(M19:P19)</f>
        <v>0</v>
      </c>
    </row>
    <row r="20" spans="2:17" ht="17.25" customHeight="1">
      <c r="B20" s="667" t="s">
        <v>2051</v>
      </c>
      <c r="C20" s="664" t="s">
        <v>28</v>
      </c>
      <c r="D20" s="665"/>
      <c r="E20" s="665"/>
      <c r="F20" s="665"/>
      <c r="G20" s="665"/>
      <c r="H20" s="665"/>
      <c r="I20" s="665"/>
      <c r="J20" s="666"/>
      <c r="K20" s="674" t="s">
        <v>2162</v>
      </c>
      <c r="L20" s="674" t="s">
        <v>413</v>
      </c>
      <c r="M20" s="674" t="s">
        <v>2162</v>
      </c>
      <c r="N20" s="674" t="s">
        <v>2162</v>
      </c>
      <c r="O20" s="674" t="s">
        <v>413</v>
      </c>
      <c r="P20" s="674" t="s">
        <v>413</v>
      </c>
      <c r="Q20" s="674">
        <f>L18-Q19</f>
        <v>0</v>
      </c>
    </row>
    <row r="21" spans="2:17" ht="17.25" customHeight="1">
      <c r="B21" s="667" t="s">
        <v>2052</v>
      </c>
      <c r="C21" s="664" t="s">
        <v>29</v>
      </c>
      <c r="D21" s="665"/>
      <c r="E21" s="665"/>
      <c r="F21" s="665"/>
      <c r="G21" s="2401">
        <f>M13</f>
        <v>2008</v>
      </c>
      <c r="H21" s="2402"/>
      <c r="I21" s="665" t="s">
        <v>31</v>
      </c>
      <c r="J21" s="666"/>
      <c r="K21" s="674" t="s">
        <v>2162</v>
      </c>
      <c r="L21" s="674" t="s">
        <v>413</v>
      </c>
      <c r="M21" s="674">
        <v>0</v>
      </c>
      <c r="N21" s="674" t="s">
        <v>2162</v>
      </c>
      <c r="O21" s="674" t="s">
        <v>413</v>
      </c>
      <c r="P21" s="674" t="s">
        <v>413</v>
      </c>
      <c r="Q21" s="674" t="s">
        <v>2162</v>
      </c>
    </row>
    <row r="22" spans="2:17" ht="17.25" customHeight="1">
      <c r="B22" s="667" t="s">
        <v>2053</v>
      </c>
      <c r="C22" s="664" t="s">
        <v>27</v>
      </c>
      <c r="D22" s="665"/>
      <c r="E22" s="665"/>
      <c r="F22" s="665"/>
      <c r="G22" s="665"/>
      <c r="H22" s="665"/>
      <c r="I22" s="665"/>
      <c r="J22" s="666"/>
      <c r="K22" s="674" t="s">
        <v>2162</v>
      </c>
      <c r="L22" s="674" t="s">
        <v>413</v>
      </c>
      <c r="M22" s="674" t="s">
        <v>2162</v>
      </c>
      <c r="N22" s="674">
        <v>0</v>
      </c>
      <c r="O22" s="674">
        <v>0</v>
      </c>
      <c r="P22" s="674">
        <v>0</v>
      </c>
      <c r="Q22" s="674">
        <f>SUM(N22:P22)</f>
        <v>0</v>
      </c>
    </row>
    <row r="23" spans="2:17" ht="17.25" customHeight="1">
      <c r="B23" s="667" t="s">
        <v>2054</v>
      </c>
      <c r="C23" s="664" t="s">
        <v>28</v>
      </c>
      <c r="D23" s="665"/>
      <c r="E23" s="665"/>
      <c r="F23" s="665"/>
      <c r="G23" s="665"/>
      <c r="H23" s="665"/>
      <c r="I23" s="665"/>
      <c r="J23" s="666"/>
      <c r="K23" s="674" t="s">
        <v>2162</v>
      </c>
      <c r="L23" s="674" t="s">
        <v>413</v>
      </c>
      <c r="M23" s="674" t="s">
        <v>2162</v>
      </c>
      <c r="N23" s="674" t="s">
        <v>2162</v>
      </c>
      <c r="O23" s="674" t="s">
        <v>413</v>
      </c>
      <c r="P23" s="674" t="s">
        <v>413</v>
      </c>
      <c r="Q23" s="674">
        <f>M21-Q22</f>
        <v>0</v>
      </c>
    </row>
    <row r="24" spans="2:17" ht="17.25" customHeight="1">
      <c r="B24" s="667" t="s">
        <v>401</v>
      </c>
      <c r="C24" s="664" t="s">
        <v>29</v>
      </c>
      <c r="D24" s="665"/>
      <c r="E24" s="665"/>
      <c r="F24" s="665"/>
      <c r="G24" s="2401">
        <f>N13</f>
        <v>2009</v>
      </c>
      <c r="H24" s="2402"/>
      <c r="I24" s="665" t="s">
        <v>32</v>
      </c>
      <c r="J24" s="666"/>
      <c r="K24" s="674" t="s">
        <v>2162</v>
      </c>
      <c r="L24" s="674" t="s">
        <v>413</v>
      </c>
      <c r="M24" s="674" t="s">
        <v>2162</v>
      </c>
      <c r="N24" s="674">
        <v>0</v>
      </c>
      <c r="O24" s="674" t="s">
        <v>413</v>
      </c>
      <c r="P24" s="674" t="s">
        <v>413</v>
      </c>
      <c r="Q24" s="674" t="s">
        <v>2162</v>
      </c>
    </row>
    <row r="25" spans="2:17" ht="17.25" customHeight="1">
      <c r="B25" s="667" t="s">
        <v>402</v>
      </c>
      <c r="C25" s="664" t="s">
        <v>27</v>
      </c>
      <c r="D25" s="665"/>
      <c r="E25" s="665"/>
      <c r="F25" s="665"/>
      <c r="G25" s="665"/>
      <c r="H25" s="665"/>
      <c r="I25" s="665"/>
      <c r="J25" s="666"/>
      <c r="K25" s="674" t="s">
        <v>2162</v>
      </c>
      <c r="L25" s="674" t="s">
        <v>413</v>
      </c>
      <c r="M25" s="674" t="s">
        <v>2162</v>
      </c>
      <c r="N25" s="674" t="s">
        <v>2162</v>
      </c>
      <c r="O25" s="674">
        <v>0</v>
      </c>
      <c r="P25" s="674">
        <v>0</v>
      </c>
      <c r="Q25" s="674">
        <f>O25+P25</f>
        <v>0</v>
      </c>
    </row>
    <row r="26" spans="2:17" ht="17.25" customHeight="1">
      <c r="B26" s="667" t="s">
        <v>403</v>
      </c>
      <c r="C26" s="664" t="s">
        <v>28</v>
      </c>
      <c r="D26" s="665"/>
      <c r="E26" s="665"/>
      <c r="F26" s="665"/>
      <c r="G26" s="665"/>
      <c r="H26" s="665"/>
      <c r="I26" s="665"/>
      <c r="J26" s="666"/>
      <c r="K26" s="674" t="s">
        <v>2162</v>
      </c>
      <c r="L26" s="674" t="s">
        <v>413</v>
      </c>
      <c r="M26" s="674" t="s">
        <v>2162</v>
      </c>
      <c r="N26" s="674" t="s">
        <v>2162</v>
      </c>
      <c r="O26" s="674">
        <v>0</v>
      </c>
      <c r="P26" s="674" t="s">
        <v>413</v>
      </c>
      <c r="Q26" s="674">
        <f>N24-Q25</f>
        <v>0</v>
      </c>
    </row>
    <row r="27" spans="2:17" ht="17.25" customHeight="1">
      <c r="B27" s="667" t="s">
        <v>404</v>
      </c>
      <c r="C27" s="664" t="s">
        <v>29</v>
      </c>
      <c r="D27" s="665"/>
      <c r="E27" s="665"/>
      <c r="F27" s="665"/>
      <c r="G27" s="2401">
        <f>O13</f>
        <v>2010</v>
      </c>
      <c r="H27" s="2402"/>
      <c r="I27" s="665" t="s">
        <v>33</v>
      </c>
      <c r="J27" s="666"/>
      <c r="K27" s="674" t="s">
        <v>2162</v>
      </c>
      <c r="L27" s="674" t="s">
        <v>413</v>
      </c>
      <c r="M27" s="674" t="s">
        <v>2162</v>
      </c>
      <c r="N27" s="674" t="s">
        <v>2162</v>
      </c>
      <c r="O27" s="674">
        <v>0</v>
      </c>
      <c r="P27" s="674" t="s">
        <v>413</v>
      </c>
      <c r="Q27" s="674" t="s">
        <v>2162</v>
      </c>
    </row>
    <row r="28" spans="2:17" ht="17.25" customHeight="1">
      <c r="B28" s="667" t="s">
        <v>405</v>
      </c>
      <c r="C28" s="664" t="s">
        <v>27</v>
      </c>
      <c r="D28" s="665"/>
      <c r="E28" s="665"/>
      <c r="F28" s="665"/>
      <c r="G28" s="665"/>
      <c r="H28" s="665"/>
      <c r="I28" s="665"/>
      <c r="J28" s="666"/>
      <c r="K28" s="674" t="s">
        <v>2162</v>
      </c>
      <c r="L28" s="674" t="s">
        <v>413</v>
      </c>
      <c r="M28" s="674" t="s">
        <v>2162</v>
      </c>
      <c r="N28" s="674" t="s">
        <v>2162</v>
      </c>
      <c r="O28" s="674" t="s">
        <v>413</v>
      </c>
      <c r="P28" s="674">
        <v>0</v>
      </c>
      <c r="Q28" s="674">
        <f>P28</f>
        <v>0</v>
      </c>
    </row>
    <row r="29" spans="2:17" ht="17.25" customHeight="1">
      <c r="B29" s="667" t="s">
        <v>406</v>
      </c>
      <c r="C29" s="664" t="s">
        <v>28</v>
      </c>
      <c r="D29" s="665"/>
      <c r="E29" s="665"/>
      <c r="F29" s="665"/>
      <c r="G29" s="665"/>
      <c r="H29" s="665"/>
      <c r="I29" s="665"/>
      <c r="J29" s="666"/>
      <c r="K29" s="674" t="s">
        <v>2162</v>
      </c>
      <c r="L29" s="674" t="s">
        <v>413</v>
      </c>
      <c r="M29" s="674" t="s">
        <v>2162</v>
      </c>
      <c r="N29" s="674" t="s">
        <v>2162</v>
      </c>
      <c r="O29" s="674" t="s">
        <v>413</v>
      </c>
      <c r="P29" s="674" t="s">
        <v>413</v>
      </c>
      <c r="Q29" s="674">
        <f>O27-Q28</f>
        <v>0</v>
      </c>
    </row>
    <row r="30" spans="2:17" ht="13.5" customHeight="1">
      <c r="B30" s="2403" t="s">
        <v>678</v>
      </c>
      <c r="C30" s="668" t="s">
        <v>34</v>
      </c>
      <c r="D30" s="669"/>
      <c r="E30" s="669"/>
      <c r="F30" s="669"/>
      <c r="G30" s="669"/>
      <c r="H30" s="669"/>
      <c r="I30" s="669"/>
      <c r="J30" s="670"/>
      <c r="K30" s="2400" t="s">
        <v>2162</v>
      </c>
      <c r="L30" s="2400" t="s">
        <v>413</v>
      </c>
      <c r="M30" s="2400" t="s">
        <v>2162</v>
      </c>
      <c r="N30" s="2400" t="s">
        <v>2162</v>
      </c>
      <c r="O30" s="2400" t="s">
        <v>413</v>
      </c>
      <c r="P30" s="2400">
        <f>'UNOS_POREZNI BILANS'!R120</f>
        <v>0</v>
      </c>
      <c r="Q30" s="2400" t="s">
        <v>2162</v>
      </c>
    </row>
    <row r="31" spans="2:17" ht="13.5" customHeight="1">
      <c r="B31" s="2403"/>
      <c r="C31" s="671" t="s">
        <v>35</v>
      </c>
      <c r="D31" s="672"/>
      <c r="E31" s="672"/>
      <c r="F31" s="672"/>
      <c r="G31" s="672"/>
      <c r="H31" s="672"/>
      <c r="I31" s="672"/>
      <c r="J31" s="673"/>
      <c r="K31" s="2400"/>
      <c r="L31" s="2400"/>
      <c r="M31" s="2400"/>
      <c r="N31" s="2400"/>
      <c r="O31" s="2400"/>
      <c r="P31" s="2400"/>
      <c r="Q31" s="2400"/>
    </row>
    <row r="32" spans="2:17" ht="13.5" customHeight="1">
      <c r="B32" s="2403" t="s">
        <v>679</v>
      </c>
      <c r="C32" s="668" t="s">
        <v>36</v>
      </c>
      <c r="D32" s="669"/>
      <c r="E32" s="669"/>
      <c r="F32" s="669"/>
      <c r="G32" s="669"/>
      <c r="H32" s="669"/>
      <c r="I32" s="669"/>
      <c r="J32" s="670"/>
      <c r="K32" s="2400" t="s">
        <v>2162</v>
      </c>
      <c r="L32" s="2400" t="s">
        <v>413</v>
      </c>
      <c r="M32" s="2400" t="s">
        <v>2162</v>
      </c>
      <c r="N32" s="2400" t="s">
        <v>2162</v>
      </c>
      <c r="O32" s="2400" t="s">
        <v>413</v>
      </c>
      <c r="P32" s="2400" t="s">
        <v>1498</v>
      </c>
      <c r="Q32" s="2400">
        <f>Q20+Q23+Q26+Q29+P30</f>
        <v>0</v>
      </c>
    </row>
    <row r="33" spans="2:17" ht="13.5" customHeight="1">
      <c r="B33" s="2403"/>
      <c r="C33" s="671" t="s">
        <v>37</v>
      </c>
      <c r="D33" s="672"/>
      <c r="E33" s="672"/>
      <c r="F33" s="672"/>
      <c r="G33" s="672"/>
      <c r="H33" s="672"/>
      <c r="I33" s="672"/>
      <c r="J33" s="673"/>
      <c r="K33" s="2400"/>
      <c r="L33" s="2400"/>
      <c r="M33" s="2400"/>
      <c r="N33" s="2400"/>
      <c r="O33" s="2400"/>
      <c r="P33" s="2400"/>
      <c r="Q33" s="2400"/>
    </row>
    <row r="34" spans="2:17" ht="39" customHeight="1">
      <c r="B34" s="758"/>
      <c r="C34" s="669"/>
      <c r="D34" s="669"/>
      <c r="E34" s="669"/>
      <c r="F34" s="669"/>
      <c r="G34" s="669"/>
      <c r="H34" s="669"/>
      <c r="I34" s="669"/>
      <c r="J34" s="669"/>
      <c r="K34" s="759"/>
      <c r="L34" s="759"/>
      <c r="M34" s="759"/>
      <c r="N34" s="759"/>
      <c r="O34" s="759"/>
      <c r="P34" s="759"/>
      <c r="Q34" s="759"/>
    </row>
    <row r="35" spans="2:17" ht="15" customHeight="1">
      <c r="B35" s="760"/>
      <c r="C35" s="672"/>
      <c r="D35" s="2396" t="str">
        <f>ObracunPredaja</f>
        <v>28.2.2012.</v>
      </c>
      <c r="E35" s="2396"/>
      <c r="F35" s="2396"/>
      <c r="G35" s="2396"/>
      <c r="H35" s="2396"/>
      <c r="I35" s="2396"/>
      <c r="J35" s="672"/>
      <c r="K35" s="761"/>
      <c r="L35" s="761"/>
      <c r="M35" s="761" t="s">
        <v>686</v>
      </c>
      <c r="N35" s="761"/>
      <c r="O35" s="762"/>
      <c r="P35" s="763">
        <f>FirmaDirekor</f>
        <v>0</v>
      </c>
      <c r="Q35" s="762"/>
    </row>
    <row r="36" spans="2:17" ht="14.25" customHeight="1">
      <c r="F36" s="663" t="s">
        <v>14</v>
      </c>
      <c r="P36" s="658" t="s">
        <v>15</v>
      </c>
    </row>
    <row r="37" spans="2:17" ht="24.75" customHeight="1"/>
    <row r="38" spans="2:17" ht="24.75" customHeight="1">
      <c r="C38" s="627" t="s">
        <v>2041</v>
      </c>
    </row>
    <row r="39" spans="2:17" ht="13.5" customHeight="1">
      <c r="C39" s="627" t="s">
        <v>2042</v>
      </c>
    </row>
    <row r="40" spans="2:17" ht="13.5" customHeight="1">
      <c r="C40" s="627" t="s">
        <v>2043</v>
      </c>
    </row>
    <row r="41" spans="2:17" ht="13.5" customHeight="1">
      <c r="C41" s="627" t="s">
        <v>2044</v>
      </c>
    </row>
    <row r="42" spans="2:17" ht="13.5" customHeight="1">
      <c r="C42" s="627" t="s">
        <v>2045</v>
      </c>
    </row>
  </sheetData>
  <mergeCells count="29">
    <mergeCell ref="B12:B14"/>
    <mergeCell ref="B32:B33"/>
    <mergeCell ref="K30:K31"/>
    <mergeCell ref="K32:K33"/>
    <mergeCell ref="G15:H15"/>
    <mergeCell ref="G18:H18"/>
    <mergeCell ref="G21:H21"/>
    <mergeCell ref="G24:H24"/>
    <mergeCell ref="L32:L33"/>
    <mergeCell ref="M32:M33"/>
    <mergeCell ref="N32:N33"/>
    <mergeCell ref="O32:O33"/>
    <mergeCell ref="C12:J14"/>
    <mergeCell ref="D35:I35"/>
    <mergeCell ref="I4:K4"/>
    <mergeCell ref="B5:K5"/>
    <mergeCell ref="P2:Q2"/>
    <mergeCell ref="P30:P31"/>
    <mergeCell ref="Q30:Q31"/>
    <mergeCell ref="G27:H27"/>
    <mergeCell ref="B30:B31"/>
    <mergeCell ref="K12:P12"/>
    <mergeCell ref="Q12:Q14"/>
    <mergeCell ref="P32:P33"/>
    <mergeCell ref="Q32:Q33"/>
    <mergeCell ref="L30:L31"/>
    <mergeCell ref="M30:M31"/>
    <mergeCell ref="N30:N31"/>
    <mergeCell ref="O30:O31"/>
  </mergeCells>
  <phoneticPr fontId="60" type="noConversion"/>
  <pageMargins left="0.55118110236220474" right="0.27559055118110237" top="0.59055118110236215" bottom="0.59055118110236215" header="0.3543307086614173" footer="0.2755905511811023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" enableFormatConditionsCalculation="0">
    <tabColor indexed="44"/>
  </sheetPr>
  <dimension ref="B1:AJ34"/>
  <sheetViews>
    <sheetView showGridLines="0" workbookViewId="0">
      <selection activeCell="L18" sqref="L18:S18"/>
    </sheetView>
  </sheetViews>
  <sheetFormatPr defaultColWidth="2.7109375" defaultRowHeight="18.75" customHeight="1"/>
  <cols>
    <col min="1" max="1" width="2" style="451" customWidth="1"/>
    <col min="2" max="35" width="2.7109375" style="451" customWidth="1"/>
    <col min="36" max="36" width="1.28515625" style="451" customWidth="1"/>
    <col min="37" max="16384" width="2.7109375" style="451"/>
  </cols>
  <sheetData>
    <row r="1" spans="2:36" s="620" customFormat="1" ht="18.75" customHeight="1">
      <c r="B1" s="621" t="s">
        <v>1361</v>
      </c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  <c r="O1" s="622"/>
      <c r="P1" s="622"/>
    </row>
    <row r="2" spans="2:36" s="620" customFormat="1" ht="14.25" customHeight="1">
      <c r="B2" s="621" t="s">
        <v>1362</v>
      </c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  <c r="N2" s="633"/>
      <c r="O2" s="633"/>
      <c r="P2" s="633"/>
      <c r="Q2" s="634"/>
      <c r="R2" s="634"/>
      <c r="S2" s="633"/>
      <c r="T2" s="633"/>
      <c r="AA2" s="645"/>
      <c r="AB2" s="632"/>
      <c r="AC2" s="623"/>
      <c r="AD2" s="624"/>
      <c r="AE2" s="624"/>
      <c r="AF2" s="624"/>
      <c r="AG2" s="624"/>
      <c r="AH2" s="625" t="s">
        <v>16</v>
      </c>
      <c r="AI2" s="626"/>
    </row>
    <row r="3" spans="2:36" s="620" customFormat="1" ht="13.5" customHeight="1">
      <c r="B3" s="621" t="s">
        <v>1363</v>
      </c>
      <c r="C3" s="622"/>
      <c r="D3" s="622"/>
      <c r="E3" s="622"/>
      <c r="F3" s="622"/>
      <c r="G3" s="622"/>
      <c r="H3" s="622"/>
      <c r="I3" s="622"/>
      <c r="J3" s="622"/>
      <c r="K3" s="622"/>
      <c r="L3" s="622"/>
      <c r="M3" s="622"/>
      <c r="N3" s="622"/>
      <c r="O3" s="622"/>
      <c r="P3" s="622"/>
    </row>
    <row r="4" spans="2:36" ht="18.75" customHeight="1">
      <c r="B4" s="628" t="s">
        <v>2441</v>
      </c>
      <c r="K4" s="644"/>
      <c r="L4" s="756" t="s">
        <v>148</v>
      </c>
      <c r="M4" s="644"/>
      <c r="N4" s="644"/>
      <c r="O4" s="629"/>
      <c r="P4" s="629"/>
      <c r="Q4" s="629"/>
    </row>
    <row r="5" spans="2:36" ht="18.75" customHeight="1">
      <c r="B5" s="2397">
        <f>FirmaSjediste</f>
        <v>0</v>
      </c>
      <c r="C5" s="2397"/>
      <c r="D5" s="2397"/>
      <c r="E5" s="2397"/>
      <c r="F5" s="2397"/>
      <c r="G5" s="2397"/>
      <c r="H5" s="2397"/>
      <c r="I5" s="2397"/>
      <c r="J5" s="2397"/>
      <c r="K5" s="2397"/>
      <c r="L5" s="2397"/>
      <c r="M5" s="2397"/>
      <c r="N5" s="2397"/>
      <c r="O5" s="2397"/>
      <c r="P5" s="2397"/>
      <c r="Q5" s="2397"/>
    </row>
    <row r="6" spans="2:36" ht="18.75" customHeight="1">
      <c r="B6" s="631" t="s">
        <v>2442</v>
      </c>
    </row>
    <row r="8" spans="2:36" ht="18.75" customHeight="1">
      <c r="P8" s="656" t="s">
        <v>2443</v>
      </c>
    </row>
    <row r="9" spans="2:36" ht="18.75" customHeight="1">
      <c r="P9" s="635" t="s">
        <v>2444</v>
      </c>
    </row>
    <row r="10" spans="2:36" ht="18.75" customHeight="1" thickBot="1"/>
    <row r="11" spans="2:36" ht="18.75" customHeight="1">
      <c r="B11" s="646" t="s">
        <v>1047</v>
      </c>
      <c r="C11" s="647" t="s">
        <v>2445</v>
      </c>
      <c r="D11" s="647"/>
      <c r="E11" s="647"/>
      <c r="F11" s="647"/>
      <c r="G11" s="647"/>
      <c r="H11" s="647"/>
      <c r="I11" s="647"/>
      <c r="J11" s="647"/>
      <c r="K11" s="647"/>
      <c r="L11" s="647"/>
      <c r="M11" s="647"/>
      <c r="N11" s="647"/>
      <c r="O11" s="647"/>
      <c r="P11" s="647"/>
      <c r="Q11" s="647"/>
      <c r="R11" s="647"/>
      <c r="S11" s="647"/>
      <c r="T11" s="647"/>
      <c r="U11" s="647"/>
      <c r="V11" s="647"/>
      <c r="W11" s="647"/>
      <c r="X11" s="647"/>
      <c r="Y11" s="647"/>
      <c r="Z11" s="647"/>
      <c r="AA11" s="647"/>
      <c r="AB11" s="647"/>
      <c r="AC11" s="647"/>
      <c r="AD11" s="647"/>
      <c r="AE11" s="647"/>
      <c r="AF11" s="647"/>
      <c r="AG11" s="647"/>
      <c r="AH11" s="647"/>
      <c r="AI11" s="647"/>
      <c r="AJ11" s="648"/>
    </row>
    <row r="12" spans="2:36" ht="5.25" customHeight="1">
      <c r="B12" s="637"/>
      <c r="C12" s="638"/>
      <c r="D12" s="638"/>
      <c r="E12" s="638"/>
      <c r="F12" s="638"/>
      <c r="G12" s="638"/>
      <c r="H12" s="638"/>
      <c r="I12" s="638"/>
      <c r="J12" s="638"/>
      <c r="K12" s="638"/>
      <c r="L12" s="638"/>
      <c r="M12" s="638"/>
      <c r="N12" s="638"/>
      <c r="O12" s="638"/>
      <c r="P12" s="638"/>
      <c r="Q12" s="638"/>
      <c r="R12" s="638"/>
      <c r="S12" s="638"/>
      <c r="T12" s="638"/>
      <c r="U12" s="638"/>
      <c r="V12" s="638"/>
      <c r="W12" s="638"/>
      <c r="X12" s="638"/>
      <c r="Y12" s="638"/>
      <c r="Z12" s="638"/>
      <c r="AA12" s="638"/>
      <c r="AB12" s="638"/>
      <c r="AC12" s="638"/>
      <c r="AD12" s="638"/>
      <c r="AE12" s="638"/>
      <c r="AF12" s="638"/>
      <c r="AG12" s="638"/>
      <c r="AH12" s="638"/>
      <c r="AI12" s="638"/>
      <c r="AJ12" s="639"/>
    </row>
    <row r="13" spans="2:36" ht="18.75" customHeight="1">
      <c r="B13" s="637" t="s">
        <v>673</v>
      </c>
      <c r="C13" s="638" t="s">
        <v>2446</v>
      </c>
      <c r="D13" s="638"/>
      <c r="E13" s="638"/>
      <c r="F13" s="638"/>
      <c r="G13" s="638"/>
      <c r="H13" s="638"/>
      <c r="I13" s="2397">
        <f>FirmaNaziv</f>
        <v>0</v>
      </c>
      <c r="J13" s="2397"/>
      <c r="K13" s="2397"/>
      <c r="L13" s="2397"/>
      <c r="M13" s="2397"/>
      <c r="N13" s="2397"/>
      <c r="O13" s="2397"/>
      <c r="P13" s="2397"/>
      <c r="Q13" s="2397"/>
      <c r="R13" s="2397"/>
      <c r="S13" s="2397"/>
      <c r="T13" s="2397"/>
      <c r="U13" s="2397"/>
      <c r="V13" s="2397"/>
      <c r="W13" s="2397"/>
      <c r="X13" s="2397"/>
      <c r="Y13" s="2397"/>
      <c r="Z13" s="2397"/>
      <c r="AA13" s="2397"/>
      <c r="AB13" s="2397"/>
      <c r="AC13" s="2397"/>
      <c r="AD13" s="2397"/>
      <c r="AE13" s="2397"/>
      <c r="AF13" s="2397"/>
      <c r="AG13" s="2397"/>
      <c r="AH13" s="2397"/>
      <c r="AI13" s="2397"/>
      <c r="AJ13" s="639"/>
    </row>
    <row r="14" spans="2:36" ht="5.25" customHeight="1">
      <c r="B14" s="637"/>
      <c r="C14" s="638"/>
      <c r="D14" s="638"/>
      <c r="E14" s="638"/>
      <c r="F14" s="638"/>
      <c r="G14" s="638"/>
      <c r="H14" s="638"/>
      <c r="I14" s="638"/>
      <c r="J14" s="638"/>
      <c r="K14" s="638"/>
      <c r="L14" s="638"/>
      <c r="M14" s="638"/>
      <c r="N14" s="638"/>
      <c r="O14" s="638"/>
      <c r="P14" s="638"/>
      <c r="Q14" s="638"/>
      <c r="R14" s="638"/>
      <c r="S14" s="638"/>
      <c r="T14" s="638"/>
      <c r="U14" s="638"/>
      <c r="V14" s="638"/>
      <c r="W14" s="638"/>
      <c r="X14" s="638"/>
      <c r="Y14" s="638"/>
      <c r="Z14" s="638"/>
      <c r="AA14" s="638"/>
      <c r="AB14" s="638"/>
      <c r="AC14" s="638"/>
      <c r="AD14" s="638"/>
      <c r="AE14" s="638"/>
      <c r="AF14" s="638"/>
      <c r="AG14" s="638"/>
      <c r="AH14" s="638"/>
      <c r="AI14" s="638"/>
      <c r="AJ14" s="639"/>
    </row>
    <row r="15" spans="2:36" ht="18.75" customHeight="1">
      <c r="B15" s="637" t="s">
        <v>2532</v>
      </c>
      <c r="C15" s="638"/>
      <c r="D15" s="638"/>
      <c r="E15" s="638"/>
      <c r="F15" s="638"/>
      <c r="G15" s="638"/>
      <c r="H15" s="638"/>
      <c r="I15" s="757" t="str">
        <f>MID(FirmaID,1,1)</f>
        <v/>
      </c>
      <c r="J15" s="757" t="str">
        <f>MID(FirmaID,2,1)</f>
        <v/>
      </c>
      <c r="K15" s="757" t="str">
        <f>MID(FirmaID,3,1)</f>
        <v/>
      </c>
      <c r="L15" s="757" t="str">
        <f>MID(FirmaID,4,1)</f>
        <v/>
      </c>
      <c r="M15" s="757" t="str">
        <f>MID(FirmaID,5,1)</f>
        <v/>
      </c>
      <c r="N15" s="757" t="str">
        <f>MID(FirmaID,6,1)</f>
        <v/>
      </c>
      <c r="O15" s="757" t="str">
        <f>MID(FirmaID,7,1)</f>
        <v/>
      </c>
      <c r="P15" s="757" t="str">
        <f>MID(FirmaID,8,1)</f>
        <v/>
      </c>
      <c r="Q15" s="757" t="str">
        <f>MID(FirmaID,9,1)</f>
        <v/>
      </c>
      <c r="R15" s="757" t="str">
        <f>MID(FirmaID,10,1)</f>
        <v/>
      </c>
      <c r="S15" s="757" t="str">
        <f>MID(FirmaID,11,1)</f>
        <v/>
      </c>
      <c r="T15" s="757" t="str">
        <f>MID(FirmaID,12,1)</f>
        <v/>
      </c>
      <c r="U15" s="757" t="str">
        <f>MID(FirmaID,13,1)</f>
        <v/>
      </c>
      <c r="V15" s="638"/>
      <c r="W15" s="638" t="s">
        <v>1148</v>
      </c>
      <c r="X15" s="638"/>
      <c r="Y15" s="638"/>
      <c r="Z15" s="638"/>
      <c r="AA15" s="638"/>
      <c r="AB15" s="638"/>
      <c r="AC15" s="757" t="str">
        <f>MID(FirmaDjeSifra,1,1)</f>
        <v/>
      </c>
      <c r="AD15" s="757" t="str">
        <f>MID(FirmaDjeSifra,2,1)</f>
        <v/>
      </c>
      <c r="AE15" s="757" t="s">
        <v>1409</v>
      </c>
      <c r="AF15" s="757" t="str">
        <f>MID(FirmaDjeSifra,3,1)</f>
        <v/>
      </c>
      <c r="AG15" s="757" t="str">
        <f>MID(FirmaDjeSifra,4,1)</f>
        <v/>
      </c>
      <c r="AH15" s="757" t="str">
        <f>MID(FirmaDjeSifra,5,1)</f>
        <v/>
      </c>
      <c r="AI15" s="638"/>
      <c r="AJ15" s="639"/>
    </row>
    <row r="16" spans="2:36" ht="27" customHeight="1">
      <c r="B16" s="637" t="s">
        <v>674</v>
      </c>
      <c r="C16" s="638" t="s">
        <v>2533</v>
      </c>
      <c r="D16" s="638"/>
      <c r="E16" s="638"/>
      <c r="F16" s="638"/>
      <c r="G16" s="638"/>
      <c r="H16" s="638"/>
      <c r="I16" s="2397">
        <f>FirmaAdresa</f>
        <v>0</v>
      </c>
      <c r="J16" s="2397"/>
      <c r="K16" s="2397"/>
      <c r="L16" s="2397"/>
      <c r="M16" s="2397"/>
      <c r="N16" s="2397"/>
      <c r="O16" s="2397"/>
      <c r="P16" s="2397"/>
      <c r="Q16" s="2397"/>
      <c r="R16" s="2397"/>
      <c r="S16" s="2397"/>
      <c r="T16" s="2397"/>
      <c r="U16" s="2397"/>
      <c r="V16" s="2397"/>
      <c r="W16" s="2397"/>
      <c r="X16" s="638"/>
      <c r="Y16" s="638"/>
      <c r="Z16" s="638"/>
      <c r="AA16" s="640" t="s">
        <v>381</v>
      </c>
      <c r="AB16" s="2397">
        <f>FirmaSjediste</f>
        <v>0</v>
      </c>
      <c r="AC16" s="2397"/>
      <c r="AD16" s="2397"/>
      <c r="AE16" s="2397"/>
      <c r="AF16" s="2397"/>
      <c r="AG16" s="2397"/>
      <c r="AH16" s="2397"/>
      <c r="AI16" s="2397"/>
      <c r="AJ16" s="639"/>
    </row>
    <row r="17" spans="2:36" ht="18.75" customHeight="1">
      <c r="B17" s="637" t="s">
        <v>675</v>
      </c>
      <c r="C17" s="638" t="s">
        <v>2534</v>
      </c>
      <c r="D17" s="638"/>
      <c r="E17" s="638"/>
      <c r="F17" s="638"/>
      <c r="G17" s="638"/>
      <c r="H17" s="638"/>
      <c r="I17" s="638"/>
      <c r="J17" s="638"/>
      <c r="K17" s="638"/>
      <c r="L17" s="638"/>
      <c r="M17" s="638"/>
      <c r="N17" s="638"/>
      <c r="O17" s="638"/>
      <c r="P17" s="2423">
        <f>FirmaRacun1</f>
        <v>0</v>
      </c>
      <c r="Q17" s="2423"/>
      <c r="R17" s="2423"/>
      <c r="S17" s="2423"/>
      <c r="T17" s="2423"/>
      <c r="U17" s="2423"/>
      <c r="V17" s="2423"/>
      <c r="W17" s="2423"/>
      <c r="X17" s="2423"/>
      <c r="Y17" s="2423"/>
      <c r="Z17" s="2423"/>
      <c r="AA17" s="2423"/>
      <c r="AB17" s="2423"/>
      <c r="AC17" s="2423"/>
      <c r="AD17" s="2423"/>
      <c r="AE17" s="2423"/>
      <c r="AF17" s="2423"/>
      <c r="AG17" s="2423"/>
      <c r="AH17" s="2423"/>
      <c r="AI17" s="2423"/>
      <c r="AJ17" s="639"/>
    </row>
    <row r="18" spans="2:36" ht="18.75" customHeight="1">
      <c r="B18" s="637" t="s">
        <v>676</v>
      </c>
      <c r="C18" s="638" t="s">
        <v>2535</v>
      </c>
      <c r="D18" s="638"/>
      <c r="E18" s="638"/>
      <c r="F18" s="638"/>
      <c r="G18" s="638"/>
      <c r="H18" s="638"/>
      <c r="I18" s="638"/>
      <c r="J18" s="638"/>
      <c r="K18" s="638"/>
      <c r="L18" s="2425">
        <f>'UNOS_POREZNI BILANS'!R137</f>
        <v>0</v>
      </c>
      <c r="M18" s="2425"/>
      <c r="N18" s="2425"/>
      <c r="O18" s="2425"/>
      <c r="P18" s="2425"/>
      <c r="Q18" s="2425"/>
      <c r="R18" s="2425"/>
      <c r="S18" s="2425"/>
      <c r="T18" s="636"/>
      <c r="U18" s="638"/>
      <c r="V18" s="638"/>
      <c r="W18" s="638"/>
      <c r="X18" s="638"/>
      <c r="Y18" s="638"/>
      <c r="Z18" s="638"/>
      <c r="AA18" s="640" t="s">
        <v>2536</v>
      </c>
      <c r="AB18" s="2426">
        <f>'Porezna prijava'!Z21</f>
        <v>0</v>
      </c>
      <c r="AC18" s="2426"/>
      <c r="AD18" s="2426"/>
      <c r="AE18" s="2426"/>
      <c r="AF18" s="2426"/>
      <c r="AG18" s="2426"/>
      <c r="AH18" s="2426"/>
      <c r="AI18" s="2426"/>
      <c r="AJ18" s="639"/>
    </row>
    <row r="19" spans="2:36" ht="18.75" customHeight="1">
      <c r="B19" s="637" t="s">
        <v>677</v>
      </c>
      <c r="C19" s="638" t="s">
        <v>2537</v>
      </c>
      <c r="D19" s="638"/>
      <c r="E19" s="638"/>
      <c r="F19" s="638"/>
      <c r="G19" s="638"/>
      <c r="H19" s="638"/>
      <c r="I19" s="638"/>
      <c r="J19" s="638"/>
      <c r="K19" s="638"/>
      <c r="L19" s="638"/>
      <c r="M19" s="638"/>
      <c r="N19" s="638"/>
      <c r="O19" s="638"/>
      <c r="P19" s="2424">
        <f>'UNOS_POREZNI BILANS'!R138</f>
        <v>0</v>
      </c>
      <c r="Q19" s="2424"/>
      <c r="R19" s="2424"/>
      <c r="S19" s="2424"/>
      <c r="T19" s="2424"/>
      <c r="U19" s="2424"/>
      <c r="V19" s="2424"/>
      <c r="W19" s="2424"/>
      <c r="X19" s="2424"/>
      <c r="Y19" s="2424"/>
      <c r="Z19" s="2424"/>
      <c r="AA19" s="2424"/>
      <c r="AB19" s="2424"/>
      <c r="AC19" s="2424"/>
      <c r="AD19" s="2424"/>
      <c r="AE19" s="2424"/>
      <c r="AF19" s="2424"/>
      <c r="AG19" s="2424"/>
      <c r="AH19" s="2424"/>
      <c r="AI19" s="2424"/>
      <c r="AJ19" s="639"/>
    </row>
    <row r="20" spans="2:36" ht="18.75" customHeight="1">
      <c r="B20" s="637" t="s">
        <v>678</v>
      </c>
      <c r="C20" s="638" t="s">
        <v>2538</v>
      </c>
      <c r="D20" s="638"/>
      <c r="E20" s="638"/>
      <c r="F20" s="638"/>
      <c r="G20" s="638"/>
      <c r="H20" s="638"/>
      <c r="I20" s="638"/>
      <c r="J20" s="638"/>
      <c r="K20" s="638"/>
      <c r="L20" s="2422"/>
      <c r="M20" s="2422"/>
      <c r="N20" s="2422"/>
      <c r="O20" s="2422"/>
      <c r="P20" s="2422"/>
      <c r="Q20" s="2422"/>
      <c r="R20" s="2422"/>
      <c r="S20" s="2422"/>
      <c r="T20" s="2422"/>
      <c r="U20" s="2422"/>
      <c r="V20" s="2422"/>
      <c r="W20" s="2422"/>
      <c r="X20" s="2422"/>
      <c r="Y20" s="2422"/>
      <c r="Z20" s="2422"/>
      <c r="AA20" s="2422"/>
      <c r="AB20" s="2422"/>
      <c r="AC20" s="2422"/>
      <c r="AD20" s="2422"/>
      <c r="AE20" s="2422"/>
      <c r="AF20" s="2422"/>
      <c r="AG20" s="2422"/>
      <c r="AH20" s="2422"/>
      <c r="AI20" s="2422"/>
      <c r="AJ20" s="639"/>
    </row>
    <row r="21" spans="2:36" ht="6" customHeight="1" thickBot="1">
      <c r="B21" s="641"/>
      <c r="C21" s="642"/>
      <c r="D21" s="642"/>
      <c r="E21" s="642"/>
      <c r="F21" s="642"/>
      <c r="G21" s="642"/>
      <c r="H21" s="642"/>
      <c r="I21" s="642"/>
      <c r="J21" s="642"/>
      <c r="K21" s="642"/>
      <c r="L21" s="642"/>
      <c r="M21" s="642"/>
      <c r="N21" s="642"/>
      <c r="O21" s="642"/>
      <c r="P21" s="642"/>
      <c r="Q21" s="642"/>
      <c r="R21" s="642"/>
      <c r="S21" s="642"/>
      <c r="T21" s="642"/>
      <c r="U21" s="642"/>
      <c r="V21" s="642"/>
      <c r="W21" s="642"/>
      <c r="X21" s="642"/>
      <c r="Y21" s="642"/>
      <c r="Z21" s="642"/>
      <c r="AA21" s="642"/>
      <c r="AB21" s="642"/>
      <c r="AC21" s="642"/>
      <c r="AD21" s="642"/>
      <c r="AE21" s="642"/>
      <c r="AF21" s="642"/>
      <c r="AG21" s="642"/>
      <c r="AH21" s="642"/>
      <c r="AI21" s="642"/>
      <c r="AJ21" s="643"/>
    </row>
    <row r="22" spans="2:36" ht="18.75" customHeight="1" thickBot="1"/>
    <row r="23" spans="2:36" ht="18.75" customHeight="1">
      <c r="B23" s="646" t="s">
        <v>1556</v>
      </c>
      <c r="C23" s="647" t="s">
        <v>10</v>
      </c>
      <c r="D23" s="647"/>
      <c r="E23" s="647"/>
      <c r="F23" s="647"/>
      <c r="G23" s="647"/>
      <c r="H23" s="647"/>
      <c r="I23" s="647"/>
      <c r="J23" s="647"/>
      <c r="K23" s="647"/>
      <c r="L23" s="647"/>
      <c r="M23" s="647"/>
      <c r="N23" s="647"/>
      <c r="O23" s="647"/>
      <c r="P23" s="647"/>
      <c r="Q23" s="647"/>
      <c r="R23" s="647"/>
      <c r="S23" s="647"/>
      <c r="T23" s="647"/>
      <c r="U23" s="647"/>
      <c r="V23" s="647"/>
      <c r="W23" s="647"/>
      <c r="X23" s="647"/>
      <c r="Y23" s="647"/>
      <c r="Z23" s="647"/>
      <c r="AA23" s="647"/>
      <c r="AB23" s="647"/>
      <c r="AC23" s="647"/>
      <c r="AD23" s="647"/>
      <c r="AE23" s="647"/>
      <c r="AF23" s="647"/>
      <c r="AG23" s="647"/>
      <c r="AH23" s="647"/>
      <c r="AI23" s="647"/>
      <c r="AJ23" s="648"/>
    </row>
    <row r="24" spans="2:36" ht="5.25" customHeight="1">
      <c r="B24" s="637"/>
      <c r="C24" s="638"/>
      <c r="D24" s="638"/>
      <c r="E24" s="638"/>
      <c r="F24" s="638"/>
      <c r="G24" s="638"/>
      <c r="H24" s="638"/>
      <c r="I24" s="638"/>
      <c r="J24" s="638"/>
      <c r="K24" s="638"/>
      <c r="L24" s="638"/>
      <c r="M24" s="638"/>
      <c r="N24" s="638"/>
      <c r="O24" s="638"/>
      <c r="P24" s="638"/>
      <c r="Q24" s="638"/>
      <c r="R24" s="638"/>
      <c r="S24" s="638"/>
      <c r="T24" s="638"/>
      <c r="U24" s="638"/>
      <c r="V24" s="638"/>
      <c r="W24" s="638"/>
      <c r="X24" s="638"/>
      <c r="Y24" s="638"/>
      <c r="Z24" s="638"/>
      <c r="AA24" s="638"/>
      <c r="AB24" s="638"/>
      <c r="AC24" s="638"/>
      <c r="AD24" s="638"/>
      <c r="AE24" s="638"/>
      <c r="AF24" s="638"/>
      <c r="AG24" s="638"/>
      <c r="AH24" s="638"/>
      <c r="AI24" s="638"/>
      <c r="AJ24" s="639"/>
    </row>
    <row r="25" spans="2:36" ht="18.75" customHeight="1">
      <c r="B25" s="637" t="s">
        <v>673</v>
      </c>
      <c r="C25" s="638" t="s">
        <v>11</v>
      </c>
      <c r="D25" s="638"/>
      <c r="E25" s="638"/>
      <c r="F25" s="638"/>
      <c r="G25" s="638"/>
      <c r="H25" s="638"/>
      <c r="I25" s="2423"/>
      <c r="J25" s="2423"/>
      <c r="K25" s="2423"/>
      <c r="L25" s="2423"/>
      <c r="M25" s="2423"/>
      <c r="N25" s="2423"/>
      <c r="O25" s="2423"/>
      <c r="P25" s="2423"/>
      <c r="Q25" s="2423"/>
      <c r="R25" s="2423"/>
      <c r="S25" s="2423"/>
      <c r="T25" s="2423"/>
      <c r="U25" s="2423"/>
      <c r="V25" s="2423"/>
      <c r="W25" s="2423"/>
      <c r="X25" s="2423"/>
      <c r="Y25" s="2423"/>
      <c r="Z25" s="2423"/>
      <c r="AA25" s="2423"/>
      <c r="AB25" s="2423"/>
      <c r="AC25" s="2423"/>
      <c r="AD25" s="2423"/>
      <c r="AE25" s="2423"/>
      <c r="AF25" s="2423"/>
      <c r="AG25" s="2423"/>
      <c r="AH25" s="2423"/>
      <c r="AI25" s="2423"/>
      <c r="AJ25" s="639"/>
    </row>
    <row r="26" spans="2:36" ht="5.25" customHeight="1">
      <c r="B26" s="637"/>
      <c r="C26" s="638"/>
      <c r="D26" s="638"/>
      <c r="E26" s="638"/>
      <c r="F26" s="638"/>
      <c r="G26" s="638"/>
      <c r="H26" s="638"/>
      <c r="I26" s="638"/>
      <c r="J26" s="638"/>
      <c r="K26" s="638"/>
      <c r="L26" s="638"/>
      <c r="M26" s="638"/>
      <c r="N26" s="638"/>
      <c r="O26" s="638"/>
      <c r="P26" s="638"/>
      <c r="Q26" s="638"/>
      <c r="R26" s="638"/>
      <c r="S26" s="638"/>
      <c r="T26" s="638"/>
      <c r="U26" s="638"/>
      <c r="V26" s="638"/>
      <c r="W26" s="638"/>
      <c r="X26" s="638"/>
      <c r="Y26" s="638"/>
      <c r="Z26" s="638"/>
      <c r="AA26" s="638"/>
      <c r="AB26" s="638"/>
      <c r="AC26" s="638"/>
      <c r="AD26" s="638"/>
      <c r="AE26" s="638"/>
      <c r="AF26" s="638"/>
      <c r="AG26" s="638"/>
      <c r="AH26" s="638"/>
      <c r="AI26" s="638"/>
      <c r="AJ26" s="639"/>
    </row>
    <row r="27" spans="2:36" ht="18.75" customHeight="1">
      <c r="B27" s="637" t="s">
        <v>2532</v>
      </c>
      <c r="C27" s="638"/>
      <c r="D27" s="638"/>
      <c r="E27" s="638"/>
      <c r="F27" s="638"/>
      <c r="G27" s="638"/>
      <c r="H27" s="638"/>
      <c r="I27" s="649"/>
      <c r="J27" s="649"/>
      <c r="K27" s="649"/>
      <c r="L27" s="649"/>
      <c r="M27" s="649"/>
      <c r="N27" s="649"/>
      <c r="O27" s="649"/>
      <c r="P27" s="649"/>
      <c r="Q27" s="649"/>
      <c r="R27" s="649"/>
      <c r="S27" s="649"/>
      <c r="T27" s="649"/>
      <c r="U27" s="649"/>
      <c r="V27" s="638"/>
      <c r="W27" s="638" t="s">
        <v>1148</v>
      </c>
      <c r="X27" s="638"/>
      <c r="Y27" s="638"/>
      <c r="Z27" s="638"/>
      <c r="AA27" s="638"/>
      <c r="AB27" s="638"/>
      <c r="AC27" s="649"/>
      <c r="AD27" s="649"/>
      <c r="AE27" s="649"/>
      <c r="AF27" s="649"/>
      <c r="AG27" s="649"/>
      <c r="AH27" s="649"/>
      <c r="AI27" s="638"/>
      <c r="AJ27" s="639"/>
    </row>
    <row r="28" spans="2:36" ht="27" customHeight="1">
      <c r="B28" s="637" t="s">
        <v>674</v>
      </c>
      <c r="C28" s="638" t="s">
        <v>2533</v>
      </c>
      <c r="D28" s="638"/>
      <c r="E28" s="638"/>
      <c r="F28" s="638"/>
      <c r="G28" s="638"/>
      <c r="H28" s="638"/>
      <c r="I28" s="2423"/>
      <c r="J28" s="2423"/>
      <c r="K28" s="2423"/>
      <c r="L28" s="2423"/>
      <c r="M28" s="2423"/>
      <c r="N28" s="2423"/>
      <c r="O28" s="2423"/>
      <c r="P28" s="2423"/>
      <c r="Q28" s="2423"/>
      <c r="R28" s="2423"/>
      <c r="S28" s="2423"/>
      <c r="T28" s="2423"/>
      <c r="U28" s="2423"/>
      <c r="V28" s="2423"/>
      <c r="W28" s="2423"/>
      <c r="X28" s="638"/>
      <c r="Y28" s="638"/>
      <c r="Z28" s="638"/>
      <c r="AA28" s="640" t="s">
        <v>381</v>
      </c>
      <c r="AB28" s="2423"/>
      <c r="AC28" s="2423"/>
      <c r="AD28" s="2423"/>
      <c r="AE28" s="2423"/>
      <c r="AF28" s="2423"/>
      <c r="AG28" s="2423"/>
      <c r="AH28" s="2423"/>
      <c r="AI28" s="2423"/>
      <c r="AJ28" s="639"/>
    </row>
    <row r="29" spans="2:36" ht="18.75" customHeight="1">
      <c r="B29" s="637" t="s">
        <v>675</v>
      </c>
      <c r="C29" s="638" t="s">
        <v>12</v>
      </c>
      <c r="D29" s="638"/>
      <c r="E29" s="638"/>
      <c r="F29" s="638"/>
      <c r="G29" s="638"/>
      <c r="H29" s="638"/>
      <c r="I29" s="638"/>
      <c r="J29" s="638"/>
      <c r="K29" s="638"/>
      <c r="L29" s="638"/>
      <c r="M29" s="638"/>
      <c r="N29" s="638"/>
      <c r="O29" s="638"/>
      <c r="P29" s="650"/>
      <c r="Q29" s="650"/>
      <c r="R29" s="650"/>
      <c r="S29" s="2422"/>
      <c r="T29" s="2422"/>
      <c r="U29" s="2422"/>
      <c r="V29" s="2422"/>
      <c r="W29" s="2422"/>
      <c r="X29" s="2422"/>
      <c r="Y29" s="2422"/>
      <c r="Z29" s="2422"/>
      <c r="AA29" s="2422"/>
      <c r="AB29" s="2422"/>
      <c r="AC29" s="2422"/>
      <c r="AD29" s="2422"/>
      <c r="AE29" s="2422"/>
      <c r="AF29" s="2422"/>
      <c r="AG29" s="2422"/>
      <c r="AH29" s="2422"/>
      <c r="AI29" s="2422"/>
      <c r="AJ29" s="639"/>
    </row>
    <row r="30" spans="2:36" ht="18.75" customHeight="1">
      <c r="B30" s="637" t="s">
        <v>676</v>
      </c>
      <c r="C30" s="638" t="s">
        <v>13</v>
      </c>
      <c r="D30" s="638"/>
      <c r="E30" s="638"/>
      <c r="F30" s="638"/>
      <c r="G30" s="638"/>
      <c r="H30" s="638"/>
      <c r="I30" s="638"/>
      <c r="J30" s="638"/>
      <c r="K30" s="638"/>
      <c r="L30" s="652"/>
      <c r="M30" s="652"/>
      <c r="N30" s="651"/>
      <c r="O30" s="651"/>
      <c r="P30" s="651"/>
      <c r="Q30" s="651"/>
      <c r="R30" s="651"/>
      <c r="S30" s="651"/>
      <c r="T30" s="654"/>
      <c r="U30" s="629"/>
      <c r="V30" s="629"/>
      <c r="W30" s="629"/>
      <c r="X30" s="629"/>
      <c r="Y30" s="629"/>
      <c r="Z30" s="629"/>
      <c r="AA30" s="655"/>
      <c r="AB30" s="653"/>
      <c r="AC30" s="653"/>
      <c r="AD30" s="653"/>
      <c r="AE30" s="653"/>
      <c r="AF30" s="653"/>
      <c r="AG30" s="653"/>
      <c r="AH30" s="653"/>
      <c r="AI30" s="653"/>
      <c r="AJ30" s="639"/>
    </row>
    <row r="31" spans="2:36" ht="9" customHeight="1" thickBot="1">
      <c r="B31" s="641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642"/>
      <c r="Q31" s="642"/>
      <c r="R31" s="642"/>
      <c r="S31" s="642"/>
      <c r="T31" s="642"/>
      <c r="U31" s="642"/>
      <c r="V31" s="642"/>
      <c r="W31" s="642"/>
      <c r="X31" s="642"/>
      <c r="Y31" s="642"/>
      <c r="Z31" s="642"/>
      <c r="AA31" s="642"/>
      <c r="AB31" s="642"/>
      <c r="AC31" s="642"/>
      <c r="AD31" s="642"/>
      <c r="AE31" s="642"/>
      <c r="AF31" s="642"/>
      <c r="AG31" s="642"/>
      <c r="AH31" s="642"/>
      <c r="AI31" s="642"/>
      <c r="AJ31" s="643"/>
    </row>
    <row r="33" spans="3:35" ht="18.75" customHeight="1">
      <c r="C33" s="629"/>
      <c r="D33" s="2421" t="str">
        <f>ObracunPredaja</f>
        <v>28.2.2012.</v>
      </c>
      <c r="E33" s="2421"/>
      <c r="F33" s="2421"/>
      <c r="G33" s="2421"/>
      <c r="H33" s="2421"/>
      <c r="I33" s="2421"/>
      <c r="J33" s="2421"/>
      <c r="K33" s="2421"/>
      <c r="L33" s="2421"/>
      <c r="M33" s="629"/>
      <c r="X33" s="2420">
        <f>FirmaDirekor</f>
        <v>0</v>
      </c>
      <c r="Y33" s="2420"/>
      <c r="Z33" s="2420"/>
      <c r="AA33" s="2420"/>
      <c r="AB33" s="2420"/>
      <c r="AC33" s="2420"/>
      <c r="AD33" s="2420"/>
      <c r="AE33" s="2420"/>
      <c r="AF33" s="2420"/>
      <c r="AG33" s="2420"/>
      <c r="AH33" s="2420"/>
      <c r="AI33" s="2420"/>
    </row>
    <row r="34" spans="3:35" ht="18.75" customHeight="1">
      <c r="G34" s="630" t="s">
        <v>14</v>
      </c>
      <c r="S34" s="451" t="s">
        <v>686</v>
      </c>
      <c r="AC34" s="630" t="s">
        <v>15</v>
      </c>
    </row>
  </sheetData>
  <mergeCells count="15">
    <mergeCell ref="P19:AI19"/>
    <mergeCell ref="L20:AI20"/>
    <mergeCell ref="I13:AI13"/>
    <mergeCell ref="B5:Q5"/>
    <mergeCell ref="P17:AI17"/>
    <mergeCell ref="L18:S18"/>
    <mergeCell ref="AB18:AI18"/>
    <mergeCell ref="I16:W16"/>
    <mergeCell ref="AB16:AI16"/>
    <mergeCell ref="X33:AI33"/>
    <mergeCell ref="D33:L33"/>
    <mergeCell ref="S29:AI29"/>
    <mergeCell ref="I25:AI25"/>
    <mergeCell ref="I28:W28"/>
    <mergeCell ref="AB28:AI28"/>
  </mergeCells>
  <phoneticPr fontId="60" type="noConversion"/>
  <pageMargins left="0.59" right="0.26" top="0.75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5" enableFormatConditionsCalculation="0">
    <tabColor indexed="47"/>
  </sheetPr>
  <dimension ref="A1:J99"/>
  <sheetViews>
    <sheetView showGridLines="0" workbookViewId="0">
      <selection activeCell="A4" sqref="A4"/>
    </sheetView>
  </sheetViews>
  <sheetFormatPr defaultRowHeight="12.75"/>
  <cols>
    <col min="1" max="1" width="9.140625" style="678"/>
    <col min="2" max="2" width="10.5703125" style="678" customWidth="1"/>
    <col min="3" max="8" width="9.140625" style="678"/>
    <col min="9" max="9" width="13.42578125" style="678" customWidth="1"/>
    <col min="10" max="10" width="5.140625" style="678" customWidth="1"/>
    <col min="11" max="16384" width="9.140625" style="678"/>
  </cols>
  <sheetData>
    <row r="1" spans="1:10" s="628" customFormat="1" ht="15.75">
      <c r="A1" s="628" t="s">
        <v>1361</v>
      </c>
    </row>
    <row r="2" spans="1:10" s="628" customFormat="1" ht="15.75">
      <c r="A2" s="628" t="s">
        <v>1362</v>
      </c>
    </row>
    <row r="3" spans="1:10" s="628" customFormat="1" ht="15.75">
      <c r="A3" s="628" t="s">
        <v>1363</v>
      </c>
    </row>
    <row r="4" spans="1:10" s="628" customFormat="1" ht="15.75">
      <c r="A4" s="628" t="s">
        <v>1636</v>
      </c>
    </row>
    <row r="5" spans="1:10" s="628" customFormat="1" ht="15.75">
      <c r="A5" s="628" t="s">
        <v>1644</v>
      </c>
      <c r="C5" s="1092">
        <f>FirmaSjediste</f>
        <v>0</v>
      </c>
    </row>
    <row r="8" spans="1:10" ht="18.75">
      <c r="A8" s="2429" t="s">
        <v>1637</v>
      </c>
      <c r="B8" s="2429"/>
      <c r="C8" s="2429"/>
      <c r="D8" s="2429"/>
      <c r="E8" s="2429"/>
      <c r="F8" s="2429"/>
      <c r="G8" s="2429"/>
      <c r="H8" s="2429"/>
      <c r="I8" s="2429"/>
      <c r="J8" s="2429"/>
    </row>
    <row r="9" spans="1:10">
      <c r="A9" s="2430" t="str">
        <f>"POREZNO NEPRIZNATIH RASHODA PO POREZNOJ PRIJAVI ZA " &amp; ObracunGodina &amp; ". GODINU"</f>
        <v>POREZNO NEPRIZNATIH RASHODA PO POREZNOJ PRIJAVI ZA 2011. GODINU</v>
      </c>
      <c r="B9" s="2430"/>
      <c r="C9" s="2430"/>
      <c r="D9" s="2430"/>
      <c r="E9" s="2430"/>
      <c r="F9" s="2430"/>
      <c r="G9" s="2430"/>
      <c r="H9" s="2430"/>
      <c r="I9" s="2430"/>
      <c r="J9" s="2430"/>
    </row>
    <row r="11" spans="1:10">
      <c r="A11" s="678" t="s">
        <v>1323</v>
      </c>
    </row>
    <row r="13" spans="1:10">
      <c r="C13" s="805" t="s">
        <v>1638</v>
      </c>
      <c r="D13" s="2427">
        <f>FirmaNaziv</f>
        <v>0</v>
      </c>
      <c r="E13" s="2427"/>
      <c r="F13" s="2427"/>
      <c r="G13" s="2427"/>
      <c r="H13" s="2427"/>
      <c r="I13" s="2427"/>
      <c r="J13" s="2427"/>
    </row>
    <row r="14" spans="1:10" ht="12" customHeight="1"/>
    <row r="15" spans="1:10">
      <c r="A15" s="678" t="s">
        <v>1639</v>
      </c>
      <c r="C15" s="2427">
        <f>FirmaID</f>
        <v>0</v>
      </c>
      <c r="D15" s="2427"/>
      <c r="E15" s="2427"/>
      <c r="F15" s="805" t="s">
        <v>1640</v>
      </c>
      <c r="G15" s="2427">
        <f>FirmaDjeSifra</f>
        <v>0</v>
      </c>
      <c r="H15" s="2427"/>
      <c r="I15" s="2427"/>
      <c r="J15" s="2427"/>
    </row>
    <row r="17" spans="1:10">
      <c r="A17" s="678" t="s">
        <v>1641</v>
      </c>
      <c r="C17" s="2427">
        <f>FirmaAdresa</f>
        <v>0</v>
      </c>
      <c r="D17" s="2427"/>
      <c r="E17" s="2427"/>
      <c r="F17" s="2427"/>
      <c r="G17" s="804" t="s">
        <v>381</v>
      </c>
      <c r="H17" s="2428">
        <f>FirmaSjediste</f>
        <v>0</v>
      </c>
      <c r="I17" s="2428"/>
      <c r="J17" s="2428"/>
    </row>
    <row r="21" spans="1:10" ht="21.75" customHeight="1">
      <c r="A21" s="806" t="s">
        <v>2122</v>
      </c>
      <c r="B21" s="807"/>
      <c r="C21" s="807"/>
      <c r="D21" s="808" t="s">
        <v>1322</v>
      </c>
      <c r="E21" s="807"/>
      <c r="F21" s="807"/>
      <c r="G21" s="807"/>
      <c r="H21" s="807"/>
      <c r="I21" s="809" t="s">
        <v>1642</v>
      </c>
      <c r="J21" s="810"/>
    </row>
    <row r="22" spans="1:10">
      <c r="I22" s="811"/>
    </row>
    <row r="23" spans="1:10">
      <c r="A23" s="678" t="s">
        <v>673</v>
      </c>
      <c r="I23" s="811"/>
    </row>
    <row r="24" spans="1:10">
      <c r="I24" s="811"/>
    </row>
    <row r="25" spans="1:10">
      <c r="I25" s="811"/>
    </row>
    <row r="26" spans="1:10">
      <c r="I26" s="811"/>
    </row>
    <row r="27" spans="1:10">
      <c r="I27" s="811"/>
    </row>
    <row r="28" spans="1:10">
      <c r="I28" s="811"/>
    </row>
    <row r="29" spans="1:10">
      <c r="I29" s="811"/>
    </row>
    <row r="30" spans="1:10">
      <c r="I30" s="811"/>
    </row>
    <row r="31" spans="1:10">
      <c r="I31" s="811"/>
    </row>
    <row r="32" spans="1:10">
      <c r="I32" s="811"/>
    </row>
    <row r="33" spans="1:9">
      <c r="I33" s="811"/>
    </row>
    <row r="34" spans="1:9">
      <c r="I34" s="811"/>
    </row>
    <row r="35" spans="1:9">
      <c r="I35" s="811"/>
    </row>
    <row r="36" spans="1:9">
      <c r="I36" s="811"/>
    </row>
    <row r="37" spans="1:9">
      <c r="I37" s="811"/>
    </row>
    <row r="38" spans="1:9">
      <c r="I38" s="811"/>
    </row>
    <row r="39" spans="1:9">
      <c r="I39" s="811"/>
    </row>
    <row r="40" spans="1:9">
      <c r="I40" s="811"/>
    </row>
    <row r="41" spans="1:9">
      <c r="I41" s="811"/>
    </row>
    <row r="42" spans="1:9">
      <c r="I42" s="811"/>
    </row>
    <row r="43" spans="1:9">
      <c r="I43" s="811"/>
    </row>
    <row r="44" spans="1:9" ht="23.25" customHeight="1">
      <c r="A44" s="807"/>
      <c r="B44" s="807"/>
      <c r="C44" s="807"/>
      <c r="D44" s="807"/>
      <c r="E44" s="807"/>
      <c r="F44" s="807"/>
      <c r="G44" s="807" t="s">
        <v>222</v>
      </c>
      <c r="H44" s="807"/>
      <c r="I44" s="812">
        <f>SUM(I23:I43)</f>
        <v>0</v>
      </c>
    </row>
    <row r="45" spans="1:9">
      <c r="I45" s="811"/>
    </row>
    <row r="46" spans="1:9">
      <c r="I46" s="811"/>
    </row>
    <row r="47" spans="1:9">
      <c r="I47" s="811"/>
    </row>
    <row r="48" spans="1:9">
      <c r="H48" s="804" t="s">
        <v>1643</v>
      </c>
      <c r="I48" s="811"/>
    </row>
    <row r="49" spans="7:9">
      <c r="I49" s="811"/>
    </row>
    <row r="50" spans="7:9">
      <c r="G50" s="813"/>
      <c r="H50" s="813"/>
      <c r="I50" s="814"/>
    </row>
    <row r="51" spans="7:9">
      <c r="I51" s="811"/>
    </row>
    <row r="52" spans="7:9">
      <c r="I52" s="811"/>
    </row>
    <row r="53" spans="7:9">
      <c r="I53" s="811"/>
    </row>
    <row r="54" spans="7:9">
      <c r="I54" s="811"/>
    </row>
    <row r="55" spans="7:9">
      <c r="I55" s="811"/>
    </row>
    <row r="56" spans="7:9">
      <c r="I56" s="811"/>
    </row>
    <row r="57" spans="7:9">
      <c r="I57" s="811"/>
    </row>
    <row r="58" spans="7:9">
      <c r="I58" s="811"/>
    </row>
    <row r="59" spans="7:9">
      <c r="I59" s="811"/>
    </row>
    <row r="60" spans="7:9">
      <c r="I60" s="811"/>
    </row>
    <row r="61" spans="7:9">
      <c r="I61" s="811"/>
    </row>
    <row r="62" spans="7:9">
      <c r="I62" s="811"/>
    </row>
    <row r="63" spans="7:9">
      <c r="I63" s="811"/>
    </row>
    <row r="64" spans="7:9">
      <c r="I64" s="811"/>
    </row>
    <row r="65" spans="9:9">
      <c r="I65" s="811"/>
    </row>
    <row r="66" spans="9:9">
      <c r="I66" s="811"/>
    </row>
    <row r="67" spans="9:9">
      <c r="I67" s="811"/>
    </row>
    <row r="68" spans="9:9">
      <c r="I68" s="811"/>
    </row>
    <row r="69" spans="9:9">
      <c r="I69" s="811"/>
    </row>
    <row r="70" spans="9:9">
      <c r="I70" s="811"/>
    </row>
    <row r="71" spans="9:9">
      <c r="I71" s="811"/>
    </row>
    <row r="72" spans="9:9">
      <c r="I72" s="811"/>
    </row>
    <row r="73" spans="9:9">
      <c r="I73" s="811"/>
    </row>
    <row r="74" spans="9:9">
      <c r="I74" s="811"/>
    </row>
    <row r="75" spans="9:9">
      <c r="I75" s="811"/>
    </row>
    <row r="76" spans="9:9">
      <c r="I76" s="811"/>
    </row>
    <row r="77" spans="9:9">
      <c r="I77" s="811"/>
    </row>
    <row r="78" spans="9:9">
      <c r="I78" s="811"/>
    </row>
    <row r="79" spans="9:9">
      <c r="I79" s="811"/>
    </row>
    <row r="80" spans="9:9">
      <c r="I80" s="811"/>
    </row>
    <row r="81" spans="9:9">
      <c r="I81" s="811"/>
    </row>
    <row r="82" spans="9:9">
      <c r="I82" s="811"/>
    </row>
    <row r="83" spans="9:9">
      <c r="I83" s="811"/>
    </row>
    <row r="84" spans="9:9">
      <c r="I84" s="811"/>
    </row>
    <row r="85" spans="9:9">
      <c r="I85" s="811"/>
    </row>
    <row r="86" spans="9:9">
      <c r="I86" s="811"/>
    </row>
    <row r="87" spans="9:9">
      <c r="I87" s="811"/>
    </row>
    <row r="88" spans="9:9">
      <c r="I88" s="811"/>
    </row>
    <row r="89" spans="9:9">
      <c r="I89" s="811"/>
    </row>
    <row r="90" spans="9:9">
      <c r="I90" s="811"/>
    </row>
    <row r="91" spans="9:9">
      <c r="I91" s="811"/>
    </row>
    <row r="92" spans="9:9">
      <c r="I92" s="811"/>
    </row>
    <row r="93" spans="9:9">
      <c r="I93" s="811"/>
    </row>
    <row r="94" spans="9:9">
      <c r="I94" s="811"/>
    </row>
    <row r="95" spans="9:9">
      <c r="I95" s="811"/>
    </row>
    <row r="96" spans="9:9">
      <c r="I96" s="811"/>
    </row>
    <row r="97" spans="9:9">
      <c r="I97" s="811"/>
    </row>
    <row r="98" spans="9:9">
      <c r="I98" s="811"/>
    </row>
    <row r="99" spans="9:9">
      <c r="I99" s="811"/>
    </row>
  </sheetData>
  <mergeCells count="7">
    <mergeCell ref="C17:F17"/>
    <mergeCell ref="H17:J17"/>
    <mergeCell ref="A8:J8"/>
    <mergeCell ref="A9:J9"/>
    <mergeCell ref="D13:J13"/>
    <mergeCell ref="C15:E15"/>
    <mergeCell ref="G15:J15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2"/>
  <dimension ref="A2:AB42"/>
  <sheetViews>
    <sheetView showGridLines="0" workbookViewId="0"/>
  </sheetViews>
  <sheetFormatPr defaultRowHeight="15"/>
  <cols>
    <col min="1" max="1" width="2.5703125" style="783" customWidth="1"/>
    <col min="2" max="3" width="3" style="783" customWidth="1"/>
    <col min="4" max="4" width="2.85546875" style="783" customWidth="1"/>
    <col min="5" max="18" width="3.42578125" style="783" customWidth="1"/>
    <col min="19" max="19" width="3.5703125" style="783" customWidth="1"/>
    <col min="20" max="20" width="3.7109375" style="783" customWidth="1"/>
    <col min="21" max="21" width="3.42578125" style="783" customWidth="1"/>
    <col min="22" max="22" width="4.140625" style="783" customWidth="1"/>
    <col min="23" max="23" width="3.85546875" style="783" customWidth="1"/>
    <col min="24" max="25" width="3.42578125" style="783" customWidth="1"/>
    <col min="26" max="26" width="3.28515625" style="783" customWidth="1"/>
    <col min="27" max="65" width="3.42578125" style="783" customWidth="1"/>
    <col min="66" max="16384" width="9.140625" style="783"/>
  </cols>
  <sheetData>
    <row r="2" spans="1:28" ht="18.75" customHeight="1">
      <c r="A2" s="1093">
        <f>FirmaNaziv</f>
        <v>0</v>
      </c>
    </row>
    <row r="3" spans="1:28" ht="12.75" customHeight="1">
      <c r="A3" s="796" t="str">
        <f>FirmaSjediste &amp; ", " &amp; FirmaAdresa</f>
        <v xml:space="preserve">, </v>
      </c>
      <c r="V3" s="784" t="s">
        <v>1149</v>
      </c>
      <c r="Y3" s="785"/>
      <c r="Z3" s="785"/>
      <c r="AA3" s="785"/>
      <c r="AB3" s="785"/>
    </row>
    <row r="4" spans="1:28" ht="13.5" customHeight="1">
      <c r="A4" s="783" t="s">
        <v>1150</v>
      </c>
      <c r="F4" s="2449">
        <f>FirmaRegistracija</f>
        <v>0</v>
      </c>
      <c r="G4" s="2449"/>
      <c r="H4" s="2449"/>
    </row>
    <row r="5" spans="1:28" ht="11.25" customHeight="1">
      <c r="A5" s="787"/>
      <c r="B5" s="787"/>
      <c r="C5" s="787"/>
      <c r="D5" s="787"/>
      <c r="E5" s="787"/>
      <c r="F5" s="787"/>
      <c r="G5" s="787"/>
      <c r="H5" s="787"/>
      <c r="I5" s="787"/>
      <c r="J5" s="787"/>
      <c r="K5" s="787"/>
      <c r="L5" s="787"/>
      <c r="M5" s="787"/>
      <c r="N5" s="787"/>
      <c r="O5" s="787"/>
      <c r="P5" s="787"/>
      <c r="Q5" s="787"/>
      <c r="R5" s="787"/>
      <c r="S5" s="787"/>
      <c r="T5" s="787"/>
      <c r="U5" s="787"/>
      <c r="V5" s="787"/>
      <c r="W5" s="787"/>
      <c r="X5" s="787"/>
      <c r="Y5" s="787"/>
      <c r="Z5" s="787"/>
      <c r="AA5" s="787"/>
      <c r="AB5" s="787"/>
    </row>
    <row r="6" spans="1:28" ht="14.25" customHeight="1">
      <c r="A6" s="783" t="s">
        <v>1151</v>
      </c>
      <c r="C6" s="788" t="s">
        <v>609</v>
      </c>
    </row>
    <row r="7" spans="1:28" ht="21.75" customHeight="1">
      <c r="A7" s="783" t="s">
        <v>1152</v>
      </c>
      <c r="D7" s="789" t="str">
        <f>ObracunPredaja</f>
        <v>28.2.2012.</v>
      </c>
      <c r="G7" s="783" t="s">
        <v>1454</v>
      </c>
    </row>
    <row r="8" spans="1:28" ht="15" customHeight="1"/>
    <row r="12" spans="1:28" ht="15.75">
      <c r="A12" s="790" t="s">
        <v>226</v>
      </c>
    </row>
    <row r="13" spans="1:28" ht="18" customHeight="1"/>
    <row r="16" spans="1:28" ht="18.75" customHeight="1">
      <c r="A16" s="783" t="s">
        <v>716</v>
      </c>
      <c r="D16" s="783" t="s">
        <v>1153</v>
      </c>
    </row>
    <row r="17" spans="1:28" ht="18" customHeight="1"/>
    <row r="18" spans="1:28" ht="17.25" customHeight="1"/>
    <row r="19" spans="1:28" ht="18" customHeight="1">
      <c r="A19" s="791"/>
      <c r="B19" s="791"/>
      <c r="C19" s="791"/>
      <c r="D19" s="791" t="s">
        <v>1324</v>
      </c>
      <c r="E19" s="791"/>
    </row>
    <row r="20" spans="1:28" ht="15.75">
      <c r="A20" s="792" t="s">
        <v>1325</v>
      </c>
      <c r="B20" s="792"/>
      <c r="C20" s="792"/>
      <c r="D20" s="792"/>
      <c r="E20" s="792"/>
      <c r="F20" s="787"/>
      <c r="G20" s="787"/>
      <c r="H20" s="787"/>
      <c r="I20" s="787"/>
      <c r="J20" s="787"/>
      <c r="K20" s="787"/>
      <c r="L20" s="787"/>
      <c r="M20" s="787"/>
      <c r="N20" s="787"/>
      <c r="O20" s="787"/>
      <c r="P20" s="787"/>
      <c r="Q20" s="787"/>
      <c r="R20" s="787"/>
      <c r="S20" s="787"/>
      <c r="T20" s="787"/>
      <c r="U20" s="787"/>
      <c r="V20" s="787"/>
      <c r="W20" s="787"/>
      <c r="X20" s="787"/>
      <c r="Y20" s="787"/>
      <c r="Z20" s="787"/>
      <c r="AA20" s="787"/>
      <c r="AB20" s="787"/>
    </row>
    <row r="21" spans="1:28" ht="15.75">
      <c r="A21" s="791" t="s">
        <v>1326</v>
      </c>
      <c r="B21" s="791"/>
      <c r="C21" s="791"/>
      <c r="D21" s="791"/>
      <c r="E21" s="791"/>
      <c r="P21" s="793" t="s">
        <v>610</v>
      </c>
    </row>
    <row r="22" spans="1:28" ht="16.5" customHeight="1"/>
    <row r="23" spans="1:28" ht="18" customHeight="1"/>
    <row r="24" spans="1:28" s="794" customFormat="1" ht="16.5" customHeight="1">
      <c r="A24" s="2445" t="s">
        <v>165</v>
      </c>
      <c r="B24" s="2445"/>
      <c r="C24" s="2445" t="s">
        <v>1327</v>
      </c>
      <c r="D24" s="2445"/>
      <c r="E24" s="2445"/>
      <c r="F24" s="2445"/>
      <c r="G24" s="2445"/>
      <c r="H24" s="2445"/>
      <c r="I24" s="2445"/>
      <c r="J24" s="2445"/>
      <c r="K24" s="2445"/>
      <c r="L24" s="2445" t="s">
        <v>1328</v>
      </c>
      <c r="M24" s="2445"/>
      <c r="N24" s="2445"/>
      <c r="O24" s="2445"/>
      <c r="P24" s="2445"/>
      <c r="Q24" s="2445" t="s">
        <v>1329</v>
      </c>
      <c r="R24" s="2445"/>
      <c r="S24" s="2445"/>
      <c r="T24" s="2445"/>
      <c r="U24" s="2445"/>
      <c r="V24" s="2446" t="s">
        <v>1330</v>
      </c>
      <c r="W24" s="2447"/>
      <c r="X24" s="2447"/>
      <c r="Y24" s="2447"/>
      <c r="Z24" s="2447"/>
      <c r="AA24" s="2447"/>
      <c r="AB24" s="2448"/>
    </row>
    <row r="25" spans="1:28" s="794" customFormat="1" ht="12.75">
      <c r="A25" s="2443" t="s">
        <v>1492</v>
      </c>
      <c r="B25" s="2443"/>
      <c r="C25" s="2443" t="s">
        <v>215</v>
      </c>
      <c r="D25" s="2443"/>
      <c r="E25" s="2443"/>
      <c r="F25" s="2443"/>
      <c r="G25" s="2443"/>
      <c r="H25" s="2443"/>
      <c r="I25" s="2443"/>
      <c r="J25" s="2443"/>
      <c r="K25" s="2443"/>
      <c r="L25" s="2443" t="s">
        <v>216</v>
      </c>
      <c r="M25" s="2443"/>
      <c r="N25" s="2443"/>
      <c r="O25" s="2443"/>
      <c r="P25" s="2443"/>
      <c r="Q25" s="2443" t="s">
        <v>217</v>
      </c>
      <c r="R25" s="2443"/>
      <c r="S25" s="2443"/>
      <c r="T25" s="2443"/>
      <c r="U25" s="2443"/>
      <c r="V25" s="2440" t="s">
        <v>218</v>
      </c>
      <c r="W25" s="2441"/>
      <c r="X25" s="2441"/>
      <c r="Y25" s="2441"/>
      <c r="Z25" s="2441"/>
      <c r="AA25" s="2441"/>
      <c r="AB25" s="2442"/>
    </row>
    <row r="26" spans="1:28" s="794" customFormat="1" ht="12.75">
      <c r="A26" s="2443"/>
      <c r="B26" s="2443"/>
      <c r="C26" s="2443" t="s">
        <v>219</v>
      </c>
      <c r="D26" s="2443"/>
      <c r="E26" s="2443"/>
      <c r="F26" s="2443"/>
      <c r="G26" s="2443"/>
      <c r="H26" s="2443"/>
      <c r="I26" s="2443"/>
      <c r="J26" s="2443"/>
      <c r="K26" s="2443"/>
      <c r="L26" s="2443" t="s">
        <v>220</v>
      </c>
      <c r="M26" s="2443"/>
      <c r="N26" s="2443"/>
      <c r="O26" s="2443"/>
      <c r="P26" s="2443"/>
      <c r="Q26" s="2443" t="s">
        <v>220</v>
      </c>
      <c r="R26" s="2443"/>
      <c r="S26" s="2443"/>
      <c r="T26" s="2443"/>
      <c r="U26" s="2443"/>
      <c r="V26" s="2444"/>
      <c r="W26" s="2444"/>
      <c r="X26" s="2444"/>
      <c r="Y26" s="2444"/>
      <c r="Z26" s="2444"/>
      <c r="AA26" s="2444"/>
      <c r="AB26" s="2444"/>
    </row>
    <row r="27" spans="1:28" s="794" customFormat="1" ht="12.75">
      <c r="A27" s="2438"/>
      <c r="B27" s="2438"/>
      <c r="C27" s="2438"/>
      <c r="D27" s="2438"/>
      <c r="E27" s="2438"/>
      <c r="F27" s="2438"/>
      <c r="G27" s="2438"/>
      <c r="H27" s="2438"/>
      <c r="I27" s="2438"/>
      <c r="J27" s="2438"/>
      <c r="K27" s="2438"/>
      <c r="L27" s="2438" t="s">
        <v>1491</v>
      </c>
      <c r="M27" s="2438"/>
      <c r="N27" s="2438"/>
      <c r="O27" s="2438"/>
      <c r="P27" s="2438"/>
      <c r="Q27" s="2438" t="s">
        <v>1491</v>
      </c>
      <c r="R27" s="2438"/>
      <c r="S27" s="2438"/>
      <c r="T27" s="2438"/>
      <c r="U27" s="2438"/>
      <c r="V27" s="2438" t="s">
        <v>1491</v>
      </c>
      <c r="W27" s="2438"/>
      <c r="X27" s="2438"/>
      <c r="Y27" s="2438"/>
      <c r="Z27" s="2438"/>
      <c r="AA27" s="2438" t="s">
        <v>221</v>
      </c>
      <c r="AB27" s="2438"/>
    </row>
    <row r="28" spans="1:28" ht="13.5" customHeight="1">
      <c r="A28" s="2438">
        <v>0</v>
      </c>
      <c r="B28" s="2438"/>
      <c r="C28" s="2438">
        <v>1</v>
      </c>
      <c r="D28" s="2438"/>
      <c r="E28" s="2438"/>
      <c r="F28" s="2438"/>
      <c r="G28" s="2438"/>
      <c r="H28" s="2438"/>
      <c r="I28" s="2438"/>
      <c r="J28" s="2438"/>
      <c r="K28" s="2438"/>
      <c r="L28" s="2438">
        <v>2</v>
      </c>
      <c r="M28" s="2438"/>
      <c r="N28" s="2438"/>
      <c r="O28" s="2438"/>
      <c r="P28" s="2438"/>
      <c r="Q28" s="2438">
        <v>3</v>
      </c>
      <c r="R28" s="2438"/>
      <c r="S28" s="2438"/>
      <c r="T28" s="2438"/>
      <c r="U28" s="2438"/>
      <c r="V28" s="2439">
        <v>4</v>
      </c>
      <c r="W28" s="2439"/>
      <c r="X28" s="2439"/>
      <c r="Y28" s="2439"/>
      <c r="Z28" s="2439"/>
      <c r="AA28" s="2439">
        <v>5</v>
      </c>
      <c r="AB28" s="2439"/>
    </row>
    <row r="29" spans="1:28" ht="18.75" customHeight="1">
      <c r="A29" s="2434">
        <v>1</v>
      </c>
      <c r="B29" s="2434"/>
      <c r="C29" s="2436">
        <f>FirmaDirekor</f>
        <v>0</v>
      </c>
      <c r="D29" s="2436"/>
      <c r="E29" s="2436"/>
      <c r="F29" s="2436"/>
      <c r="G29" s="2436"/>
      <c r="H29" s="2436"/>
      <c r="I29" s="2436"/>
      <c r="J29" s="2436"/>
      <c r="K29" s="2436"/>
      <c r="L29" s="2436">
        <f>'bilans-stanja'!AH107</f>
        <v>0</v>
      </c>
      <c r="M29" s="2436"/>
      <c r="N29" s="2436"/>
      <c r="O29" s="2436"/>
      <c r="P29" s="2436"/>
      <c r="Q29" s="2436">
        <f>L29</f>
        <v>0</v>
      </c>
      <c r="R29" s="2436"/>
      <c r="S29" s="2436"/>
      <c r="T29" s="2436"/>
      <c r="U29" s="2436"/>
      <c r="V29" s="2436">
        <f>Q29</f>
        <v>0</v>
      </c>
      <c r="W29" s="2436"/>
      <c r="X29" s="2436"/>
      <c r="Y29" s="2436"/>
      <c r="Z29" s="2436"/>
      <c r="AA29" s="2437">
        <v>100</v>
      </c>
      <c r="AB29" s="2437"/>
    </row>
    <row r="30" spans="1:28" ht="18.75" customHeight="1">
      <c r="A30" s="2434">
        <v>2</v>
      </c>
      <c r="B30" s="2434"/>
      <c r="C30" s="2436"/>
      <c r="D30" s="2436"/>
      <c r="E30" s="2436"/>
      <c r="F30" s="2436"/>
      <c r="G30" s="2436"/>
      <c r="H30" s="2436"/>
      <c r="I30" s="2436"/>
      <c r="J30" s="2436"/>
      <c r="K30" s="2436"/>
      <c r="L30" s="2436">
        <v>0</v>
      </c>
      <c r="M30" s="2436"/>
      <c r="N30" s="2436"/>
      <c r="O30" s="2436"/>
      <c r="P30" s="2436"/>
      <c r="Q30" s="2436">
        <f>L30</f>
        <v>0</v>
      </c>
      <c r="R30" s="2436"/>
      <c r="S30" s="2436"/>
      <c r="T30" s="2436"/>
      <c r="U30" s="2436"/>
      <c r="V30" s="2436">
        <f t="shared" ref="V30:V32" si="0">Q30</f>
        <v>0</v>
      </c>
      <c r="W30" s="2436"/>
      <c r="X30" s="2436"/>
      <c r="Y30" s="2436"/>
      <c r="Z30" s="2436"/>
      <c r="AA30" s="2437"/>
      <c r="AB30" s="2437"/>
    </row>
    <row r="31" spans="1:28" ht="18" customHeight="1">
      <c r="A31" s="2434">
        <v>3</v>
      </c>
      <c r="B31" s="2434"/>
      <c r="C31" s="2436"/>
      <c r="D31" s="2436"/>
      <c r="E31" s="2436"/>
      <c r="F31" s="2436"/>
      <c r="G31" s="2436"/>
      <c r="H31" s="2436"/>
      <c r="I31" s="2436"/>
      <c r="J31" s="2436"/>
      <c r="K31" s="2436"/>
      <c r="L31" s="2436"/>
      <c r="M31" s="2436"/>
      <c r="N31" s="2436"/>
      <c r="O31" s="2436"/>
      <c r="P31" s="2436"/>
      <c r="Q31" s="2436">
        <f t="shared" ref="Q31:Q32" si="1">L31</f>
        <v>0</v>
      </c>
      <c r="R31" s="2436"/>
      <c r="S31" s="2436"/>
      <c r="T31" s="2436"/>
      <c r="U31" s="2436"/>
      <c r="V31" s="2436">
        <f t="shared" si="0"/>
        <v>0</v>
      </c>
      <c r="W31" s="2436"/>
      <c r="X31" s="2436"/>
      <c r="Y31" s="2436"/>
      <c r="Z31" s="2436"/>
      <c r="AA31" s="2437"/>
      <c r="AB31" s="2437"/>
    </row>
    <row r="32" spans="1:28" ht="18" customHeight="1">
      <c r="A32" s="2434">
        <v>4</v>
      </c>
      <c r="B32" s="2434"/>
      <c r="C32" s="2436"/>
      <c r="D32" s="2436"/>
      <c r="E32" s="2436"/>
      <c r="F32" s="2436"/>
      <c r="G32" s="2436"/>
      <c r="H32" s="2436"/>
      <c r="I32" s="2436"/>
      <c r="J32" s="2436"/>
      <c r="K32" s="2436"/>
      <c r="L32" s="2436"/>
      <c r="M32" s="2436"/>
      <c r="N32" s="2436"/>
      <c r="O32" s="2436"/>
      <c r="P32" s="2436"/>
      <c r="Q32" s="2436">
        <f t="shared" si="1"/>
        <v>0</v>
      </c>
      <c r="R32" s="2436"/>
      <c r="S32" s="2436"/>
      <c r="T32" s="2436"/>
      <c r="U32" s="2436"/>
      <c r="V32" s="2436">
        <f t="shared" si="0"/>
        <v>0</v>
      </c>
      <c r="W32" s="2436"/>
      <c r="X32" s="2436"/>
      <c r="Y32" s="2436"/>
      <c r="Z32" s="2436"/>
      <c r="AA32" s="2437"/>
      <c r="AB32" s="2437"/>
    </row>
    <row r="33" spans="1:28" ht="18.75" customHeight="1">
      <c r="A33" s="2434"/>
      <c r="B33" s="2434"/>
      <c r="C33" s="2435" t="s">
        <v>222</v>
      </c>
      <c r="D33" s="2435"/>
      <c r="E33" s="2435"/>
      <c r="F33" s="2435"/>
      <c r="G33" s="2435"/>
      <c r="H33" s="2435"/>
      <c r="I33" s="2435"/>
      <c r="J33" s="2435"/>
      <c r="K33" s="2435"/>
      <c r="L33" s="2436">
        <f>SUM(L29:P32)</f>
        <v>0</v>
      </c>
      <c r="M33" s="2436"/>
      <c r="N33" s="2436"/>
      <c r="O33" s="2436"/>
      <c r="P33" s="2436"/>
      <c r="Q33" s="2436">
        <f>SUM(Q29:U32)</f>
        <v>0</v>
      </c>
      <c r="R33" s="2436"/>
      <c r="S33" s="2436"/>
      <c r="T33" s="2436"/>
      <c r="U33" s="2436"/>
      <c r="V33" s="2436">
        <f>SUM(V29:Z32)</f>
        <v>0</v>
      </c>
      <c r="W33" s="2436"/>
      <c r="X33" s="2436"/>
      <c r="Y33" s="2436"/>
      <c r="Z33" s="2436"/>
      <c r="AA33" s="2437">
        <f>SUM(AA29:AB32)</f>
        <v>100</v>
      </c>
      <c r="AB33" s="2437"/>
    </row>
    <row r="34" spans="1:28" ht="19.5" customHeight="1">
      <c r="C34" s="786"/>
      <c r="D34" s="786"/>
      <c r="E34" s="786"/>
      <c r="F34" s="786"/>
      <c r="G34" s="786"/>
      <c r="H34" s="786"/>
      <c r="I34" s="786"/>
      <c r="J34" s="786"/>
      <c r="K34" s="786"/>
      <c r="L34" s="786"/>
      <c r="M34" s="786"/>
      <c r="N34" s="786"/>
      <c r="O34" s="786"/>
      <c r="P34" s="786"/>
      <c r="Q34" s="786"/>
      <c r="R34" s="786"/>
      <c r="S34" s="786"/>
      <c r="T34" s="786"/>
      <c r="U34" s="786"/>
      <c r="V34" s="786"/>
      <c r="W34" s="786"/>
      <c r="X34" s="786"/>
      <c r="Y34" s="786"/>
      <c r="Z34" s="786"/>
      <c r="AA34" s="786"/>
      <c r="AB34" s="786"/>
    </row>
    <row r="35" spans="1:28" ht="19.5" customHeight="1">
      <c r="A35" s="783" t="s">
        <v>223</v>
      </c>
    </row>
    <row r="36" spans="1:28" ht="18.75" customHeight="1">
      <c r="A36" s="795" t="s">
        <v>673</v>
      </c>
      <c r="B36" s="783" t="s">
        <v>227</v>
      </c>
    </row>
    <row r="37" spans="1:28" ht="18.75" customHeight="1">
      <c r="A37" s="795" t="s">
        <v>674</v>
      </c>
      <c r="B37" s="783" t="s">
        <v>224</v>
      </c>
    </row>
    <row r="38" spans="1:28" ht="18.75" customHeight="1">
      <c r="A38" s="795"/>
    </row>
    <row r="39" spans="1:28">
      <c r="T39" s="2431" t="s">
        <v>225</v>
      </c>
      <c r="U39" s="2431"/>
      <c r="V39" s="2431"/>
      <c r="W39" s="2431"/>
      <c r="X39" s="2431"/>
      <c r="Y39" s="2431"/>
      <c r="Z39" s="2431"/>
    </row>
    <row r="40" spans="1:28">
      <c r="P40" s="783" t="s">
        <v>686</v>
      </c>
      <c r="T40" s="2431"/>
      <c r="U40" s="2431"/>
      <c r="V40" s="2431"/>
      <c r="W40" s="2431"/>
      <c r="X40" s="2431"/>
      <c r="Y40" s="2431"/>
      <c r="Z40" s="2431"/>
    </row>
    <row r="41" spans="1:28">
      <c r="T41" s="2432"/>
      <c r="U41" s="2432"/>
      <c r="V41" s="2432"/>
      <c r="W41" s="2432"/>
      <c r="X41" s="2432"/>
      <c r="Y41" s="2432"/>
      <c r="Z41" s="2432"/>
    </row>
    <row r="42" spans="1:28">
      <c r="T42" s="2433">
        <f>FirmaDirekor</f>
        <v>0</v>
      </c>
      <c r="U42" s="2433"/>
      <c r="V42" s="2433"/>
      <c r="W42" s="2433"/>
      <c r="X42" s="2433"/>
      <c r="Y42" s="2433"/>
      <c r="Z42" s="2433"/>
    </row>
  </sheetData>
  <mergeCells count="63">
    <mergeCell ref="Q24:U24"/>
    <mergeCell ref="V24:AB24"/>
    <mergeCell ref="F4:H4"/>
    <mergeCell ref="A24:B24"/>
    <mergeCell ref="C24:K24"/>
    <mergeCell ref="L24:P24"/>
    <mergeCell ref="V25:AB25"/>
    <mergeCell ref="A26:B26"/>
    <mergeCell ref="C26:K26"/>
    <mergeCell ref="L26:P26"/>
    <mergeCell ref="Q26:U26"/>
    <mergeCell ref="V26:Z26"/>
    <mergeCell ref="A25:B25"/>
    <mergeCell ref="C25:K25"/>
    <mergeCell ref="L25:P25"/>
    <mergeCell ref="Q25:U25"/>
    <mergeCell ref="AA26:AB26"/>
    <mergeCell ref="A27:B27"/>
    <mergeCell ref="C27:K27"/>
    <mergeCell ref="L27:P27"/>
    <mergeCell ref="Q27:U27"/>
    <mergeCell ref="Q29:U29"/>
    <mergeCell ref="L28:P28"/>
    <mergeCell ref="Q28:U28"/>
    <mergeCell ref="L29:P29"/>
    <mergeCell ref="V27:Z27"/>
    <mergeCell ref="AA27:AB27"/>
    <mergeCell ref="V29:Z29"/>
    <mergeCell ref="AA29:AB29"/>
    <mergeCell ref="V28:Z28"/>
    <mergeCell ref="AA28:AB28"/>
    <mergeCell ref="A30:B30"/>
    <mergeCell ref="C30:K30"/>
    <mergeCell ref="L30:P30"/>
    <mergeCell ref="Q30:U30"/>
    <mergeCell ref="A28:B28"/>
    <mergeCell ref="C28:K28"/>
    <mergeCell ref="A29:B29"/>
    <mergeCell ref="C29:K29"/>
    <mergeCell ref="A31:B31"/>
    <mergeCell ref="C31:K31"/>
    <mergeCell ref="L31:P31"/>
    <mergeCell ref="Q31:U31"/>
    <mergeCell ref="A32:B32"/>
    <mergeCell ref="C32:K32"/>
    <mergeCell ref="L32:P32"/>
    <mergeCell ref="Q32:U32"/>
    <mergeCell ref="V30:Z30"/>
    <mergeCell ref="AA30:AB30"/>
    <mergeCell ref="V31:Z31"/>
    <mergeCell ref="AA31:AB31"/>
    <mergeCell ref="AA33:AB33"/>
    <mergeCell ref="V32:Z32"/>
    <mergeCell ref="AA32:AB32"/>
    <mergeCell ref="T40:Z40"/>
    <mergeCell ref="T41:Z41"/>
    <mergeCell ref="T42:Z42"/>
    <mergeCell ref="A33:B33"/>
    <mergeCell ref="C33:K33"/>
    <mergeCell ref="L33:P33"/>
    <mergeCell ref="Q33:U33"/>
    <mergeCell ref="V33:Z33"/>
    <mergeCell ref="T39:Z39"/>
  </mergeCells>
  <phoneticPr fontId="60" type="noConversion"/>
  <pageMargins left="0.55118110236220474" right="0.27559055118110237" top="0.59055118110236215" bottom="0.59055118110236215" header="0.3543307086614173" footer="0.27559055118110237"/>
  <pageSetup paperSize="9" scale="95" orientation="portrait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6" enableFormatConditionsCalculation="0">
    <tabColor indexed="15"/>
  </sheetPr>
  <dimension ref="A2:AK39"/>
  <sheetViews>
    <sheetView showGridLines="0" topLeftCell="A13" workbookViewId="0">
      <selection activeCell="A14" sqref="A14"/>
    </sheetView>
  </sheetViews>
  <sheetFormatPr defaultColWidth="2.28515625" defaultRowHeight="14.25"/>
  <cols>
    <col min="1" max="1" width="3.28515625" style="832" customWidth="1"/>
    <col min="2" max="6" width="2.28515625" style="832"/>
    <col min="7" max="7" width="2.85546875" style="832" customWidth="1"/>
    <col min="8" max="24" width="2.28515625" style="832"/>
    <col min="25" max="25" width="2.5703125" style="832" bestFit="1" customWidth="1"/>
    <col min="26" max="16384" width="2.28515625" style="832"/>
  </cols>
  <sheetData>
    <row r="2" spans="1:22" ht="14.25" customHeight="1">
      <c r="A2" s="1094">
        <f>FirmaNaziv</f>
        <v>0</v>
      </c>
    </row>
    <row r="3" spans="1:22" ht="14.25" customHeight="1">
      <c r="A3" s="1094">
        <f>FirmaSjediste</f>
        <v>0</v>
      </c>
    </row>
    <row r="4" spans="1:22" ht="14.25" customHeight="1">
      <c r="A4" s="842" t="str">
        <f>MID(FirmaID,1,1)</f>
        <v/>
      </c>
      <c r="B4" s="842" t="str">
        <f>MID(FirmaID,2,1)</f>
        <v/>
      </c>
      <c r="C4" s="842" t="str">
        <f>MID(FirmaID,3,1)</f>
        <v/>
      </c>
      <c r="D4" s="842" t="str">
        <f>MID(FirmaID,4,1)</f>
        <v/>
      </c>
      <c r="E4" s="842" t="str">
        <f>MID(FirmaID,5,1)</f>
        <v/>
      </c>
      <c r="F4" s="842" t="str">
        <f>MID(FirmaID,6,1)</f>
        <v/>
      </c>
      <c r="G4" s="842" t="str">
        <f>MID(FirmaID,7,1)</f>
        <v/>
      </c>
      <c r="H4" s="842" t="str">
        <f>MID(FirmaID,8,1)</f>
        <v/>
      </c>
      <c r="I4" s="842" t="str">
        <f>MID(FirmaID,9,1)</f>
        <v/>
      </c>
      <c r="J4" s="842" t="str">
        <f>MID(FirmaID,10,1)</f>
        <v/>
      </c>
      <c r="K4" s="842" t="str">
        <f>MID(FirmaID,11,1)</f>
        <v/>
      </c>
      <c r="L4" s="842" t="str">
        <f>MID(FirmaID,12,1)</f>
        <v/>
      </c>
      <c r="M4" s="842" t="str">
        <f>MID(FirmaID,13,1)</f>
        <v/>
      </c>
      <c r="N4" s="834"/>
      <c r="O4" s="834"/>
      <c r="P4" s="834"/>
    </row>
    <row r="5" spans="1:22" ht="14.25" customHeight="1">
      <c r="A5" s="833"/>
      <c r="B5" s="833"/>
      <c r="C5" s="833"/>
      <c r="D5" s="833"/>
      <c r="E5" s="833"/>
      <c r="F5" s="833"/>
      <c r="G5" s="833"/>
      <c r="H5" s="833"/>
      <c r="I5" s="833"/>
      <c r="J5" s="833"/>
      <c r="K5" s="833"/>
      <c r="L5" s="833"/>
      <c r="M5" s="833"/>
    </row>
    <row r="6" spans="1:22" ht="14.25" customHeight="1">
      <c r="A6" s="833" t="s">
        <v>1152</v>
      </c>
      <c r="D6" s="1095" t="str">
        <f>ObracunPredaja</f>
        <v>28.2.2012.</v>
      </c>
    </row>
    <row r="7" spans="1:22" ht="14.25" customHeight="1">
      <c r="A7" s="833" t="s">
        <v>838</v>
      </c>
    </row>
    <row r="8" spans="1:22" ht="14.25" customHeight="1"/>
    <row r="9" spans="1:22" ht="14.25" customHeight="1">
      <c r="J9" s="834"/>
    </row>
    <row r="10" spans="1:22" ht="14.25" customHeight="1"/>
    <row r="11" spans="1:22" ht="14.25" customHeight="1">
      <c r="A11" s="831" t="s">
        <v>1264</v>
      </c>
      <c r="V11" s="833"/>
    </row>
    <row r="12" spans="1:22" ht="14.25" customHeight="1">
      <c r="A12" s="831" t="s">
        <v>2109</v>
      </c>
      <c r="G12" s="1094">
        <f>FirmaSjediste</f>
        <v>0</v>
      </c>
    </row>
    <row r="13" spans="1:22" ht="14.25" customHeight="1">
      <c r="A13" s="831"/>
      <c r="E13" s="835"/>
      <c r="F13" s="835"/>
      <c r="G13" s="835"/>
      <c r="H13" s="835"/>
      <c r="I13" s="835"/>
      <c r="J13" s="835"/>
      <c r="K13" s="835"/>
      <c r="L13" s="835"/>
      <c r="M13" s="835"/>
    </row>
    <row r="14" spans="1:22" ht="14.25" customHeight="1"/>
    <row r="15" spans="1:22" ht="14.25" customHeight="1">
      <c r="K15" s="832" t="s">
        <v>1265</v>
      </c>
    </row>
    <row r="16" spans="1:22" ht="14.25" customHeight="1"/>
    <row r="17" spans="1:37" ht="14.25" customHeight="1">
      <c r="A17" s="836" t="s">
        <v>1266</v>
      </c>
      <c r="B17" s="837"/>
      <c r="C17" s="837"/>
      <c r="D17" s="837"/>
      <c r="E17" s="837"/>
      <c r="F17" s="837"/>
      <c r="G17" s="837"/>
      <c r="H17" s="837"/>
      <c r="I17" s="837"/>
    </row>
    <row r="18" spans="1:37" ht="14.25" customHeight="1">
      <c r="A18" s="836"/>
      <c r="B18" s="837"/>
      <c r="C18" s="837"/>
      <c r="D18" s="837"/>
      <c r="E18" s="837"/>
      <c r="F18" s="837"/>
      <c r="G18" s="837"/>
      <c r="H18" s="837"/>
      <c r="I18" s="837"/>
    </row>
    <row r="19" spans="1:37" ht="14.25" customHeight="1">
      <c r="A19" s="2451" t="str">
        <f>"Na osnovu podataka iz finansijskih izvještaja godišnjeg obračuna za " &amp; ObracunGodina &amp; ". godinu, pravno lice " &amp; FirmaNaziv &amp; ", " &amp; FirmaSjediste &amp; " je prema kriterijima razvrstavanja iz člana 4. Zakona o računovodstvu i reviziji u Federaciji BiH („Službene novine Federacije BiH“, broj 83/09) iskazalo sljedeće vrijednosti:"</f>
        <v>Na osnovu podataka iz finansijskih izvještaja godišnjeg obračuna za 2011. godinu, pravno lice ,  je prema kriterijima razvrstavanja iz člana 4. Zakona o računovodstvu i reviziji u Federaciji BiH („Službene novine Federacije BiH“, broj 83/09) iskazalo sljedeće vrijednosti:</v>
      </c>
      <c r="B19" s="2451"/>
      <c r="C19" s="2451"/>
      <c r="D19" s="2451"/>
      <c r="E19" s="2451"/>
      <c r="F19" s="2451"/>
      <c r="G19" s="2451"/>
      <c r="H19" s="2451"/>
      <c r="I19" s="2451"/>
      <c r="J19" s="2451"/>
      <c r="K19" s="2451"/>
      <c r="L19" s="2451"/>
      <c r="M19" s="2451"/>
      <c r="N19" s="2451"/>
      <c r="O19" s="2451"/>
      <c r="P19" s="2451"/>
      <c r="Q19" s="2451"/>
      <c r="R19" s="2451"/>
      <c r="S19" s="2451"/>
      <c r="T19" s="2451"/>
      <c r="U19" s="2451"/>
      <c r="V19" s="2451"/>
      <c r="W19" s="2451"/>
      <c r="X19" s="2451"/>
      <c r="Y19" s="2451"/>
      <c r="Z19" s="2451"/>
      <c r="AA19" s="2451"/>
      <c r="AB19" s="2451"/>
      <c r="AC19" s="2451"/>
      <c r="AD19" s="2451"/>
      <c r="AE19" s="2451"/>
      <c r="AF19" s="2451"/>
      <c r="AG19" s="2451"/>
      <c r="AH19" s="2451"/>
      <c r="AI19" s="2451"/>
      <c r="AJ19" s="2451"/>
      <c r="AK19" s="2451"/>
    </row>
    <row r="20" spans="1:37" ht="14.25" customHeight="1">
      <c r="A20" s="2451"/>
      <c r="B20" s="2451"/>
      <c r="C20" s="2451"/>
      <c r="D20" s="2451"/>
      <c r="E20" s="2451"/>
      <c r="F20" s="2451"/>
      <c r="G20" s="2451"/>
      <c r="H20" s="2451"/>
      <c r="I20" s="2451"/>
      <c r="J20" s="2451"/>
      <c r="K20" s="2451"/>
      <c r="L20" s="2451"/>
      <c r="M20" s="2451"/>
      <c r="N20" s="2451"/>
      <c r="O20" s="2451"/>
      <c r="P20" s="2451"/>
      <c r="Q20" s="2451"/>
      <c r="R20" s="2451"/>
      <c r="S20" s="2451"/>
      <c r="T20" s="2451"/>
      <c r="U20" s="2451"/>
      <c r="V20" s="2451"/>
      <c r="W20" s="2451"/>
      <c r="X20" s="2451"/>
      <c r="Y20" s="2451"/>
      <c r="Z20" s="2451"/>
      <c r="AA20" s="2451"/>
      <c r="AB20" s="2451"/>
      <c r="AC20" s="2451"/>
      <c r="AD20" s="2451"/>
      <c r="AE20" s="2451"/>
      <c r="AF20" s="2451"/>
      <c r="AG20" s="2451"/>
      <c r="AH20" s="2451"/>
      <c r="AI20" s="2451"/>
      <c r="AJ20" s="2451"/>
      <c r="AK20" s="2451"/>
    </row>
    <row r="21" spans="1:37" ht="14.25" customHeight="1">
      <c r="A21" s="2451"/>
      <c r="B21" s="2451"/>
      <c r="C21" s="2451"/>
      <c r="D21" s="2451"/>
      <c r="E21" s="2451"/>
      <c r="F21" s="2451"/>
      <c r="G21" s="2451"/>
      <c r="H21" s="2451"/>
      <c r="I21" s="2451"/>
      <c r="J21" s="2451"/>
      <c r="K21" s="2451"/>
      <c r="L21" s="2451"/>
      <c r="M21" s="2451"/>
      <c r="N21" s="2451"/>
      <c r="O21" s="2451"/>
      <c r="P21" s="2451"/>
      <c r="Q21" s="2451"/>
      <c r="R21" s="2451"/>
      <c r="S21" s="2451"/>
      <c r="T21" s="2451"/>
      <c r="U21" s="2451"/>
      <c r="V21" s="2451"/>
      <c r="W21" s="2451"/>
      <c r="X21" s="2451"/>
      <c r="Y21" s="2451"/>
      <c r="Z21" s="2451"/>
      <c r="AA21" s="2451"/>
      <c r="AB21" s="2451"/>
      <c r="AC21" s="2451"/>
      <c r="AD21" s="2451"/>
      <c r="AE21" s="2451"/>
      <c r="AF21" s="2451"/>
      <c r="AG21" s="2451"/>
      <c r="AH21" s="2451"/>
      <c r="AI21" s="2451"/>
      <c r="AJ21" s="2451"/>
      <c r="AK21" s="2451"/>
    </row>
    <row r="22" spans="1:37" ht="14.25" customHeight="1">
      <c r="A22" s="2451"/>
      <c r="B22" s="2451"/>
      <c r="C22" s="2451"/>
      <c r="D22" s="2451"/>
      <c r="E22" s="2451"/>
      <c r="F22" s="2451"/>
      <c r="G22" s="2451"/>
      <c r="H22" s="2451"/>
      <c r="I22" s="2451"/>
      <c r="J22" s="2451"/>
      <c r="K22" s="2451"/>
      <c r="L22" s="2451"/>
      <c r="M22" s="2451"/>
      <c r="N22" s="2451"/>
      <c r="O22" s="2451"/>
      <c r="P22" s="2451"/>
      <c r="Q22" s="2451"/>
      <c r="R22" s="2451"/>
      <c r="S22" s="2451"/>
      <c r="T22" s="2451"/>
      <c r="U22" s="2451"/>
      <c r="V22" s="2451"/>
      <c r="W22" s="2451"/>
      <c r="X22" s="2451"/>
      <c r="Y22" s="2451"/>
      <c r="Z22" s="2451"/>
      <c r="AA22" s="2451"/>
      <c r="AB22" s="2451"/>
      <c r="AC22" s="2451"/>
      <c r="AD22" s="2451"/>
      <c r="AE22" s="2451"/>
      <c r="AF22" s="2451"/>
      <c r="AG22" s="2451"/>
      <c r="AH22" s="2451"/>
      <c r="AI22" s="2451"/>
      <c r="AJ22" s="2451"/>
      <c r="AK22" s="2451"/>
    </row>
    <row r="23" spans="1:37" ht="14.25" customHeight="1">
      <c r="A23" s="2451"/>
      <c r="B23" s="2451"/>
      <c r="C23" s="2451"/>
      <c r="D23" s="2451"/>
      <c r="E23" s="2451"/>
      <c r="F23" s="2451"/>
      <c r="G23" s="2451"/>
      <c r="H23" s="2451"/>
      <c r="I23" s="2451"/>
      <c r="J23" s="2451"/>
      <c r="K23" s="2451"/>
      <c r="L23" s="2451"/>
      <c r="M23" s="2451"/>
      <c r="N23" s="2451"/>
      <c r="O23" s="2451"/>
      <c r="P23" s="2451"/>
      <c r="Q23" s="2451"/>
      <c r="R23" s="2451"/>
      <c r="S23" s="2451"/>
      <c r="T23" s="2451"/>
      <c r="U23" s="2451"/>
      <c r="V23" s="2451"/>
      <c r="W23" s="2451"/>
      <c r="X23" s="2451"/>
      <c r="Y23" s="2451"/>
      <c r="Z23" s="2451"/>
      <c r="AA23" s="2451"/>
      <c r="AB23" s="2451"/>
      <c r="AC23" s="2451"/>
      <c r="AD23" s="2451"/>
      <c r="AE23" s="2451"/>
      <c r="AF23" s="2451"/>
      <c r="AG23" s="2451"/>
      <c r="AH23" s="2451"/>
      <c r="AI23" s="2451"/>
      <c r="AJ23" s="2451"/>
      <c r="AK23" s="2451"/>
    </row>
    <row r="24" spans="1:37" ht="14.25" customHeight="1">
      <c r="A24" s="2451"/>
      <c r="B24" s="2451"/>
      <c r="C24" s="2451"/>
      <c r="D24" s="2451"/>
      <c r="E24" s="2451"/>
      <c r="F24" s="2451"/>
      <c r="G24" s="2451"/>
      <c r="H24" s="2451"/>
      <c r="I24" s="2451"/>
      <c r="J24" s="2451"/>
      <c r="K24" s="2451"/>
      <c r="L24" s="2451"/>
      <c r="M24" s="2451"/>
      <c r="N24" s="2451"/>
      <c r="O24" s="2451"/>
      <c r="P24" s="2451"/>
      <c r="Q24" s="2451"/>
      <c r="R24" s="2451"/>
      <c r="S24" s="2451"/>
      <c r="T24" s="2451"/>
      <c r="U24" s="2451"/>
      <c r="V24" s="2451"/>
      <c r="W24" s="2451"/>
      <c r="X24" s="2451"/>
      <c r="Y24" s="2451"/>
      <c r="Z24" s="2451"/>
      <c r="AA24" s="2451"/>
      <c r="AB24" s="2451"/>
      <c r="AC24" s="2451"/>
      <c r="AD24" s="2451"/>
      <c r="AE24" s="2451"/>
      <c r="AF24" s="2451"/>
      <c r="AG24" s="2451"/>
      <c r="AH24" s="2451"/>
      <c r="AI24" s="2451"/>
      <c r="AJ24" s="2451"/>
      <c r="AK24" s="2451"/>
    </row>
    <row r="25" spans="1:37" ht="14.25" customHeight="1">
      <c r="B25" s="838"/>
      <c r="C25" s="838"/>
      <c r="D25" s="838"/>
      <c r="F25" s="838"/>
      <c r="G25" s="838"/>
      <c r="H25" s="838"/>
      <c r="I25" s="838"/>
    </row>
    <row r="26" spans="1:37" ht="14.25" customHeight="1">
      <c r="A26" s="838"/>
      <c r="B26" s="838"/>
      <c r="C26" s="838" t="s">
        <v>611</v>
      </c>
      <c r="D26" s="838"/>
      <c r="E26" s="838"/>
      <c r="F26" s="838"/>
      <c r="G26" s="838"/>
      <c r="H26" s="838"/>
      <c r="I26" s="838"/>
      <c r="X26" s="2452">
        <f>unos!G54</f>
        <v>0</v>
      </c>
      <c r="Y26" s="2452"/>
      <c r="Z26" s="2452"/>
      <c r="AA26" s="2452"/>
      <c r="AB26" s="2452"/>
      <c r="AC26" s="2452"/>
      <c r="AD26" s="2452"/>
      <c r="AE26" s="2452"/>
      <c r="AF26" s="832" t="s">
        <v>2066</v>
      </c>
    </row>
    <row r="27" spans="1:37" ht="14.25" customHeight="1">
      <c r="A27" s="838"/>
      <c r="B27" s="838"/>
      <c r="C27" s="838" t="s">
        <v>2104</v>
      </c>
      <c r="D27" s="838"/>
      <c r="E27" s="838"/>
      <c r="F27" s="838"/>
      <c r="G27" s="838"/>
      <c r="H27" s="838"/>
      <c r="I27" s="838"/>
      <c r="X27" s="2453">
        <f>('bilans-stanja'!AN98-'bilans-stanja'!AN97+'bilans-stanja'!AU98-'bilans-stanja'!AU97)/2</f>
        <v>0</v>
      </c>
      <c r="Y27" s="2453"/>
      <c r="Z27" s="2453"/>
      <c r="AA27" s="2453"/>
      <c r="AB27" s="2453"/>
      <c r="AC27" s="2453"/>
      <c r="AD27" s="2453"/>
      <c r="AE27" s="2453"/>
      <c r="AF27" s="832" t="s">
        <v>2066</v>
      </c>
    </row>
    <row r="28" spans="1:37" ht="14.25" customHeight="1">
      <c r="A28" s="838"/>
      <c r="B28" s="838"/>
      <c r="C28" s="838" t="s">
        <v>2105</v>
      </c>
      <c r="D28" s="838"/>
      <c r="E28" s="838"/>
      <c r="F28" s="838"/>
      <c r="G28" s="838"/>
      <c r="H28" s="838"/>
      <c r="I28" s="838"/>
      <c r="X28" s="2453">
        <f>unos!G162</f>
        <v>0</v>
      </c>
      <c r="Y28" s="2453"/>
      <c r="Z28" s="2453"/>
      <c r="AA28" s="2453"/>
      <c r="AB28" s="2453"/>
      <c r="AC28" s="2453"/>
      <c r="AD28" s="2453"/>
      <c r="AE28" s="2453"/>
      <c r="AF28" s="832" t="s">
        <v>2106</v>
      </c>
    </row>
    <row r="29" spans="1:37" ht="14.25" customHeight="1">
      <c r="A29" s="838"/>
      <c r="B29" s="838"/>
      <c r="C29" s="838"/>
      <c r="D29" s="838"/>
      <c r="E29" s="838"/>
      <c r="F29" s="838"/>
      <c r="G29" s="838"/>
      <c r="H29" s="838"/>
      <c r="I29" s="838"/>
    </row>
    <row r="30" spans="1:37" ht="14.25" customHeight="1">
      <c r="A30" s="838"/>
      <c r="B30" s="838"/>
      <c r="C30" s="838"/>
      <c r="D30" s="838"/>
      <c r="E30" s="838"/>
      <c r="F30" s="838"/>
      <c r="G30" s="838"/>
      <c r="H30" s="838"/>
      <c r="I30" s="838"/>
    </row>
    <row r="31" spans="1:37" ht="14.25" customHeight="1">
      <c r="A31" s="838" t="s">
        <v>2107</v>
      </c>
      <c r="B31" s="838"/>
      <c r="C31" s="838"/>
      <c r="D31" s="838"/>
      <c r="E31" s="838"/>
      <c r="F31" s="838"/>
      <c r="G31" s="838"/>
      <c r="H31" s="838"/>
      <c r="I31" s="838"/>
      <c r="X31" s="2450" t="s">
        <v>2946</v>
      </c>
      <c r="Y31" s="2450"/>
      <c r="Z31" s="2450"/>
      <c r="AA31" s="2450"/>
      <c r="AB31" s="2450"/>
      <c r="AC31" s="2450"/>
      <c r="AD31" s="2450"/>
      <c r="AE31" s="2450"/>
      <c r="AF31" s="832" t="s">
        <v>2108</v>
      </c>
    </row>
    <row r="32" spans="1:37" ht="14.25" customHeight="1">
      <c r="A32" s="838"/>
      <c r="B32" s="838"/>
      <c r="C32" s="838"/>
      <c r="D32" s="838"/>
      <c r="E32" s="838"/>
      <c r="F32" s="838"/>
      <c r="G32" s="838"/>
      <c r="H32" s="838"/>
      <c r="I32" s="838"/>
    </row>
    <row r="33" spans="1:34" ht="14.25" customHeight="1">
      <c r="A33" s="836"/>
      <c r="B33" s="837"/>
      <c r="C33" s="837"/>
      <c r="D33" s="837"/>
      <c r="E33" s="837"/>
      <c r="F33" s="837"/>
      <c r="G33" s="837"/>
      <c r="H33" s="837"/>
      <c r="I33" s="837"/>
    </row>
    <row r="34" spans="1:34" ht="14.25" customHeight="1"/>
    <row r="35" spans="1:34" ht="14.25" customHeight="1"/>
    <row r="36" spans="1:34" ht="14.25" customHeight="1">
      <c r="T36" s="839" t="s">
        <v>686</v>
      </c>
      <c r="Y36" s="832" t="s">
        <v>2204</v>
      </c>
    </row>
    <row r="37" spans="1:34" ht="14.25" customHeight="1">
      <c r="W37" s="840"/>
      <c r="X37" s="840"/>
      <c r="Y37" s="840"/>
      <c r="Z37" s="840"/>
      <c r="AA37" s="840"/>
      <c r="AB37" s="840"/>
      <c r="AC37" s="840"/>
      <c r="AD37" s="840"/>
      <c r="AE37" s="840"/>
      <c r="AF37" s="840"/>
    </row>
    <row r="38" spans="1:34" ht="14.25" customHeight="1">
      <c r="W38" s="840"/>
      <c r="X38" s="840"/>
      <c r="Y38" s="843">
        <f>FirmaDirekor</f>
        <v>0</v>
      </c>
      <c r="Z38" s="841"/>
      <c r="AA38" s="841"/>
      <c r="AB38" s="841"/>
      <c r="AC38" s="841"/>
      <c r="AD38" s="841"/>
      <c r="AE38" s="841"/>
      <c r="AF38" s="841"/>
      <c r="AG38" s="841"/>
      <c r="AH38" s="841"/>
    </row>
    <row r="39" spans="1:34" ht="14.25" customHeight="1">
      <c r="W39" s="840"/>
      <c r="X39" s="840"/>
      <c r="Y39" s="840"/>
      <c r="Z39" s="840"/>
      <c r="AA39" s="840"/>
      <c r="AB39" s="840"/>
      <c r="AC39" s="840"/>
      <c r="AD39" s="840"/>
      <c r="AE39" s="840"/>
      <c r="AF39" s="840"/>
      <c r="AG39" s="840"/>
      <c r="AH39" s="840"/>
    </row>
  </sheetData>
  <mergeCells count="5">
    <mergeCell ref="X31:AE31"/>
    <mergeCell ref="A19:AK24"/>
    <mergeCell ref="X26:AE26"/>
    <mergeCell ref="X27:AE27"/>
    <mergeCell ref="X28:AE28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verticalDpi="0" r:id="rId1"/>
  <headerFooter alignWithMargins="0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7" enableFormatConditionsCalculation="0">
    <tabColor indexed="49"/>
  </sheetPr>
  <dimension ref="A1:AK52"/>
  <sheetViews>
    <sheetView showGridLines="0" topLeftCell="A16" workbookViewId="0">
      <selection activeCell="S39" sqref="S39:AB39"/>
    </sheetView>
  </sheetViews>
  <sheetFormatPr defaultColWidth="2.28515625" defaultRowHeight="14.25"/>
  <cols>
    <col min="1" max="1" width="3.28515625" style="832" customWidth="1"/>
    <col min="2" max="3" width="2.28515625" style="832"/>
    <col min="4" max="4" width="6.7109375" style="832" bestFit="1" customWidth="1"/>
    <col min="5" max="24" width="2.28515625" style="832"/>
    <col min="25" max="25" width="2.5703125" style="832" bestFit="1" customWidth="1"/>
    <col min="26" max="16384" width="2.28515625" style="832"/>
  </cols>
  <sheetData>
    <row r="1" spans="1:37" s="827" customFormat="1" ht="15.75">
      <c r="A1" s="1096">
        <f>FirmaNaziv</f>
        <v>0</v>
      </c>
    </row>
    <row r="2" spans="1:37" s="827" customFormat="1" ht="15.75">
      <c r="A2" s="1096">
        <f>FirmaSjediste</f>
        <v>0</v>
      </c>
    </row>
    <row r="3" spans="1:37" s="827" customFormat="1">
      <c r="A3" s="828" t="str">
        <f>MID(FirmaID,1,1)</f>
        <v/>
      </c>
      <c r="B3" s="828" t="str">
        <f>MID(FirmaID,2,1)</f>
        <v/>
      </c>
      <c r="C3" s="828" t="str">
        <f>MID(FirmaID,3,1)</f>
        <v/>
      </c>
      <c r="D3" s="828" t="str">
        <f>MID(FirmaID,4,1)</f>
        <v/>
      </c>
      <c r="E3" s="828" t="str">
        <f>MID(FirmaID,5,1)</f>
        <v/>
      </c>
      <c r="F3" s="828" t="str">
        <f>MID(FirmaID,6,1)</f>
        <v/>
      </c>
      <c r="G3" s="828" t="str">
        <f>MID(FirmaID,7,1)</f>
        <v/>
      </c>
      <c r="H3" s="828" t="str">
        <f>MID(FirmaID,8,1)</f>
        <v/>
      </c>
      <c r="I3" s="828" t="str">
        <f>MID(FirmaID,9,1)</f>
        <v/>
      </c>
      <c r="J3" s="828" t="str">
        <f>MID(FirmaID,10,1)</f>
        <v/>
      </c>
      <c r="K3" s="828" t="str">
        <f>MID(FirmaID,11,1)</f>
        <v/>
      </c>
      <c r="L3" s="828" t="str">
        <f>MID(FirmaID,12,1)</f>
        <v/>
      </c>
      <c r="M3" s="828" t="str">
        <f>MID(FirmaID,13,1)</f>
        <v/>
      </c>
    </row>
    <row r="4" spans="1:37" s="827" customFormat="1">
      <c r="A4" s="828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37" s="827" customFormat="1">
      <c r="A5" s="828" t="s">
        <v>2185</v>
      </c>
      <c r="D5" s="1097" t="str">
        <f>ObracunPredaja</f>
        <v>28.2.2012.</v>
      </c>
      <c r="I5" s="827" t="s">
        <v>2186</v>
      </c>
    </row>
    <row r="6" spans="1:37" s="827" customFormat="1">
      <c r="A6" s="828" t="s">
        <v>2191</v>
      </c>
    </row>
    <row r="9" spans="1:37" ht="15.75">
      <c r="A9" s="831" t="s">
        <v>1264</v>
      </c>
      <c r="V9" s="833"/>
    </row>
    <row r="10" spans="1:37" ht="15.75">
      <c r="A10" s="831" t="s">
        <v>612</v>
      </c>
    </row>
    <row r="11" spans="1:37" ht="15.75">
      <c r="A11" s="831"/>
      <c r="E11" s="835"/>
      <c r="F11" s="835"/>
      <c r="G11" s="835"/>
      <c r="H11" s="835"/>
      <c r="I11" s="835"/>
      <c r="J11" s="835"/>
      <c r="K11" s="835"/>
      <c r="L11" s="835"/>
      <c r="M11" s="835"/>
    </row>
    <row r="14" spans="1:37" ht="15">
      <c r="A14" s="836" t="s">
        <v>613</v>
      </c>
      <c r="F14" s="2454" t="str">
        <f>"Odluka o prijedlogu raspodjele dobiti za " &amp; ObracunGodina &amp; ". godinu za potrebe predaje finansijskih izvještaja ovlaštenoj instituciji"</f>
        <v>Odluka o prijedlogu raspodjele dobiti za 2011. godinu za potrebe predaje finansijskih izvještaja ovlaštenoj instituciji</v>
      </c>
      <c r="G14" s="2454"/>
      <c r="H14" s="2454"/>
      <c r="I14" s="2454"/>
      <c r="J14" s="2454"/>
      <c r="K14" s="2454"/>
      <c r="L14" s="2454"/>
      <c r="M14" s="2454"/>
      <c r="N14" s="2454"/>
      <c r="O14" s="2454"/>
      <c r="P14" s="2454"/>
      <c r="Q14" s="2454"/>
      <c r="R14" s="2454"/>
      <c r="S14" s="2454"/>
      <c r="T14" s="2454"/>
      <c r="U14" s="2454"/>
      <c r="V14" s="2454"/>
      <c r="W14" s="2454"/>
      <c r="X14" s="2454"/>
      <c r="Y14" s="2454"/>
      <c r="Z14" s="2454"/>
      <c r="AA14" s="2454"/>
      <c r="AB14" s="2454"/>
      <c r="AC14" s="2454"/>
      <c r="AD14" s="2454"/>
      <c r="AE14" s="2454"/>
      <c r="AF14" s="2454"/>
      <c r="AG14" s="2454"/>
      <c r="AH14" s="2454"/>
      <c r="AI14" s="2454"/>
      <c r="AJ14" s="2454"/>
      <c r="AK14" s="2454"/>
    </row>
    <row r="15" spans="1:37">
      <c r="F15" s="2454"/>
      <c r="G15" s="2454"/>
      <c r="H15" s="2454"/>
      <c r="I15" s="2454"/>
      <c r="J15" s="2454"/>
      <c r="K15" s="2454"/>
      <c r="L15" s="2454"/>
      <c r="M15" s="2454"/>
      <c r="N15" s="2454"/>
      <c r="O15" s="2454"/>
      <c r="P15" s="2454"/>
      <c r="Q15" s="2454"/>
      <c r="R15" s="2454"/>
      <c r="S15" s="2454"/>
      <c r="T15" s="2454"/>
      <c r="U15" s="2454"/>
      <c r="V15" s="2454"/>
      <c r="W15" s="2454"/>
      <c r="X15" s="2454"/>
      <c r="Y15" s="2454"/>
      <c r="Z15" s="2454"/>
      <c r="AA15" s="2454"/>
      <c r="AB15" s="2454"/>
      <c r="AC15" s="2454"/>
      <c r="AD15" s="2454"/>
      <c r="AE15" s="2454"/>
      <c r="AF15" s="2454"/>
      <c r="AG15" s="2454"/>
      <c r="AH15" s="2454"/>
      <c r="AI15" s="2454"/>
      <c r="AJ15" s="2454"/>
      <c r="AK15" s="2454"/>
    </row>
    <row r="17" spans="1:37">
      <c r="A17" s="2451" t="str">
        <f>"Na osnovu člana  347. Zakona o privrednim društvima („Službene novine Federacije BiH“, br. 23/99, 45/00, 2/02, 6/02, 29/03, 68/05, 91/07, 84/09, 88/08 i 7/09) i odredbi Statuta " &amp; FirmaNaziv &amp; ", " &amp; FirmaSjediste &amp; ", a u smislu člana 44. stav 6. Zakona o računovodstvu i reviziji u Federaciji BiH („Službene novine Federacije BiH“, broj 83/09),  direktor donosi"</f>
        <v>Na osnovu člana  347. Zakona o privrednim društvima („Službene novine Federacije BiH“, br. 23/99, 45/00, 2/02, 6/02, 29/03, 68/05, 91/07, 84/09, 88/08 i 7/09) i odredbi Statuta , , a u smislu člana 44. stav 6. Zakona o računovodstvu i reviziji u Federaciji BiH („Službene novine Federacije BiH“, broj 83/09),  direktor donosi</v>
      </c>
      <c r="B17" s="2451"/>
      <c r="C17" s="2451"/>
      <c r="D17" s="2451"/>
      <c r="E17" s="2451"/>
      <c r="F17" s="2451"/>
      <c r="G17" s="2451"/>
      <c r="H17" s="2451"/>
      <c r="I17" s="2451"/>
      <c r="J17" s="2451"/>
      <c r="K17" s="2451"/>
      <c r="L17" s="2451"/>
      <c r="M17" s="2451"/>
      <c r="N17" s="2451"/>
      <c r="O17" s="2451"/>
      <c r="P17" s="2451"/>
      <c r="Q17" s="2451"/>
      <c r="R17" s="2451"/>
      <c r="S17" s="2451"/>
      <c r="T17" s="2451"/>
      <c r="U17" s="2451"/>
      <c r="V17" s="2451"/>
      <c r="W17" s="2451"/>
      <c r="X17" s="2451"/>
      <c r="Y17" s="2451"/>
      <c r="Z17" s="2451"/>
      <c r="AA17" s="2451"/>
      <c r="AB17" s="2451"/>
      <c r="AC17" s="2451"/>
      <c r="AD17" s="2451"/>
      <c r="AE17" s="2451"/>
      <c r="AF17" s="2451"/>
      <c r="AG17" s="2451"/>
      <c r="AH17" s="2451"/>
      <c r="AI17" s="2451"/>
      <c r="AJ17" s="2451"/>
      <c r="AK17" s="2451"/>
    </row>
    <row r="18" spans="1:37">
      <c r="A18" s="2451"/>
      <c r="B18" s="2451"/>
      <c r="C18" s="2451"/>
      <c r="D18" s="2451"/>
      <c r="E18" s="2451"/>
      <c r="F18" s="2451"/>
      <c r="G18" s="2451"/>
      <c r="H18" s="2451"/>
      <c r="I18" s="2451"/>
      <c r="J18" s="2451"/>
      <c r="K18" s="2451"/>
      <c r="L18" s="2451"/>
      <c r="M18" s="2451"/>
      <c r="N18" s="2451"/>
      <c r="O18" s="2451"/>
      <c r="P18" s="2451"/>
      <c r="Q18" s="2451"/>
      <c r="R18" s="2451"/>
      <c r="S18" s="2451"/>
      <c r="T18" s="2451"/>
      <c r="U18" s="2451"/>
      <c r="V18" s="2451"/>
      <c r="W18" s="2451"/>
      <c r="X18" s="2451"/>
      <c r="Y18" s="2451"/>
      <c r="Z18" s="2451"/>
      <c r="AA18" s="2451"/>
      <c r="AB18" s="2451"/>
      <c r="AC18" s="2451"/>
      <c r="AD18" s="2451"/>
      <c r="AE18" s="2451"/>
      <c r="AF18" s="2451"/>
      <c r="AG18" s="2451"/>
      <c r="AH18" s="2451"/>
      <c r="AI18" s="2451"/>
      <c r="AJ18" s="2451"/>
      <c r="AK18" s="2451"/>
    </row>
    <row r="19" spans="1:37">
      <c r="A19" s="2451"/>
      <c r="B19" s="2451"/>
      <c r="C19" s="2451"/>
      <c r="D19" s="2451"/>
      <c r="E19" s="2451"/>
      <c r="F19" s="2451"/>
      <c r="G19" s="2451"/>
      <c r="H19" s="2451"/>
      <c r="I19" s="2451"/>
      <c r="J19" s="2451"/>
      <c r="K19" s="2451"/>
      <c r="L19" s="2451"/>
      <c r="M19" s="2451"/>
      <c r="N19" s="2451"/>
      <c r="O19" s="2451"/>
      <c r="P19" s="2451"/>
      <c r="Q19" s="2451"/>
      <c r="R19" s="2451"/>
      <c r="S19" s="2451"/>
      <c r="T19" s="2451"/>
      <c r="U19" s="2451"/>
      <c r="V19" s="2451"/>
      <c r="W19" s="2451"/>
      <c r="X19" s="2451"/>
      <c r="Y19" s="2451"/>
      <c r="Z19" s="2451"/>
      <c r="AA19" s="2451"/>
      <c r="AB19" s="2451"/>
      <c r="AC19" s="2451"/>
      <c r="AD19" s="2451"/>
      <c r="AE19" s="2451"/>
      <c r="AF19" s="2451"/>
      <c r="AG19" s="2451"/>
      <c r="AH19" s="2451"/>
      <c r="AI19" s="2451"/>
      <c r="AJ19" s="2451"/>
      <c r="AK19" s="2451"/>
    </row>
    <row r="20" spans="1:37">
      <c r="A20" s="2451"/>
      <c r="B20" s="2451"/>
      <c r="C20" s="2451"/>
      <c r="D20" s="2451"/>
      <c r="E20" s="2451"/>
      <c r="F20" s="2451"/>
      <c r="G20" s="2451"/>
      <c r="H20" s="2451"/>
      <c r="I20" s="2451"/>
      <c r="J20" s="2451"/>
      <c r="K20" s="2451"/>
      <c r="L20" s="2451"/>
      <c r="M20" s="2451"/>
      <c r="N20" s="2451"/>
      <c r="O20" s="2451"/>
      <c r="P20" s="2451"/>
      <c r="Q20" s="2451"/>
      <c r="R20" s="2451"/>
      <c r="S20" s="2451"/>
      <c r="T20" s="2451"/>
      <c r="U20" s="2451"/>
      <c r="V20" s="2451"/>
      <c r="W20" s="2451"/>
      <c r="X20" s="2451"/>
      <c r="Y20" s="2451"/>
      <c r="Z20" s="2451"/>
      <c r="AA20" s="2451"/>
      <c r="AB20" s="2451"/>
      <c r="AC20" s="2451"/>
      <c r="AD20" s="2451"/>
      <c r="AE20" s="2451"/>
      <c r="AF20" s="2451"/>
      <c r="AG20" s="2451"/>
      <c r="AH20" s="2451"/>
      <c r="AI20" s="2451"/>
      <c r="AJ20" s="2451"/>
      <c r="AK20" s="2451"/>
    </row>
    <row r="21" spans="1:37">
      <c r="A21" s="2451"/>
      <c r="B21" s="2451"/>
      <c r="C21" s="2451"/>
      <c r="D21" s="2451"/>
      <c r="E21" s="2451"/>
      <c r="F21" s="2451"/>
      <c r="G21" s="2451"/>
      <c r="H21" s="2451"/>
      <c r="I21" s="2451"/>
      <c r="J21" s="2451"/>
      <c r="K21" s="2451"/>
      <c r="L21" s="2451"/>
      <c r="M21" s="2451"/>
      <c r="N21" s="2451"/>
      <c r="O21" s="2451"/>
      <c r="P21" s="2451"/>
      <c r="Q21" s="2451"/>
      <c r="R21" s="2451"/>
      <c r="S21" s="2451"/>
      <c r="T21" s="2451"/>
      <c r="U21" s="2451"/>
      <c r="V21" s="2451"/>
      <c r="W21" s="2451"/>
      <c r="X21" s="2451"/>
      <c r="Y21" s="2451"/>
      <c r="Z21" s="2451"/>
      <c r="AA21" s="2451"/>
      <c r="AB21" s="2451"/>
      <c r="AC21" s="2451"/>
      <c r="AD21" s="2451"/>
      <c r="AE21" s="2451"/>
      <c r="AF21" s="2451"/>
      <c r="AG21" s="2451"/>
      <c r="AH21" s="2451"/>
      <c r="AI21" s="2451"/>
      <c r="AJ21" s="2451"/>
      <c r="AK21" s="2451"/>
    </row>
    <row r="22" spans="1:37">
      <c r="B22" s="838"/>
      <c r="C22" s="838"/>
      <c r="D22" s="838"/>
      <c r="F22" s="838"/>
      <c r="G22" s="838"/>
      <c r="H22" s="838"/>
      <c r="I22" s="838"/>
    </row>
    <row r="23" spans="1:37">
      <c r="B23" s="838"/>
      <c r="C23" s="838"/>
      <c r="D23" s="838"/>
      <c r="F23" s="838"/>
      <c r="G23" s="838"/>
      <c r="H23" s="838"/>
      <c r="I23" s="838"/>
    </row>
    <row r="24" spans="1:37" ht="15.75">
      <c r="A24" s="2455" t="s">
        <v>614</v>
      </c>
      <c r="B24" s="2455"/>
      <c r="C24" s="2455"/>
      <c r="D24" s="2455"/>
      <c r="E24" s="2455"/>
      <c r="F24" s="2455"/>
      <c r="G24" s="2455"/>
      <c r="H24" s="2455"/>
      <c r="I24" s="2455"/>
      <c r="J24" s="2455"/>
      <c r="K24" s="2455"/>
      <c r="L24" s="2455"/>
      <c r="M24" s="2455"/>
      <c r="N24" s="2455"/>
      <c r="O24" s="2455"/>
      <c r="P24" s="2455"/>
      <c r="Q24" s="2455"/>
      <c r="R24" s="2455"/>
      <c r="S24" s="2455"/>
      <c r="T24" s="2455"/>
      <c r="U24" s="2455"/>
      <c r="V24" s="2455"/>
      <c r="W24" s="2455"/>
      <c r="X24" s="2455"/>
      <c r="Y24" s="2455"/>
      <c r="Z24" s="2455"/>
      <c r="AA24" s="2455"/>
      <c r="AB24" s="2455"/>
      <c r="AC24" s="2455"/>
      <c r="AD24" s="2455"/>
      <c r="AE24" s="2455"/>
      <c r="AF24" s="2455"/>
      <c r="AG24" s="2455"/>
      <c r="AH24" s="2455"/>
      <c r="AI24" s="2455"/>
      <c r="AJ24" s="2455"/>
      <c r="AK24" s="2455"/>
    </row>
    <row r="25" spans="1:37">
      <c r="A25" s="2456" t="s">
        <v>617</v>
      </c>
      <c r="B25" s="2456"/>
      <c r="C25" s="2456"/>
      <c r="D25" s="2456"/>
      <c r="E25" s="2456"/>
      <c r="F25" s="2456"/>
      <c r="G25" s="2456"/>
      <c r="H25" s="2456"/>
      <c r="I25" s="2456"/>
      <c r="J25" s="2456"/>
      <c r="K25" s="2456"/>
      <c r="L25" s="2456"/>
      <c r="M25" s="2456"/>
      <c r="N25" s="2456"/>
      <c r="O25" s="2456"/>
      <c r="P25" s="2456"/>
      <c r="Q25" s="2456"/>
      <c r="R25" s="2456"/>
      <c r="S25" s="2456"/>
      <c r="T25" s="2456"/>
      <c r="U25" s="2456"/>
      <c r="V25" s="2456"/>
      <c r="W25" s="2456"/>
      <c r="X25" s="2456"/>
      <c r="Y25" s="2456"/>
      <c r="Z25" s="2456"/>
      <c r="AA25" s="2456"/>
      <c r="AB25" s="2456"/>
      <c r="AC25" s="2456"/>
      <c r="AD25" s="2456"/>
      <c r="AE25" s="2456"/>
      <c r="AF25" s="2456"/>
      <c r="AG25" s="2456"/>
      <c r="AH25" s="2456"/>
      <c r="AI25" s="2456"/>
      <c r="AJ25" s="2456"/>
      <c r="AK25" s="2456"/>
    </row>
    <row r="26" spans="1:37">
      <c r="A26" s="2456" t="s">
        <v>618</v>
      </c>
      <c r="B26" s="2456"/>
      <c r="C26" s="2456"/>
      <c r="D26" s="2456"/>
      <c r="E26" s="2456"/>
      <c r="F26" s="2456"/>
      <c r="G26" s="2456"/>
      <c r="H26" s="2456"/>
      <c r="I26" s="2456"/>
      <c r="J26" s="2456"/>
      <c r="K26" s="2456"/>
      <c r="L26" s="2456"/>
      <c r="M26" s="2456"/>
      <c r="N26" s="2456"/>
      <c r="O26" s="2456"/>
      <c r="P26" s="2456"/>
      <c r="Q26" s="2456"/>
      <c r="R26" s="2456"/>
      <c r="S26" s="2456"/>
      <c r="T26" s="2456"/>
      <c r="U26" s="2456"/>
      <c r="V26" s="2456"/>
      <c r="W26" s="2456"/>
      <c r="X26" s="2456"/>
      <c r="Y26" s="2456"/>
      <c r="Z26" s="2456"/>
      <c r="AA26" s="2456"/>
      <c r="AB26" s="2456"/>
      <c r="AC26" s="2456"/>
      <c r="AD26" s="2456"/>
      <c r="AE26" s="2456"/>
      <c r="AF26" s="2456"/>
      <c r="AG26" s="2456"/>
      <c r="AH26" s="2456"/>
      <c r="AI26" s="2456"/>
      <c r="AJ26" s="2456"/>
      <c r="AK26" s="2456"/>
    </row>
    <row r="27" spans="1:37" ht="15.75">
      <c r="A27" s="1064"/>
      <c r="B27" s="838"/>
      <c r="C27" s="838"/>
      <c r="D27" s="838"/>
      <c r="F27" s="838"/>
      <c r="G27" s="838"/>
      <c r="H27" s="838"/>
      <c r="I27" s="838"/>
    </row>
    <row r="28" spans="1:37">
      <c r="A28" s="2451" t="str">
        <f>"Isključivo za potrebe predaje finansijskih izvještaja ovlaštenoj instituciji u smislu člana 44. stav 6. Zakona o računovodstvu i reviziji u Federaciji BiH, direktor donosi prijedlog da se dobit za "&amp; ObracunGodina &amp; ". godinu, nakon oporezivanja u iznosu od: "</f>
        <v xml:space="preserve">Isključivo za potrebe predaje finansijskih izvještaja ovlaštenoj instituciji u smislu člana 44. stav 6. Zakona o računovodstvu i reviziji u Federaciji BiH, direktor donosi prijedlog da se dobit za 2011. godinu, nakon oporezivanja u iznosu od: </v>
      </c>
      <c r="B28" s="2451"/>
      <c r="C28" s="2451"/>
      <c r="D28" s="2451"/>
      <c r="E28" s="2451"/>
      <c r="F28" s="2451"/>
      <c r="G28" s="2451"/>
      <c r="H28" s="2451"/>
      <c r="I28" s="2451"/>
      <c r="J28" s="2451"/>
      <c r="K28" s="2451"/>
      <c r="L28" s="2451"/>
      <c r="M28" s="2451"/>
      <c r="N28" s="2451"/>
      <c r="O28" s="2451"/>
      <c r="P28" s="2451"/>
      <c r="Q28" s="2451"/>
      <c r="R28" s="2451"/>
      <c r="S28" s="2451"/>
      <c r="T28" s="2451"/>
      <c r="U28" s="2451"/>
      <c r="V28" s="2451"/>
      <c r="W28" s="2451"/>
      <c r="X28" s="2451"/>
      <c r="Y28" s="2451"/>
      <c r="Z28" s="2451"/>
      <c r="AA28" s="2451"/>
      <c r="AB28" s="2451"/>
      <c r="AC28" s="2451"/>
      <c r="AD28" s="2451"/>
      <c r="AE28" s="2451"/>
      <c r="AF28" s="2451"/>
      <c r="AG28" s="2451"/>
      <c r="AH28" s="2451"/>
      <c r="AI28" s="2451"/>
      <c r="AJ28" s="2451"/>
      <c r="AK28" s="2451"/>
    </row>
    <row r="29" spans="1:37">
      <c r="A29" s="2451"/>
      <c r="B29" s="2451"/>
      <c r="C29" s="2451"/>
      <c r="D29" s="2451"/>
      <c r="E29" s="2451"/>
      <c r="F29" s="2451"/>
      <c r="G29" s="2451"/>
      <c r="H29" s="2451"/>
      <c r="I29" s="2451"/>
      <c r="J29" s="2451"/>
      <c r="K29" s="2451"/>
      <c r="L29" s="2451"/>
      <c r="M29" s="2451"/>
      <c r="N29" s="2451"/>
      <c r="O29" s="2451"/>
      <c r="P29" s="2451"/>
      <c r="Q29" s="2451"/>
      <c r="R29" s="2451"/>
      <c r="S29" s="2451"/>
      <c r="T29" s="2451"/>
      <c r="U29" s="2451"/>
      <c r="V29" s="2451"/>
      <c r="W29" s="2451"/>
      <c r="X29" s="2451"/>
      <c r="Y29" s="2451"/>
      <c r="Z29" s="2451"/>
      <c r="AA29" s="2451"/>
      <c r="AB29" s="2451"/>
      <c r="AC29" s="2451"/>
      <c r="AD29" s="2451"/>
      <c r="AE29" s="2451"/>
      <c r="AF29" s="2451"/>
      <c r="AG29" s="2451"/>
      <c r="AH29" s="2451"/>
      <c r="AI29" s="2451"/>
      <c r="AJ29" s="2451"/>
      <c r="AK29" s="2451"/>
    </row>
    <row r="30" spans="1:37">
      <c r="A30" s="2451"/>
      <c r="B30" s="2451"/>
      <c r="C30" s="2451"/>
      <c r="D30" s="2451"/>
      <c r="E30" s="2451"/>
      <c r="F30" s="2451"/>
      <c r="G30" s="2451"/>
      <c r="H30" s="2451"/>
      <c r="I30" s="2451"/>
      <c r="J30" s="2451"/>
      <c r="K30" s="2451"/>
      <c r="L30" s="2451"/>
      <c r="M30" s="2451"/>
      <c r="N30" s="2451"/>
      <c r="O30" s="2451"/>
      <c r="P30" s="2451"/>
      <c r="Q30" s="2451"/>
      <c r="R30" s="2451"/>
      <c r="S30" s="2451"/>
      <c r="T30" s="2451"/>
      <c r="U30" s="2451"/>
      <c r="V30" s="2451"/>
      <c r="W30" s="2451"/>
      <c r="X30" s="2451"/>
      <c r="Y30" s="2451"/>
      <c r="Z30" s="2451"/>
      <c r="AA30" s="2451"/>
      <c r="AB30" s="2451"/>
      <c r="AC30" s="2451"/>
      <c r="AD30" s="2451"/>
      <c r="AE30" s="2451"/>
      <c r="AF30" s="2451"/>
      <c r="AG30" s="2451"/>
      <c r="AH30" s="2451"/>
      <c r="AI30" s="2451"/>
      <c r="AJ30" s="2451"/>
      <c r="AK30" s="2451"/>
    </row>
    <row r="31" spans="1:37">
      <c r="A31" s="2451"/>
      <c r="B31" s="2451"/>
      <c r="C31" s="2451"/>
      <c r="D31" s="2451"/>
      <c r="E31" s="2451"/>
      <c r="F31" s="2451"/>
      <c r="G31" s="2451"/>
      <c r="H31" s="2451"/>
      <c r="I31" s="2451"/>
      <c r="J31" s="2451"/>
      <c r="K31" s="2451"/>
      <c r="L31" s="2451"/>
      <c r="M31" s="2451"/>
      <c r="N31" s="2451"/>
      <c r="O31" s="2451"/>
      <c r="P31" s="2451"/>
      <c r="Q31" s="2451"/>
      <c r="R31" s="2451"/>
      <c r="S31" s="2451"/>
      <c r="T31" s="2451"/>
      <c r="U31" s="2451"/>
      <c r="V31" s="2451"/>
      <c r="W31" s="2451"/>
      <c r="X31" s="2451"/>
      <c r="Y31" s="2451"/>
      <c r="Z31" s="2451"/>
      <c r="AA31" s="2451"/>
      <c r="AB31" s="2451"/>
      <c r="AC31" s="2451"/>
      <c r="AD31" s="2451"/>
      <c r="AE31" s="2451"/>
      <c r="AF31" s="2451"/>
      <c r="AG31" s="2451"/>
      <c r="AH31" s="2451"/>
      <c r="AI31" s="2451"/>
      <c r="AJ31" s="2451"/>
      <c r="AK31" s="2451"/>
    </row>
    <row r="32" spans="1:37" ht="15.75">
      <c r="A32" s="1064"/>
      <c r="B32" s="837"/>
      <c r="C32" s="837"/>
      <c r="D32" s="837"/>
      <c r="E32" s="837"/>
      <c r="F32" s="837"/>
      <c r="G32" s="837"/>
      <c r="H32" s="837"/>
      <c r="I32" s="837"/>
    </row>
    <row r="33" spans="1:37" ht="15.75">
      <c r="A33" s="1064"/>
      <c r="B33" s="837"/>
      <c r="C33" s="837"/>
      <c r="D33" s="837"/>
      <c r="E33" s="837"/>
      <c r="F33" s="837"/>
      <c r="G33" s="837"/>
      <c r="H33" s="837"/>
      <c r="I33" s="837"/>
      <c r="S33" s="2457">
        <f>'bilans-uspjeha'!AH184</f>
        <v>0</v>
      </c>
      <c r="T33" s="2457"/>
      <c r="U33" s="2457"/>
      <c r="V33" s="2457"/>
      <c r="W33" s="2457"/>
      <c r="X33" s="2457"/>
      <c r="Y33" s="2457"/>
      <c r="Z33" s="2457"/>
      <c r="AA33" s="2457"/>
      <c r="AB33" s="2457"/>
      <c r="AC33" s="832" t="s">
        <v>2066</v>
      </c>
    </row>
    <row r="34" spans="1:37">
      <c r="A34" s="838" t="s">
        <v>619</v>
      </c>
      <c r="B34" s="837"/>
      <c r="C34" s="837"/>
      <c r="D34" s="837"/>
      <c r="E34" s="837"/>
      <c r="F34" s="837"/>
      <c r="G34" s="837"/>
      <c r="H34" s="837"/>
      <c r="I34" s="837"/>
    </row>
    <row r="35" spans="1:37">
      <c r="A35" s="838"/>
      <c r="B35" s="837"/>
      <c r="C35" s="837"/>
      <c r="D35" s="837"/>
      <c r="E35" s="837"/>
      <c r="F35" s="837"/>
      <c r="G35" s="837"/>
      <c r="H35" s="837"/>
      <c r="I35" s="837"/>
    </row>
    <row r="36" spans="1:37" ht="15.75">
      <c r="A36" s="1064"/>
      <c r="B36" s="837" t="s">
        <v>706</v>
      </c>
      <c r="C36" s="838" t="s">
        <v>620</v>
      </c>
      <c r="D36" s="838"/>
      <c r="E36" s="1068"/>
      <c r="F36" s="1068"/>
      <c r="G36" s="1068"/>
      <c r="H36" s="1068"/>
      <c r="I36" s="1068"/>
      <c r="J36" s="1068"/>
      <c r="S36" s="2457">
        <v>0</v>
      </c>
      <c r="T36" s="2457"/>
      <c r="U36" s="2457"/>
      <c r="V36" s="2457"/>
      <c r="W36" s="2457"/>
      <c r="X36" s="2457"/>
      <c r="Y36" s="2457"/>
      <c r="Z36" s="2457"/>
      <c r="AA36" s="2457"/>
      <c r="AB36" s="2457"/>
      <c r="AC36" s="832" t="s">
        <v>2066</v>
      </c>
    </row>
    <row r="37" spans="1:37" ht="15.75">
      <c r="A37" s="1064"/>
      <c r="B37" s="837" t="s">
        <v>706</v>
      </c>
      <c r="C37" s="838" t="s">
        <v>621</v>
      </c>
      <c r="D37" s="1069"/>
      <c r="F37" s="1068"/>
      <c r="G37" s="1068"/>
      <c r="H37" s="1068"/>
      <c r="I37" s="1068"/>
      <c r="J37" s="1064"/>
      <c r="S37" s="2457">
        <v>0</v>
      </c>
      <c r="T37" s="2457"/>
      <c r="U37" s="2457"/>
      <c r="V37" s="2457"/>
      <c r="W37" s="2457"/>
      <c r="X37" s="2457"/>
      <c r="Y37" s="2457"/>
      <c r="Z37" s="2457"/>
      <c r="AA37" s="2457"/>
      <c r="AB37" s="2457"/>
      <c r="AC37" s="832" t="s">
        <v>2066</v>
      </c>
    </row>
    <row r="38" spans="1:37" ht="15.75">
      <c r="A38" s="1064"/>
      <c r="B38" s="837" t="s">
        <v>706</v>
      </c>
      <c r="C38" s="838" t="s">
        <v>622</v>
      </c>
      <c r="D38" s="1069"/>
      <c r="F38" s="1068"/>
      <c r="G38" s="1068"/>
      <c r="H38" s="1068"/>
      <c r="I38" s="1064"/>
      <c r="J38" s="1068"/>
      <c r="S38" s="2457">
        <v>0</v>
      </c>
      <c r="T38" s="2457"/>
      <c r="U38" s="2457"/>
      <c r="V38" s="2457"/>
      <c r="W38" s="2457"/>
      <c r="X38" s="2457"/>
      <c r="Y38" s="2457"/>
      <c r="Z38" s="2457"/>
      <c r="AA38" s="2457"/>
      <c r="AB38" s="2457"/>
      <c r="AC38" s="832" t="s">
        <v>2066</v>
      </c>
    </row>
    <row r="39" spans="1:37" ht="15.75">
      <c r="A39" s="1064"/>
      <c r="B39" s="837" t="s">
        <v>706</v>
      </c>
      <c r="C39" s="838" t="s">
        <v>623</v>
      </c>
      <c r="D39" s="1069"/>
      <c r="F39" s="1068"/>
      <c r="G39" s="1068"/>
      <c r="H39" s="1068"/>
      <c r="I39" s="1068"/>
      <c r="J39" s="1068"/>
      <c r="S39" s="2457">
        <f>S33-S36-S37-S38</f>
        <v>0</v>
      </c>
      <c r="T39" s="2457"/>
      <c r="U39" s="2457"/>
      <c r="V39" s="2457"/>
      <c r="W39" s="2457"/>
      <c r="X39" s="2457"/>
      <c r="Y39" s="2457"/>
      <c r="Z39" s="2457"/>
      <c r="AA39" s="2457"/>
      <c r="AB39" s="2457"/>
      <c r="AC39" s="832" t="s">
        <v>2066</v>
      </c>
    </row>
    <row r="40" spans="1:37" ht="15.75">
      <c r="A40" s="1064"/>
      <c r="B40" s="837"/>
      <c r="C40" s="837"/>
      <c r="D40" s="837"/>
      <c r="E40" s="837"/>
      <c r="F40" s="837"/>
      <c r="G40" s="837"/>
      <c r="H40" s="837"/>
      <c r="I40" s="837"/>
    </row>
    <row r="41" spans="1:37">
      <c r="A41" s="2451" t="str">
        <f>"Konačnu odluku o načinu raspodjele dobiti za " &amp; ObracunGodina &amp; ". godinu usvojiće osnivač " &amp; FirmaNaziv &amp; " u skladu sa Zakonom o privrednim društvima  i Statutom društva."</f>
        <v>Konačnu odluku o načinu raspodjele dobiti za 2011. godinu usvojiće osnivač  u skladu sa Zakonom o privrednim društvima  i Statutom društva.</v>
      </c>
      <c r="B41" s="2451"/>
      <c r="C41" s="2451"/>
      <c r="D41" s="2451"/>
      <c r="E41" s="2451"/>
      <c r="F41" s="2451"/>
      <c r="G41" s="2451"/>
      <c r="H41" s="2451"/>
      <c r="I41" s="2451"/>
      <c r="J41" s="2451"/>
      <c r="K41" s="2451"/>
      <c r="L41" s="2451"/>
      <c r="M41" s="2451"/>
      <c r="N41" s="2451"/>
      <c r="O41" s="2451"/>
      <c r="P41" s="2451"/>
      <c r="Q41" s="2451"/>
      <c r="R41" s="2451"/>
      <c r="S41" s="2451"/>
      <c r="T41" s="2451"/>
      <c r="U41" s="2451"/>
      <c r="V41" s="2451"/>
      <c r="W41" s="2451"/>
      <c r="X41" s="2451"/>
      <c r="Y41" s="2451"/>
      <c r="Z41" s="2451"/>
      <c r="AA41" s="2451"/>
      <c r="AB41" s="2451"/>
      <c r="AC41" s="2451"/>
      <c r="AD41" s="2451"/>
      <c r="AE41" s="2451"/>
      <c r="AF41" s="2451"/>
      <c r="AG41" s="2451"/>
      <c r="AH41" s="2451"/>
      <c r="AI41" s="2451"/>
      <c r="AJ41" s="2451"/>
      <c r="AK41" s="2451"/>
    </row>
    <row r="42" spans="1:37">
      <c r="A42" s="2451"/>
      <c r="B42" s="2451"/>
      <c r="C42" s="2451"/>
      <c r="D42" s="2451"/>
      <c r="E42" s="2451"/>
      <c r="F42" s="2451"/>
      <c r="G42" s="2451"/>
      <c r="H42" s="2451"/>
      <c r="I42" s="2451"/>
      <c r="J42" s="2451"/>
      <c r="K42" s="2451"/>
      <c r="L42" s="2451"/>
      <c r="M42" s="2451"/>
      <c r="N42" s="2451"/>
      <c r="O42" s="2451"/>
      <c r="P42" s="2451"/>
      <c r="Q42" s="2451"/>
      <c r="R42" s="2451"/>
      <c r="S42" s="2451"/>
      <c r="T42" s="2451"/>
      <c r="U42" s="2451"/>
      <c r="V42" s="2451"/>
      <c r="W42" s="2451"/>
      <c r="X42" s="2451"/>
      <c r="Y42" s="2451"/>
      <c r="Z42" s="2451"/>
      <c r="AA42" s="2451"/>
      <c r="AB42" s="2451"/>
      <c r="AC42" s="2451"/>
      <c r="AD42" s="2451"/>
      <c r="AE42" s="2451"/>
      <c r="AF42" s="2451"/>
      <c r="AG42" s="2451"/>
      <c r="AH42" s="2451"/>
      <c r="AI42" s="2451"/>
      <c r="AJ42" s="2451"/>
      <c r="AK42" s="2451"/>
    </row>
    <row r="43" spans="1:37">
      <c r="A43" s="2451"/>
      <c r="B43" s="2451"/>
      <c r="C43" s="2451"/>
      <c r="D43" s="2451"/>
      <c r="E43" s="2451"/>
      <c r="F43" s="2451"/>
      <c r="G43" s="2451"/>
      <c r="H43" s="2451"/>
      <c r="I43" s="2451"/>
      <c r="J43" s="2451"/>
      <c r="K43" s="2451"/>
      <c r="L43" s="2451"/>
      <c r="M43" s="2451"/>
      <c r="N43" s="2451"/>
      <c r="O43" s="2451"/>
      <c r="P43" s="2451"/>
      <c r="Q43" s="2451"/>
      <c r="R43" s="2451"/>
      <c r="S43" s="2451"/>
      <c r="T43" s="2451"/>
      <c r="U43" s="2451"/>
      <c r="V43" s="2451"/>
      <c r="W43" s="2451"/>
      <c r="X43" s="2451"/>
      <c r="Y43" s="2451"/>
      <c r="Z43" s="2451"/>
      <c r="AA43" s="2451"/>
      <c r="AB43" s="2451"/>
      <c r="AC43" s="2451"/>
      <c r="AD43" s="2451"/>
      <c r="AE43" s="2451"/>
      <c r="AF43" s="2451"/>
      <c r="AG43" s="2451"/>
      <c r="AH43" s="2451"/>
      <c r="AI43" s="2451"/>
      <c r="AJ43" s="2451"/>
      <c r="AK43" s="2451"/>
    </row>
    <row r="44" spans="1:37" ht="15.75">
      <c r="A44" s="1064"/>
    </row>
    <row r="45" spans="1:37" ht="15.75">
      <c r="A45" s="1064"/>
    </row>
    <row r="46" spans="1:37" ht="15">
      <c r="T46" s="1076" t="s">
        <v>686</v>
      </c>
      <c r="AA46" s="832" t="s">
        <v>2204</v>
      </c>
    </row>
    <row r="47" spans="1:37">
      <c r="W47" s="840"/>
      <c r="X47" s="840"/>
      <c r="Y47" s="840"/>
      <c r="Z47" s="840"/>
      <c r="AA47" s="840"/>
      <c r="AB47" s="840"/>
      <c r="AC47" s="840"/>
      <c r="AD47" s="840"/>
      <c r="AE47" s="840"/>
      <c r="AF47" s="840"/>
    </row>
    <row r="48" spans="1:37">
      <c r="W48" s="840"/>
      <c r="X48" s="840"/>
      <c r="Y48" s="1077">
        <f>FirmaDirekor</f>
        <v>0</v>
      </c>
      <c r="Z48" s="1077"/>
      <c r="AA48" s="1077"/>
      <c r="AB48" s="1077"/>
      <c r="AC48" s="1077"/>
      <c r="AD48" s="1077"/>
      <c r="AE48" s="1077"/>
      <c r="AF48" s="1077"/>
      <c r="AG48" s="1077"/>
      <c r="AH48" s="1077"/>
    </row>
    <row r="49" spans="2:34">
      <c r="W49" s="840"/>
      <c r="X49" s="840"/>
      <c r="Y49" s="840"/>
      <c r="Z49" s="840"/>
      <c r="AA49" s="840"/>
      <c r="AB49" s="840"/>
      <c r="AC49" s="840"/>
      <c r="AD49" s="840"/>
      <c r="AE49" s="840"/>
      <c r="AF49" s="840"/>
      <c r="AG49" s="840"/>
      <c r="AH49" s="840"/>
    </row>
    <row r="52" spans="2:34" ht="15.75">
      <c r="B52" s="1064"/>
    </row>
  </sheetData>
  <mergeCells count="12">
    <mergeCell ref="S39:AB39"/>
    <mergeCell ref="A41:AK43"/>
    <mergeCell ref="A28:AK31"/>
    <mergeCell ref="S33:AB33"/>
    <mergeCell ref="S36:AB36"/>
    <mergeCell ref="S37:AB37"/>
    <mergeCell ref="S38:AB38"/>
    <mergeCell ref="F14:AK15"/>
    <mergeCell ref="A17:AK21"/>
    <mergeCell ref="A24:AK24"/>
    <mergeCell ref="A25:AK25"/>
    <mergeCell ref="A26:AK26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28" enableFormatConditionsCalculation="0">
    <tabColor indexed="57"/>
  </sheetPr>
  <dimension ref="A1:AK52"/>
  <sheetViews>
    <sheetView showGridLines="0" topLeftCell="A16" workbookViewId="0">
      <selection activeCell="S39" sqref="S39:AB39"/>
    </sheetView>
  </sheetViews>
  <sheetFormatPr defaultColWidth="2.28515625" defaultRowHeight="14.25"/>
  <cols>
    <col min="1" max="1" width="3.140625" style="832" customWidth="1"/>
    <col min="2" max="3" width="2.28515625" style="832"/>
    <col min="4" max="4" width="3" style="832" customWidth="1"/>
    <col min="5" max="24" width="2.28515625" style="832"/>
    <col min="25" max="25" width="2.5703125" style="832" bestFit="1" customWidth="1"/>
    <col min="26" max="16384" width="2.28515625" style="832"/>
  </cols>
  <sheetData>
    <row r="1" spans="1:37" s="827" customFormat="1" ht="15.75">
      <c r="A1" s="1096">
        <f>FirmaNaziv</f>
        <v>0</v>
      </c>
    </row>
    <row r="2" spans="1:37" s="827" customFormat="1" ht="15.75">
      <c r="A2" s="1096">
        <f>FirmaSjediste</f>
        <v>0</v>
      </c>
    </row>
    <row r="3" spans="1:37" s="827" customFormat="1">
      <c r="A3" s="828" t="str">
        <f>MID(FirmaID,1,1)</f>
        <v/>
      </c>
      <c r="B3" s="828" t="str">
        <f>MID(FirmaID,2,1)</f>
        <v/>
      </c>
      <c r="C3" s="828" t="str">
        <f>MID(FirmaID,3,1)</f>
        <v/>
      </c>
      <c r="D3" s="828" t="str">
        <f>MID(FirmaID,4,1)</f>
        <v/>
      </c>
      <c r="E3" s="828" t="str">
        <f>MID(FirmaID,5,1)</f>
        <v/>
      </c>
      <c r="F3" s="828" t="str">
        <f>MID(FirmaID,6,1)</f>
        <v/>
      </c>
      <c r="G3" s="828" t="str">
        <f>MID(FirmaID,7,1)</f>
        <v/>
      </c>
      <c r="H3" s="828" t="str">
        <f>MID(FirmaID,8,1)</f>
        <v/>
      </c>
      <c r="I3" s="828" t="str">
        <f>MID(FirmaID,9,1)</f>
        <v/>
      </c>
      <c r="J3" s="828" t="str">
        <f>MID(FirmaID,10,1)</f>
        <v/>
      </c>
      <c r="K3" s="828" t="str">
        <f>MID(FirmaID,11,1)</f>
        <v/>
      </c>
      <c r="L3" s="828" t="str">
        <f>MID(FirmaID,12,1)</f>
        <v/>
      </c>
      <c r="M3" s="828" t="str">
        <f>MID(FirmaID,13,1)</f>
        <v/>
      </c>
    </row>
    <row r="4" spans="1:37" s="827" customFormat="1">
      <c r="A4" s="828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37" s="827" customFormat="1">
      <c r="A5" s="828" t="s">
        <v>2185</v>
      </c>
      <c r="D5" s="1097" t="str">
        <f>ObracunPredaja</f>
        <v>28.2.2012.</v>
      </c>
      <c r="I5" s="827" t="s">
        <v>2186</v>
      </c>
    </row>
    <row r="6" spans="1:37" s="827" customFormat="1">
      <c r="A6" s="828" t="s">
        <v>2190</v>
      </c>
    </row>
    <row r="9" spans="1:37" ht="15.75">
      <c r="A9" s="831" t="s">
        <v>1264</v>
      </c>
      <c r="V9" s="833"/>
    </row>
    <row r="10" spans="1:37" ht="15.75">
      <c r="A10" s="831" t="s">
        <v>612</v>
      </c>
    </row>
    <row r="11" spans="1:37" ht="15.75">
      <c r="A11" s="831"/>
      <c r="E11" s="835"/>
      <c r="F11" s="835"/>
      <c r="G11" s="835"/>
      <c r="H11" s="835"/>
      <c r="I11" s="835"/>
      <c r="J11" s="835"/>
      <c r="K11" s="835"/>
      <c r="L11" s="835"/>
      <c r="M11" s="835"/>
    </row>
    <row r="14" spans="1:37" ht="15">
      <c r="A14" s="836" t="s">
        <v>613</v>
      </c>
      <c r="F14" s="2454" t="str">
        <f>"Odluka o prijedlogu pokrića gubitka za " &amp; ObracunGodina &amp; ". godinu za potrebe predaje finansijskih izvještaja ovlaštenoj instituciji"</f>
        <v>Odluka o prijedlogu pokrića gubitka za 2011. godinu za potrebe predaje finansijskih izvještaja ovlaštenoj instituciji</v>
      </c>
      <c r="G14" s="2454"/>
      <c r="H14" s="2454"/>
      <c r="I14" s="2454"/>
      <c r="J14" s="2454"/>
      <c r="K14" s="2454"/>
      <c r="L14" s="2454"/>
      <c r="M14" s="2454"/>
      <c r="N14" s="2454"/>
      <c r="O14" s="2454"/>
      <c r="P14" s="2454"/>
      <c r="Q14" s="2454"/>
      <c r="R14" s="2454"/>
      <c r="S14" s="2454"/>
      <c r="T14" s="2454"/>
      <c r="U14" s="2454"/>
      <c r="V14" s="2454"/>
      <c r="W14" s="2454"/>
      <c r="X14" s="2454"/>
      <c r="Y14" s="2454"/>
      <c r="Z14" s="2454"/>
      <c r="AA14" s="2454"/>
      <c r="AB14" s="2454"/>
      <c r="AC14" s="2454"/>
      <c r="AD14" s="2454"/>
      <c r="AE14" s="2454"/>
      <c r="AF14" s="2454"/>
      <c r="AG14" s="2454"/>
      <c r="AH14" s="2454"/>
      <c r="AI14" s="2454"/>
      <c r="AJ14" s="2454"/>
      <c r="AK14" s="2454"/>
    </row>
    <row r="15" spans="1:37">
      <c r="F15" s="2454"/>
      <c r="G15" s="2454"/>
      <c r="H15" s="2454"/>
      <c r="I15" s="2454"/>
      <c r="J15" s="2454"/>
      <c r="K15" s="2454"/>
      <c r="L15" s="2454"/>
      <c r="M15" s="2454"/>
      <c r="N15" s="2454"/>
      <c r="O15" s="2454"/>
      <c r="P15" s="2454"/>
      <c r="Q15" s="2454"/>
      <c r="R15" s="2454"/>
      <c r="S15" s="2454"/>
      <c r="T15" s="2454"/>
      <c r="U15" s="2454"/>
      <c r="V15" s="2454"/>
      <c r="W15" s="2454"/>
      <c r="X15" s="2454"/>
      <c r="Y15" s="2454"/>
      <c r="Z15" s="2454"/>
      <c r="AA15" s="2454"/>
      <c r="AB15" s="2454"/>
      <c r="AC15" s="2454"/>
      <c r="AD15" s="2454"/>
      <c r="AE15" s="2454"/>
      <c r="AF15" s="2454"/>
      <c r="AG15" s="2454"/>
      <c r="AH15" s="2454"/>
      <c r="AI15" s="2454"/>
      <c r="AJ15" s="2454"/>
      <c r="AK15" s="2454"/>
    </row>
    <row r="17" spans="1:37">
      <c r="A17" s="2451" t="str">
        <f>"Na osnovu člana  347. Zakona o privrednim društvima („Službene novine Federacije BiH“, br. 23/99, 45/00, 2/02, 6/02, 29/03, 68/05, 91/07, 84/09, 88/08 i 7/09) i odredbi Statuta " &amp; FirmaNaziv &amp; ", " &amp; FirmaSjediste &amp; ", a u smislu člana 44. stav 6. Zakona o računovodstvu i reviziji u Federaciji BiH („Službene novine Federacije BiH“, broj 83/09),  direktor donosi"</f>
        <v>Na osnovu člana  347. Zakona o privrednim društvima („Službene novine Federacije BiH“, br. 23/99, 45/00, 2/02, 6/02, 29/03, 68/05, 91/07, 84/09, 88/08 i 7/09) i odredbi Statuta , , a u smislu člana 44. stav 6. Zakona o računovodstvu i reviziji u Federaciji BiH („Službene novine Federacije BiH“, broj 83/09),  direktor donosi</v>
      </c>
      <c r="B17" s="2451"/>
      <c r="C17" s="2451"/>
      <c r="D17" s="2451"/>
      <c r="E17" s="2451"/>
      <c r="F17" s="2451"/>
      <c r="G17" s="2451"/>
      <c r="H17" s="2451"/>
      <c r="I17" s="2451"/>
      <c r="J17" s="2451"/>
      <c r="K17" s="2451"/>
      <c r="L17" s="2451"/>
      <c r="M17" s="2451"/>
      <c r="N17" s="2451"/>
      <c r="O17" s="2451"/>
      <c r="P17" s="2451"/>
      <c r="Q17" s="2451"/>
      <c r="R17" s="2451"/>
      <c r="S17" s="2451"/>
      <c r="T17" s="2451"/>
      <c r="U17" s="2451"/>
      <c r="V17" s="2451"/>
      <c r="W17" s="2451"/>
      <c r="X17" s="2451"/>
      <c r="Y17" s="2451"/>
      <c r="Z17" s="2451"/>
      <c r="AA17" s="2451"/>
      <c r="AB17" s="2451"/>
      <c r="AC17" s="2451"/>
      <c r="AD17" s="2451"/>
      <c r="AE17" s="2451"/>
      <c r="AF17" s="2451"/>
      <c r="AG17" s="2451"/>
      <c r="AH17" s="2451"/>
      <c r="AI17" s="2451"/>
      <c r="AJ17" s="2451"/>
      <c r="AK17" s="2451"/>
    </row>
    <row r="18" spans="1:37">
      <c r="A18" s="2451"/>
      <c r="B18" s="2451"/>
      <c r="C18" s="2451"/>
      <c r="D18" s="2451"/>
      <c r="E18" s="2451"/>
      <c r="F18" s="2451"/>
      <c r="G18" s="2451"/>
      <c r="H18" s="2451"/>
      <c r="I18" s="2451"/>
      <c r="J18" s="2451"/>
      <c r="K18" s="2451"/>
      <c r="L18" s="2451"/>
      <c r="M18" s="2451"/>
      <c r="N18" s="2451"/>
      <c r="O18" s="2451"/>
      <c r="P18" s="2451"/>
      <c r="Q18" s="2451"/>
      <c r="R18" s="2451"/>
      <c r="S18" s="2451"/>
      <c r="T18" s="2451"/>
      <c r="U18" s="2451"/>
      <c r="V18" s="2451"/>
      <c r="W18" s="2451"/>
      <c r="X18" s="2451"/>
      <c r="Y18" s="2451"/>
      <c r="Z18" s="2451"/>
      <c r="AA18" s="2451"/>
      <c r="AB18" s="2451"/>
      <c r="AC18" s="2451"/>
      <c r="AD18" s="2451"/>
      <c r="AE18" s="2451"/>
      <c r="AF18" s="2451"/>
      <c r="AG18" s="2451"/>
      <c r="AH18" s="2451"/>
      <c r="AI18" s="2451"/>
      <c r="AJ18" s="2451"/>
      <c r="AK18" s="2451"/>
    </row>
    <row r="19" spans="1:37">
      <c r="A19" s="2451"/>
      <c r="B19" s="2451"/>
      <c r="C19" s="2451"/>
      <c r="D19" s="2451"/>
      <c r="E19" s="2451"/>
      <c r="F19" s="2451"/>
      <c r="G19" s="2451"/>
      <c r="H19" s="2451"/>
      <c r="I19" s="2451"/>
      <c r="J19" s="2451"/>
      <c r="K19" s="2451"/>
      <c r="L19" s="2451"/>
      <c r="M19" s="2451"/>
      <c r="N19" s="2451"/>
      <c r="O19" s="2451"/>
      <c r="P19" s="2451"/>
      <c r="Q19" s="2451"/>
      <c r="R19" s="2451"/>
      <c r="S19" s="2451"/>
      <c r="T19" s="2451"/>
      <c r="U19" s="2451"/>
      <c r="V19" s="2451"/>
      <c r="W19" s="2451"/>
      <c r="X19" s="2451"/>
      <c r="Y19" s="2451"/>
      <c r="Z19" s="2451"/>
      <c r="AA19" s="2451"/>
      <c r="AB19" s="2451"/>
      <c r="AC19" s="2451"/>
      <c r="AD19" s="2451"/>
      <c r="AE19" s="2451"/>
      <c r="AF19" s="2451"/>
      <c r="AG19" s="2451"/>
      <c r="AH19" s="2451"/>
      <c r="AI19" s="2451"/>
      <c r="AJ19" s="2451"/>
      <c r="AK19" s="2451"/>
    </row>
    <row r="20" spans="1:37">
      <c r="A20" s="2451"/>
      <c r="B20" s="2451"/>
      <c r="C20" s="2451"/>
      <c r="D20" s="2451"/>
      <c r="E20" s="2451"/>
      <c r="F20" s="2451"/>
      <c r="G20" s="2451"/>
      <c r="H20" s="2451"/>
      <c r="I20" s="2451"/>
      <c r="J20" s="2451"/>
      <c r="K20" s="2451"/>
      <c r="L20" s="2451"/>
      <c r="M20" s="2451"/>
      <c r="N20" s="2451"/>
      <c r="O20" s="2451"/>
      <c r="P20" s="2451"/>
      <c r="Q20" s="2451"/>
      <c r="R20" s="2451"/>
      <c r="S20" s="2451"/>
      <c r="T20" s="2451"/>
      <c r="U20" s="2451"/>
      <c r="V20" s="2451"/>
      <c r="W20" s="2451"/>
      <c r="X20" s="2451"/>
      <c r="Y20" s="2451"/>
      <c r="Z20" s="2451"/>
      <c r="AA20" s="2451"/>
      <c r="AB20" s="2451"/>
      <c r="AC20" s="2451"/>
      <c r="AD20" s="2451"/>
      <c r="AE20" s="2451"/>
      <c r="AF20" s="2451"/>
      <c r="AG20" s="2451"/>
      <c r="AH20" s="2451"/>
      <c r="AI20" s="2451"/>
      <c r="AJ20" s="2451"/>
      <c r="AK20" s="2451"/>
    </row>
    <row r="21" spans="1:37">
      <c r="A21" s="2451"/>
      <c r="B21" s="2451"/>
      <c r="C21" s="2451"/>
      <c r="D21" s="2451"/>
      <c r="E21" s="2451"/>
      <c r="F21" s="2451"/>
      <c r="G21" s="2451"/>
      <c r="H21" s="2451"/>
      <c r="I21" s="2451"/>
      <c r="J21" s="2451"/>
      <c r="K21" s="2451"/>
      <c r="L21" s="2451"/>
      <c r="M21" s="2451"/>
      <c r="N21" s="2451"/>
      <c r="O21" s="2451"/>
      <c r="P21" s="2451"/>
      <c r="Q21" s="2451"/>
      <c r="R21" s="2451"/>
      <c r="S21" s="2451"/>
      <c r="T21" s="2451"/>
      <c r="U21" s="2451"/>
      <c r="V21" s="2451"/>
      <c r="W21" s="2451"/>
      <c r="X21" s="2451"/>
      <c r="Y21" s="2451"/>
      <c r="Z21" s="2451"/>
      <c r="AA21" s="2451"/>
      <c r="AB21" s="2451"/>
      <c r="AC21" s="2451"/>
      <c r="AD21" s="2451"/>
      <c r="AE21" s="2451"/>
      <c r="AF21" s="2451"/>
      <c r="AG21" s="2451"/>
      <c r="AH21" s="2451"/>
      <c r="AI21" s="2451"/>
      <c r="AJ21" s="2451"/>
      <c r="AK21" s="2451"/>
    </row>
    <row r="22" spans="1:37">
      <c r="B22" s="838"/>
      <c r="C22" s="838"/>
      <c r="D22" s="838"/>
      <c r="F22" s="838"/>
      <c r="G22" s="838"/>
      <c r="H22" s="838"/>
      <c r="I22" s="838"/>
    </row>
    <row r="23" spans="1:37">
      <c r="B23" s="838"/>
      <c r="C23" s="838"/>
      <c r="D23" s="838"/>
      <c r="F23" s="838"/>
      <c r="G23" s="838"/>
      <c r="H23" s="838"/>
      <c r="I23" s="838"/>
    </row>
    <row r="24" spans="1:37" ht="15.75">
      <c r="A24" s="2455" t="s">
        <v>614</v>
      </c>
      <c r="B24" s="2455"/>
      <c r="C24" s="2455"/>
      <c r="D24" s="2455"/>
      <c r="E24" s="2455"/>
      <c r="F24" s="2455"/>
      <c r="G24" s="2455"/>
      <c r="H24" s="2455"/>
      <c r="I24" s="2455"/>
      <c r="J24" s="2455"/>
      <c r="K24" s="2455"/>
      <c r="L24" s="2455"/>
      <c r="M24" s="2455"/>
      <c r="N24" s="2455"/>
      <c r="O24" s="2455"/>
      <c r="P24" s="2455"/>
      <c r="Q24" s="2455"/>
      <c r="R24" s="2455"/>
      <c r="S24" s="2455"/>
      <c r="T24" s="2455"/>
      <c r="U24" s="2455"/>
      <c r="V24" s="2455"/>
      <c r="W24" s="2455"/>
      <c r="X24" s="2455"/>
      <c r="Y24" s="2455"/>
      <c r="Z24" s="2455"/>
      <c r="AA24" s="2455"/>
      <c r="AB24" s="2455"/>
      <c r="AC24" s="2455"/>
      <c r="AD24" s="2455"/>
      <c r="AE24" s="2455"/>
      <c r="AF24" s="2455"/>
      <c r="AG24" s="2455"/>
      <c r="AH24" s="2455"/>
      <c r="AI24" s="2455"/>
      <c r="AJ24" s="2455"/>
      <c r="AK24" s="2455"/>
    </row>
    <row r="25" spans="1:37">
      <c r="A25" s="2456" t="s">
        <v>624</v>
      </c>
      <c r="B25" s="2456"/>
      <c r="C25" s="2456"/>
      <c r="D25" s="2456"/>
      <c r="E25" s="2456"/>
      <c r="F25" s="2456"/>
      <c r="G25" s="2456"/>
      <c r="H25" s="2456"/>
      <c r="I25" s="2456"/>
      <c r="J25" s="2456"/>
      <c r="K25" s="2456"/>
      <c r="L25" s="2456"/>
      <c r="M25" s="2456"/>
      <c r="N25" s="2456"/>
      <c r="O25" s="2456"/>
      <c r="P25" s="2456"/>
      <c r="Q25" s="2456"/>
      <c r="R25" s="2456"/>
      <c r="S25" s="2456"/>
      <c r="T25" s="2456"/>
      <c r="U25" s="2456"/>
      <c r="V25" s="2456"/>
      <c r="W25" s="2456"/>
      <c r="X25" s="2456"/>
      <c r="Y25" s="2456"/>
      <c r="Z25" s="2456"/>
      <c r="AA25" s="2456"/>
      <c r="AB25" s="2456"/>
      <c r="AC25" s="2456"/>
      <c r="AD25" s="2456"/>
      <c r="AE25" s="2456"/>
      <c r="AF25" s="2456"/>
      <c r="AG25" s="2456"/>
      <c r="AH25" s="2456"/>
      <c r="AI25" s="2456"/>
      <c r="AJ25" s="2456"/>
      <c r="AK25" s="2456"/>
    </row>
    <row r="26" spans="1:37">
      <c r="A26" s="2456" t="s">
        <v>618</v>
      </c>
      <c r="B26" s="2456"/>
      <c r="C26" s="2456"/>
      <c r="D26" s="2456"/>
      <c r="E26" s="2456"/>
      <c r="F26" s="2456"/>
      <c r="G26" s="2456"/>
      <c r="H26" s="2456"/>
      <c r="I26" s="2456"/>
      <c r="J26" s="2456"/>
      <c r="K26" s="2456"/>
      <c r="L26" s="2456"/>
      <c r="M26" s="2456"/>
      <c r="N26" s="2456"/>
      <c r="O26" s="2456"/>
      <c r="P26" s="2456"/>
      <c r="Q26" s="2456"/>
      <c r="R26" s="2456"/>
      <c r="S26" s="2456"/>
      <c r="T26" s="2456"/>
      <c r="U26" s="2456"/>
      <c r="V26" s="2456"/>
      <c r="W26" s="2456"/>
      <c r="X26" s="2456"/>
      <c r="Y26" s="2456"/>
      <c r="Z26" s="2456"/>
      <c r="AA26" s="2456"/>
      <c r="AB26" s="2456"/>
      <c r="AC26" s="2456"/>
      <c r="AD26" s="2456"/>
      <c r="AE26" s="2456"/>
      <c r="AF26" s="2456"/>
      <c r="AG26" s="2456"/>
      <c r="AH26" s="2456"/>
      <c r="AI26" s="2456"/>
      <c r="AJ26" s="2456"/>
      <c r="AK26" s="2456"/>
    </row>
    <row r="27" spans="1:37" ht="15.75">
      <c r="A27" s="1064"/>
      <c r="B27" s="838"/>
      <c r="C27" s="838"/>
      <c r="D27" s="838"/>
      <c r="F27" s="838"/>
      <c r="G27" s="838"/>
      <c r="H27" s="838"/>
      <c r="I27" s="838"/>
    </row>
    <row r="28" spans="1:37">
      <c r="A28" s="2451" t="str">
        <f>"Isključivo za potrebe predaje finansijskih izvještaja ovlaštenoj instituciji u smislu člana 44. stav 6. Zakona o računovodstvu i reviziji u Federaciji BiH, direktor donosi prijedlog da se gubitak za " &amp; ObracunGodina &amp; ". godinu, u iznosu od: "</f>
        <v xml:space="preserve">Isključivo za potrebe predaje finansijskih izvještaja ovlaštenoj instituciji u smislu člana 44. stav 6. Zakona o računovodstvu i reviziji u Federaciji BiH, direktor donosi prijedlog da se gubitak za 2011. godinu, u iznosu od: </v>
      </c>
      <c r="B28" s="2451"/>
      <c r="C28" s="2451"/>
      <c r="D28" s="2451"/>
      <c r="E28" s="2451"/>
      <c r="F28" s="2451"/>
      <c r="G28" s="2451"/>
      <c r="H28" s="2451"/>
      <c r="I28" s="2451"/>
      <c r="J28" s="2451"/>
      <c r="K28" s="2451"/>
      <c r="L28" s="2451"/>
      <c r="M28" s="2451"/>
      <c r="N28" s="2451"/>
      <c r="O28" s="2451"/>
      <c r="P28" s="2451"/>
      <c r="Q28" s="2451"/>
      <c r="R28" s="2451"/>
      <c r="S28" s="2451"/>
      <c r="T28" s="2451"/>
      <c r="U28" s="2451"/>
      <c r="V28" s="2451"/>
      <c r="W28" s="2451"/>
      <c r="X28" s="2451"/>
      <c r="Y28" s="2451"/>
      <c r="Z28" s="2451"/>
      <c r="AA28" s="2451"/>
      <c r="AB28" s="2451"/>
      <c r="AC28" s="2451"/>
      <c r="AD28" s="2451"/>
      <c r="AE28" s="2451"/>
      <c r="AF28" s="2451"/>
      <c r="AG28" s="2451"/>
      <c r="AH28" s="2451"/>
      <c r="AI28" s="2451"/>
      <c r="AJ28" s="2451"/>
      <c r="AK28" s="2451"/>
    </row>
    <row r="29" spans="1:37">
      <c r="A29" s="2451"/>
      <c r="B29" s="2451"/>
      <c r="C29" s="2451"/>
      <c r="D29" s="2451"/>
      <c r="E29" s="2451"/>
      <c r="F29" s="2451"/>
      <c r="G29" s="2451"/>
      <c r="H29" s="2451"/>
      <c r="I29" s="2451"/>
      <c r="J29" s="2451"/>
      <c r="K29" s="2451"/>
      <c r="L29" s="2451"/>
      <c r="M29" s="2451"/>
      <c r="N29" s="2451"/>
      <c r="O29" s="2451"/>
      <c r="P29" s="2451"/>
      <c r="Q29" s="2451"/>
      <c r="R29" s="2451"/>
      <c r="S29" s="2451"/>
      <c r="T29" s="2451"/>
      <c r="U29" s="2451"/>
      <c r="V29" s="2451"/>
      <c r="W29" s="2451"/>
      <c r="X29" s="2451"/>
      <c r="Y29" s="2451"/>
      <c r="Z29" s="2451"/>
      <c r="AA29" s="2451"/>
      <c r="AB29" s="2451"/>
      <c r="AC29" s="2451"/>
      <c r="AD29" s="2451"/>
      <c r="AE29" s="2451"/>
      <c r="AF29" s="2451"/>
      <c r="AG29" s="2451"/>
      <c r="AH29" s="2451"/>
      <c r="AI29" s="2451"/>
      <c r="AJ29" s="2451"/>
      <c r="AK29" s="2451"/>
    </row>
    <row r="30" spans="1:37">
      <c r="A30" s="2451"/>
      <c r="B30" s="2451"/>
      <c r="C30" s="2451"/>
      <c r="D30" s="2451"/>
      <c r="E30" s="2451"/>
      <c r="F30" s="2451"/>
      <c r="G30" s="2451"/>
      <c r="H30" s="2451"/>
      <c r="I30" s="2451"/>
      <c r="J30" s="2451"/>
      <c r="K30" s="2451"/>
      <c r="L30" s="2451"/>
      <c r="M30" s="2451"/>
      <c r="N30" s="2451"/>
      <c r="O30" s="2451"/>
      <c r="P30" s="2451"/>
      <c r="Q30" s="2451"/>
      <c r="R30" s="2451"/>
      <c r="S30" s="2451"/>
      <c r="T30" s="2451"/>
      <c r="U30" s="2451"/>
      <c r="V30" s="2451"/>
      <c r="W30" s="2451"/>
      <c r="X30" s="2451"/>
      <c r="Y30" s="2451"/>
      <c r="Z30" s="2451"/>
      <c r="AA30" s="2451"/>
      <c r="AB30" s="2451"/>
      <c r="AC30" s="2451"/>
      <c r="AD30" s="2451"/>
      <c r="AE30" s="2451"/>
      <c r="AF30" s="2451"/>
      <c r="AG30" s="2451"/>
      <c r="AH30" s="2451"/>
      <c r="AI30" s="2451"/>
      <c r="AJ30" s="2451"/>
      <c r="AK30" s="2451"/>
    </row>
    <row r="31" spans="1:37">
      <c r="A31" s="2451"/>
      <c r="B31" s="2451"/>
      <c r="C31" s="2451"/>
      <c r="D31" s="2451"/>
      <c r="E31" s="2451"/>
      <c r="F31" s="2451"/>
      <c r="G31" s="2451"/>
      <c r="H31" s="2451"/>
      <c r="I31" s="2451"/>
      <c r="J31" s="2451"/>
      <c r="K31" s="2451"/>
      <c r="L31" s="2451"/>
      <c r="M31" s="2451"/>
      <c r="N31" s="2451"/>
      <c r="O31" s="2451"/>
      <c r="P31" s="2451"/>
      <c r="Q31" s="2451"/>
      <c r="R31" s="2451"/>
      <c r="S31" s="2451"/>
      <c r="T31" s="2451"/>
      <c r="U31" s="2451"/>
      <c r="V31" s="2451"/>
      <c r="W31" s="2451"/>
      <c r="X31" s="2451"/>
      <c r="Y31" s="2451"/>
      <c r="Z31" s="2451"/>
      <c r="AA31" s="2451"/>
      <c r="AB31" s="2451"/>
      <c r="AC31" s="2451"/>
      <c r="AD31" s="2451"/>
      <c r="AE31" s="2451"/>
      <c r="AF31" s="2451"/>
      <c r="AG31" s="2451"/>
      <c r="AH31" s="2451"/>
      <c r="AI31" s="2451"/>
      <c r="AJ31" s="2451"/>
      <c r="AK31" s="2451"/>
    </row>
    <row r="32" spans="1:37" ht="15.75">
      <c r="A32" s="1064"/>
      <c r="B32" s="837"/>
      <c r="C32" s="837"/>
      <c r="D32" s="837"/>
      <c r="E32" s="837"/>
      <c r="F32" s="837"/>
      <c r="G32" s="837"/>
      <c r="H32" s="837"/>
      <c r="I32" s="837"/>
    </row>
    <row r="33" spans="1:37" ht="15.75">
      <c r="A33" s="1064"/>
      <c r="B33" s="837"/>
      <c r="C33" s="837"/>
      <c r="D33" s="837"/>
      <c r="E33" s="837"/>
      <c r="F33" s="837"/>
      <c r="G33" s="837"/>
      <c r="H33" s="837"/>
      <c r="I33" s="837"/>
      <c r="S33" s="2457">
        <f>'bilans-uspjeha'!AH185</f>
        <v>0</v>
      </c>
      <c r="T33" s="2457"/>
      <c r="U33" s="2457"/>
      <c r="V33" s="2457"/>
      <c r="W33" s="2457"/>
      <c r="X33" s="2457"/>
      <c r="Y33" s="2457"/>
      <c r="Z33" s="2457"/>
      <c r="AA33" s="2457"/>
      <c r="AB33" s="2457"/>
      <c r="AC33" s="832" t="s">
        <v>2066</v>
      </c>
    </row>
    <row r="34" spans="1:37">
      <c r="A34" s="838" t="s">
        <v>625</v>
      </c>
      <c r="B34" s="837"/>
      <c r="C34" s="837"/>
      <c r="D34" s="837"/>
      <c r="E34" s="837"/>
      <c r="F34" s="837"/>
      <c r="G34" s="837"/>
      <c r="H34" s="837"/>
      <c r="I34" s="837"/>
    </row>
    <row r="35" spans="1:37">
      <c r="A35" s="838"/>
      <c r="B35" s="837"/>
      <c r="C35" s="837"/>
      <c r="D35" s="837"/>
      <c r="E35" s="837"/>
      <c r="F35" s="837"/>
      <c r="G35" s="837"/>
      <c r="H35" s="837"/>
      <c r="I35" s="837"/>
    </row>
    <row r="36" spans="1:37" ht="15.75">
      <c r="A36" s="1064"/>
      <c r="B36" s="837" t="s">
        <v>706</v>
      </c>
      <c r="C36" s="838" t="s">
        <v>626</v>
      </c>
      <c r="D36" s="838"/>
      <c r="E36" s="1068"/>
      <c r="F36" s="1068"/>
      <c r="G36" s="1068"/>
      <c r="H36" s="1068"/>
      <c r="I36" s="1068"/>
      <c r="J36" s="1068"/>
      <c r="S36" s="2457">
        <v>0</v>
      </c>
      <c r="T36" s="2457"/>
      <c r="U36" s="2457"/>
      <c r="V36" s="2457"/>
      <c r="W36" s="2457"/>
      <c r="X36" s="2457"/>
      <c r="Y36" s="2457"/>
      <c r="Z36" s="2457"/>
      <c r="AA36" s="2457"/>
      <c r="AB36" s="2457"/>
      <c r="AC36" s="832" t="s">
        <v>2066</v>
      </c>
    </row>
    <row r="37" spans="1:37" ht="15.75">
      <c r="A37" s="1064"/>
      <c r="B37" s="837" t="s">
        <v>706</v>
      </c>
      <c r="C37" s="838" t="s">
        <v>627</v>
      </c>
      <c r="D37" s="1069"/>
      <c r="F37" s="1068"/>
      <c r="G37" s="1068"/>
      <c r="H37" s="1068"/>
      <c r="I37" s="1068"/>
      <c r="J37" s="1064"/>
      <c r="S37" s="2457">
        <v>0</v>
      </c>
      <c r="T37" s="2457"/>
      <c r="U37" s="2457"/>
      <c r="V37" s="2457"/>
      <c r="W37" s="2457"/>
      <c r="X37" s="2457"/>
      <c r="Y37" s="2457"/>
      <c r="Z37" s="2457"/>
      <c r="AA37" s="2457"/>
      <c r="AB37" s="2457"/>
      <c r="AC37" s="832" t="s">
        <v>2066</v>
      </c>
    </row>
    <row r="38" spans="1:37" ht="15.75">
      <c r="A38" s="1064"/>
      <c r="B38" s="837" t="s">
        <v>706</v>
      </c>
      <c r="C38" s="838" t="s">
        <v>628</v>
      </c>
      <c r="D38" s="1069"/>
      <c r="F38" s="1068"/>
      <c r="G38" s="1068"/>
      <c r="H38" s="1068"/>
      <c r="I38" s="1064"/>
      <c r="J38" s="1068"/>
      <c r="S38" s="2457">
        <v>0</v>
      </c>
      <c r="T38" s="2457"/>
      <c r="U38" s="2457"/>
      <c r="V38" s="2457"/>
      <c r="W38" s="2457"/>
      <c r="X38" s="2457"/>
      <c r="Y38" s="2457"/>
      <c r="Z38" s="2457"/>
      <c r="AA38" s="2457"/>
      <c r="AB38" s="2457"/>
      <c r="AC38" s="832" t="s">
        <v>2066</v>
      </c>
    </row>
    <row r="39" spans="1:37" ht="15.75">
      <c r="A39" s="1064"/>
      <c r="B39" s="837" t="s">
        <v>706</v>
      </c>
      <c r="C39" s="838" t="s">
        <v>629</v>
      </c>
      <c r="D39" s="1069"/>
      <c r="F39" s="1068"/>
      <c r="G39" s="1068"/>
      <c r="H39" s="1068"/>
      <c r="I39" s="1068"/>
      <c r="J39" s="1068"/>
      <c r="S39" s="2457">
        <f>S33-S36-S37-S38</f>
        <v>0</v>
      </c>
      <c r="T39" s="2457"/>
      <c r="U39" s="2457"/>
      <c r="V39" s="2457"/>
      <c r="W39" s="2457"/>
      <c r="X39" s="2457"/>
      <c r="Y39" s="2457"/>
      <c r="Z39" s="2457"/>
      <c r="AA39" s="2457"/>
      <c r="AB39" s="2457"/>
      <c r="AC39" s="832" t="s">
        <v>2066</v>
      </c>
    </row>
    <row r="40" spans="1:37" ht="15.75">
      <c r="A40" s="1064"/>
      <c r="B40" s="837"/>
      <c r="C40" s="837"/>
      <c r="D40" s="837"/>
      <c r="E40" s="837"/>
      <c r="F40" s="837"/>
      <c r="G40" s="837"/>
      <c r="H40" s="837"/>
      <c r="I40" s="837"/>
    </row>
    <row r="41" spans="1:37">
      <c r="A41" s="2451" t="str">
        <f>"Konačnu odluku o pokriću gubitka za " &amp; ObracunGodina &amp; ". godinu donijeće Skupština "&amp; FirmaNaziv &amp; ", " &amp; FirmaSjediste &amp; ", u skladu sa Zakonom o privrednim društvima  i Statutom društva."</f>
        <v>Konačnu odluku o pokriću gubitka za 2011. godinu donijeće Skupština , , u skladu sa Zakonom o privrednim društvima  i Statutom društva.</v>
      </c>
      <c r="B41" s="2451"/>
      <c r="C41" s="2451"/>
      <c r="D41" s="2451"/>
      <c r="E41" s="2451"/>
      <c r="F41" s="2451"/>
      <c r="G41" s="2451"/>
      <c r="H41" s="2451"/>
      <c r="I41" s="2451"/>
      <c r="J41" s="2451"/>
      <c r="K41" s="2451"/>
      <c r="L41" s="2451"/>
      <c r="M41" s="2451"/>
      <c r="N41" s="2451"/>
      <c r="O41" s="2451"/>
      <c r="P41" s="2451"/>
      <c r="Q41" s="2451"/>
      <c r="R41" s="2451"/>
      <c r="S41" s="2451"/>
      <c r="T41" s="2451"/>
      <c r="U41" s="2451"/>
      <c r="V41" s="2451"/>
      <c r="W41" s="2451"/>
      <c r="X41" s="2451"/>
      <c r="Y41" s="2451"/>
      <c r="Z41" s="2451"/>
      <c r="AA41" s="2451"/>
      <c r="AB41" s="2451"/>
      <c r="AC41" s="2451"/>
      <c r="AD41" s="2451"/>
      <c r="AE41" s="2451"/>
      <c r="AF41" s="2451"/>
      <c r="AG41" s="2451"/>
      <c r="AH41" s="2451"/>
      <c r="AI41" s="2451"/>
      <c r="AJ41" s="2451"/>
      <c r="AK41" s="2451"/>
    </row>
    <row r="42" spans="1:37">
      <c r="A42" s="2451"/>
      <c r="B42" s="2451"/>
      <c r="C42" s="2451"/>
      <c r="D42" s="2451"/>
      <c r="E42" s="2451"/>
      <c r="F42" s="2451"/>
      <c r="G42" s="2451"/>
      <c r="H42" s="2451"/>
      <c r="I42" s="2451"/>
      <c r="J42" s="2451"/>
      <c r="K42" s="2451"/>
      <c r="L42" s="2451"/>
      <c r="M42" s="2451"/>
      <c r="N42" s="2451"/>
      <c r="O42" s="2451"/>
      <c r="P42" s="2451"/>
      <c r="Q42" s="2451"/>
      <c r="R42" s="2451"/>
      <c r="S42" s="2451"/>
      <c r="T42" s="2451"/>
      <c r="U42" s="2451"/>
      <c r="V42" s="2451"/>
      <c r="W42" s="2451"/>
      <c r="X42" s="2451"/>
      <c r="Y42" s="2451"/>
      <c r="Z42" s="2451"/>
      <c r="AA42" s="2451"/>
      <c r="AB42" s="2451"/>
      <c r="AC42" s="2451"/>
      <c r="AD42" s="2451"/>
      <c r="AE42" s="2451"/>
      <c r="AF42" s="2451"/>
      <c r="AG42" s="2451"/>
      <c r="AH42" s="2451"/>
      <c r="AI42" s="2451"/>
      <c r="AJ42" s="2451"/>
      <c r="AK42" s="2451"/>
    </row>
    <row r="43" spans="1:37">
      <c r="A43" s="2451"/>
      <c r="B43" s="2451"/>
      <c r="C43" s="2451"/>
      <c r="D43" s="2451"/>
      <c r="E43" s="2451"/>
      <c r="F43" s="2451"/>
      <c r="G43" s="2451"/>
      <c r="H43" s="2451"/>
      <c r="I43" s="2451"/>
      <c r="J43" s="2451"/>
      <c r="K43" s="2451"/>
      <c r="L43" s="2451"/>
      <c r="M43" s="2451"/>
      <c r="N43" s="2451"/>
      <c r="O43" s="2451"/>
      <c r="P43" s="2451"/>
      <c r="Q43" s="2451"/>
      <c r="R43" s="2451"/>
      <c r="S43" s="2451"/>
      <c r="T43" s="2451"/>
      <c r="U43" s="2451"/>
      <c r="V43" s="2451"/>
      <c r="W43" s="2451"/>
      <c r="X43" s="2451"/>
      <c r="Y43" s="2451"/>
      <c r="Z43" s="2451"/>
      <c r="AA43" s="2451"/>
      <c r="AB43" s="2451"/>
      <c r="AC43" s="2451"/>
      <c r="AD43" s="2451"/>
      <c r="AE43" s="2451"/>
      <c r="AF43" s="2451"/>
      <c r="AG43" s="2451"/>
      <c r="AH43" s="2451"/>
      <c r="AI43" s="2451"/>
      <c r="AJ43" s="2451"/>
      <c r="AK43" s="2451"/>
    </row>
    <row r="44" spans="1:37" ht="15.75">
      <c r="A44" s="1064"/>
    </row>
    <row r="45" spans="1:37" ht="15.75">
      <c r="A45" s="1064"/>
    </row>
    <row r="46" spans="1:37" ht="18">
      <c r="O46" s="1075"/>
      <c r="P46" s="1076" t="s">
        <v>686</v>
      </c>
      <c r="Q46" s="1075"/>
      <c r="AA46" s="832" t="s">
        <v>2204</v>
      </c>
    </row>
    <row r="47" spans="1:37">
      <c r="W47" s="840"/>
      <c r="X47" s="840"/>
      <c r="Y47" s="840"/>
      <c r="Z47" s="840"/>
      <c r="AA47" s="840"/>
      <c r="AB47" s="840"/>
      <c r="AC47" s="840"/>
      <c r="AD47" s="840"/>
      <c r="AE47" s="840"/>
      <c r="AF47" s="840"/>
    </row>
    <row r="48" spans="1:37">
      <c r="W48" s="840"/>
      <c r="X48" s="840"/>
      <c r="Y48" s="1077">
        <f>FirmaDirekor</f>
        <v>0</v>
      </c>
      <c r="Z48" s="1078"/>
      <c r="AA48" s="1078"/>
      <c r="AB48" s="1078"/>
      <c r="AC48" s="1078"/>
      <c r="AD48" s="1078"/>
      <c r="AE48" s="1078"/>
      <c r="AF48" s="1078"/>
      <c r="AG48" s="1078"/>
      <c r="AH48" s="1078"/>
    </row>
    <row r="49" spans="2:34">
      <c r="W49" s="840"/>
      <c r="X49" s="840"/>
      <c r="Y49" s="840"/>
      <c r="Z49" s="840"/>
      <c r="AA49" s="840"/>
      <c r="AB49" s="840"/>
      <c r="AC49" s="840"/>
      <c r="AD49" s="840"/>
      <c r="AE49" s="840"/>
      <c r="AF49" s="840"/>
      <c r="AG49" s="840"/>
      <c r="AH49" s="840"/>
    </row>
    <row r="52" spans="2:34" ht="15.75">
      <c r="B52" s="1064"/>
    </row>
  </sheetData>
  <mergeCells count="12">
    <mergeCell ref="S39:AB39"/>
    <mergeCell ref="A41:AK43"/>
    <mergeCell ref="A28:AK31"/>
    <mergeCell ref="S33:AB33"/>
    <mergeCell ref="S36:AB36"/>
    <mergeCell ref="S37:AB37"/>
    <mergeCell ref="S38:AB38"/>
    <mergeCell ref="F14:AK15"/>
    <mergeCell ref="A17:AK21"/>
    <mergeCell ref="A24:AK24"/>
    <mergeCell ref="A25:AK25"/>
    <mergeCell ref="A26:AK26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29" enableFormatConditionsCalculation="0">
    <tabColor indexed="19"/>
  </sheetPr>
  <dimension ref="A1:AL47"/>
  <sheetViews>
    <sheetView showGridLines="0" topLeftCell="A13" workbookViewId="0">
      <selection activeCell="B19" sqref="B19:AL19"/>
    </sheetView>
  </sheetViews>
  <sheetFormatPr defaultColWidth="2.28515625" defaultRowHeight="14.25"/>
  <cols>
    <col min="1" max="1" width="2.7109375" style="827" customWidth="1"/>
    <col min="2" max="3" width="2.28515625" style="827"/>
    <col min="4" max="4" width="6.7109375" style="827" bestFit="1" customWidth="1"/>
    <col min="5" max="26" width="2.28515625" style="827"/>
    <col min="27" max="27" width="2.5703125" style="827" bestFit="1" customWidth="1"/>
    <col min="28" max="16384" width="2.28515625" style="827"/>
  </cols>
  <sheetData>
    <row r="1" spans="1:37" ht="15.75">
      <c r="A1" s="1096">
        <f>FirmaNaziv</f>
        <v>0</v>
      </c>
    </row>
    <row r="2" spans="1:37" ht="15.75">
      <c r="A2" s="1096">
        <f>FirmaSjediste</f>
        <v>0</v>
      </c>
    </row>
    <row r="3" spans="1:37">
      <c r="A3" s="828" t="str">
        <f>MID(FirmaID,1,1)</f>
        <v/>
      </c>
      <c r="B3" s="828" t="str">
        <f>MID(FirmaID,2,1)</f>
        <v/>
      </c>
      <c r="C3" s="828" t="str">
        <f>MID(FirmaID,3,1)</f>
        <v/>
      </c>
      <c r="D3" s="828" t="str">
        <f>MID(FirmaID,4,1)</f>
        <v/>
      </c>
      <c r="E3" s="828" t="str">
        <f>MID(FirmaID,5,1)</f>
        <v/>
      </c>
      <c r="F3" s="828" t="str">
        <f>MID(FirmaID,6,1)</f>
        <v/>
      </c>
      <c r="G3" s="828" t="str">
        <f>MID(FirmaID,7,1)</f>
        <v/>
      </c>
      <c r="H3" s="828" t="str">
        <f>MID(FirmaID,8,1)</f>
        <v/>
      </c>
      <c r="I3" s="828" t="str">
        <f>MID(FirmaID,9,1)</f>
        <v/>
      </c>
      <c r="J3" s="828" t="str">
        <f>MID(FirmaID,10,1)</f>
        <v/>
      </c>
      <c r="K3" s="828" t="str">
        <f>MID(FirmaID,11,1)</f>
        <v/>
      </c>
      <c r="L3" s="828" t="str">
        <f>MID(FirmaID,12,1)</f>
        <v/>
      </c>
      <c r="M3" s="828" t="str">
        <f>MID(FirmaID,13,1)</f>
        <v/>
      </c>
    </row>
    <row r="4" spans="1:37">
      <c r="A4" s="828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37">
      <c r="A5" s="828" t="s">
        <v>2185</v>
      </c>
      <c r="D5" s="1097" t="str">
        <f>ObracunPredaja</f>
        <v>28.2.2012.</v>
      </c>
      <c r="I5" s="827" t="s">
        <v>2186</v>
      </c>
    </row>
    <row r="6" spans="1:37">
      <c r="A6" s="828" t="s">
        <v>2187</v>
      </c>
    </row>
    <row r="8" spans="1:37" ht="18">
      <c r="A8" s="1070"/>
      <c r="E8" s="1070"/>
      <c r="F8" s="1070"/>
      <c r="G8" s="1070"/>
      <c r="H8" s="1070"/>
      <c r="I8" s="1070"/>
      <c r="J8" s="1070"/>
      <c r="K8" s="1070"/>
      <c r="L8" s="1070"/>
      <c r="M8" s="1070"/>
      <c r="R8" s="1071" t="s">
        <v>630</v>
      </c>
    </row>
    <row r="10" spans="1:37">
      <c r="A10" s="2458" t="str">
        <f>"U smislu odredbi čl.40,41 i 44 Zakona o računovodstvu i reviziji u Federaciji BiH (Službene novine Federacije BiH, broj 83/09), navodimo slijedeće podatke koji upotpunjuju objektivan prikaz finansijskog položaja i poslovanja pravnog lica  "&amp; FirmaNaziv &amp; ", " &amp; FirmaSjediste &amp; "."</f>
        <v>U smislu odredbi čl.40,41 i 44 Zakona o računovodstvu i reviziji u Federaciji BiH (Službene novine Federacije BiH, broj 83/09), navodimo slijedeće podatke koji upotpunjuju objektivan prikaz finansijskog položaja i poslovanja pravnog lica  , .</v>
      </c>
      <c r="B10" s="2458"/>
      <c r="C10" s="2458"/>
      <c r="D10" s="2458"/>
      <c r="E10" s="2458"/>
      <c r="F10" s="2458"/>
      <c r="G10" s="2458"/>
      <c r="H10" s="2458"/>
      <c r="I10" s="2458"/>
      <c r="J10" s="2458"/>
      <c r="K10" s="2458"/>
      <c r="L10" s="2458"/>
      <c r="M10" s="2458"/>
      <c r="N10" s="2458"/>
      <c r="O10" s="2458"/>
      <c r="P10" s="2458"/>
      <c r="Q10" s="2458"/>
      <c r="R10" s="2458"/>
      <c r="S10" s="2458"/>
      <c r="T10" s="2458"/>
      <c r="U10" s="2458"/>
      <c r="V10" s="2458"/>
      <c r="W10" s="2458"/>
      <c r="X10" s="2458"/>
      <c r="Y10" s="2458"/>
      <c r="Z10" s="2458"/>
      <c r="AA10" s="2458"/>
      <c r="AB10" s="2458"/>
      <c r="AC10" s="2458"/>
      <c r="AD10" s="2458"/>
      <c r="AE10" s="2458"/>
      <c r="AF10" s="2458"/>
      <c r="AG10" s="2458"/>
      <c r="AH10" s="2458"/>
      <c r="AI10" s="2458"/>
      <c r="AJ10" s="2458"/>
      <c r="AK10" s="2458"/>
    </row>
    <row r="11" spans="1:37">
      <c r="A11" s="2458"/>
      <c r="B11" s="2458"/>
      <c r="C11" s="2458"/>
      <c r="D11" s="2458"/>
      <c r="E11" s="2458"/>
      <c r="F11" s="2458"/>
      <c r="G11" s="2458"/>
      <c r="H11" s="2458"/>
      <c r="I11" s="2458"/>
      <c r="J11" s="2458"/>
      <c r="K11" s="2458"/>
      <c r="L11" s="2458"/>
      <c r="M11" s="2458"/>
      <c r="N11" s="2458"/>
      <c r="O11" s="2458"/>
      <c r="P11" s="2458"/>
      <c r="Q11" s="2458"/>
      <c r="R11" s="2458"/>
      <c r="S11" s="2458"/>
      <c r="T11" s="2458"/>
      <c r="U11" s="2458"/>
      <c r="V11" s="2458"/>
      <c r="W11" s="2458"/>
      <c r="X11" s="2458"/>
      <c r="Y11" s="2458"/>
      <c r="Z11" s="2458"/>
      <c r="AA11" s="2458"/>
      <c r="AB11" s="2458"/>
      <c r="AC11" s="2458"/>
      <c r="AD11" s="2458"/>
      <c r="AE11" s="2458"/>
      <c r="AF11" s="2458"/>
      <c r="AG11" s="2458"/>
      <c r="AH11" s="2458"/>
      <c r="AI11" s="2458"/>
      <c r="AJ11" s="2458"/>
      <c r="AK11" s="2458"/>
    </row>
    <row r="12" spans="1:37">
      <c r="A12" s="2458"/>
      <c r="B12" s="2458"/>
      <c r="C12" s="2458"/>
      <c r="D12" s="2458"/>
      <c r="E12" s="2458"/>
      <c r="F12" s="2458"/>
      <c r="G12" s="2458"/>
      <c r="H12" s="2458"/>
      <c r="I12" s="2458"/>
      <c r="J12" s="2458"/>
      <c r="K12" s="2458"/>
      <c r="L12" s="2458"/>
      <c r="M12" s="2458"/>
      <c r="N12" s="2458"/>
      <c r="O12" s="2458"/>
      <c r="P12" s="2458"/>
      <c r="Q12" s="2458"/>
      <c r="R12" s="2458"/>
      <c r="S12" s="2458"/>
      <c r="T12" s="2458"/>
      <c r="U12" s="2458"/>
      <c r="V12" s="2458"/>
      <c r="W12" s="2458"/>
      <c r="X12" s="2458"/>
      <c r="Y12" s="2458"/>
      <c r="Z12" s="2458"/>
      <c r="AA12" s="2458"/>
      <c r="AB12" s="2458"/>
      <c r="AC12" s="2458"/>
      <c r="AD12" s="2458"/>
      <c r="AE12" s="2458"/>
      <c r="AF12" s="2458"/>
      <c r="AG12" s="2458"/>
      <c r="AH12" s="2458"/>
      <c r="AI12" s="2458"/>
      <c r="AJ12" s="2458"/>
      <c r="AK12" s="2458"/>
    </row>
    <row r="13" spans="1:37">
      <c r="A13" s="2458"/>
      <c r="B13" s="2458"/>
      <c r="C13" s="2458"/>
      <c r="D13" s="2458"/>
      <c r="E13" s="2458"/>
      <c r="F13" s="2458"/>
      <c r="G13" s="2458"/>
      <c r="H13" s="2458"/>
      <c r="I13" s="2458"/>
      <c r="J13" s="2458"/>
      <c r="K13" s="2458"/>
      <c r="L13" s="2458"/>
      <c r="M13" s="2458"/>
      <c r="N13" s="2458"/>
      <c r="O13" s="2458"/>
      <c r="P13" s="2458"/>
      <c r="Q13" s="2458"/>
      <c r="R13" s="2458"/>
      <c r="S13" s="2458"/>
      <c r="T13" s="2458"/>
      <c r="U13" s="2458"/>
      <c r="V13" s="2458"/>
      <c r="W13" s="2458"/>
      <c r="X13" s="2458"/>
      <c r="Y13" s="2458"/>
      <c r="Z13" s="2458"/>
      <c r="AA13" s="2458"/>
      <c r="AB13" s="2458"/>
      <c r="AC13" s="2458"/>
      <c r="AD13" s="2458"/>
      <c r="AE13" s="2458"/>
      <c r="AF13" s="2458"/>
      <c r="AG13" s="2458"/>
      <c r="AH13" s="2458"/>
      <c r="AI13" s="2458"/>
      <c r="AJ13" s="2458"/>
      <c r="AK13" s="2458"/>
    </row>
    <row r="14" spans="1:37">
      <c r="A14" s="2458"/>
      <c r="B14" s="2458"/>
      <c r="C14" s="2458"/>
      <c r="D14" s="2458"/>
      <c r="E14" s="2458"/>
      <c r="F14" s="2458"/>
      <c r="G14" s="2458"/>
      <c r="H14" s="2458"/>
      <c r="I14" s="2458"/>
      <c r="J14" s="2458"/>
      <c r="K14" s="2458"/>
      <c r="L14" s="2458"/>
      <c r="M14" s="2458"/>
      <c r="N14" s="2458"/>
      <c r="O14" s="2458"/>
      <c r="P14" s="2458"/>
      <c r="Q14" s="2458"/>
      <c r="R14" s="2458"/>
      <c r="S14" s="2458"/>
      <c r="T14" s="2458"/>
      <c r="U14" s="2458"/>
      <c r="V14" s="2458"/>
      <c r="W14" s="2458"/>
      <c r="X14" s="2458"/>
      <c r="Y14" s="2458"/>
      <c r="Z14" s="2458"/>
      <c r="AA14" s="2458"/>
      <c r="AB14" s="2458"/>
      <c r="AC14" s="2458"/>
      <c r="AD14" s="2458"/>
      <c r="AE14" s="2458"/>
      <c r="AF14" s="2458"/>
      <c r="AG14" s="2458"/>
      <c r="AH14" s="2458"/>
      <c r="AI14" s="2458"/>
      <c r="AJ14" s="2458"/>
      <c r="AK14" s="2458"/>
    </row>
    <row r="15" spans="1:37">
      <c r="B15" s="1072"/>
      <c r="C15" s="1072"/>
      <c r="D15" s="1072"/>
      <c r="F15" s="1072"/>
      <c r="G15" s="1072"/>
      <c r="H15" s="1072"/>
      <c r="I15" s="1072"/>
    </row>
    <row r="16" spans="1:37" ht="15">
      <c r="A16" s="829" t="s">
        <v>631</v>
      </c>
      <c r="B16" s="829" t="s">
        <v>2188</v>
      </c>
    </row>
    <row r="17" spans="1:38" ht="15">
      <c r="B17" s="829" t="s">
        <v>2189</v>
      </c>
    </row>
    <row r="19" spans="1:38" ht="35.25" customHeight="1">
      <c r="B19" s="2459" t="str">
        <f>"U periodu od  "&amp;ObracunDoDatuma&amp;" "&amp;ObracunGodina&amp;" .godine do datuma predaje (usvajanja) finansijskih izvještaja za"  &amp;ObracunGodina&amp;" . godinu nije bilo značajnih postbilansnih događaja u smislu MRS 10."</f>
        <v>U periodu od  31.12. 2011 .godine do datuma predaje (usvajanja) finansijskih izvještaja za2011 . godinu nije bilo značajnih postbilansnih događaja u smislu MRS 10.</v>
      </c>
      <c r="C19" s="2459"/>
      <c r="D19" s="2459"/>
      <c r="E19" s="2459"/>
      <c r="F19" s="2459"/>
      <c r="G19" s="2459"/>
      <c r="H19" s="2459"/>
      <c r="I19" s="2459"/>
      <c r="J19" s="2459"/>
      <c r="K19" s="2459"/>
      <c r="L19" s="2459"/>
      <c r="M19" s="2459"/>
      <c r="N19" s="2459"/>
      <c r="O19" s="2459"/>
      <c r="P19" s="2459"/>
      <c r="Q19" s="2459"/>
      <c r="R19" s="2459"/>
      <c r="S19" s="2459"/>
      <c r="T19" s="2459"/>
      <c r="U19" s="2459"/>
      <c r="V19" s="2459"/>
      <c r="W19" s="2459"/>
      <c r="X19" s="2459"/>
      <c r="Y19" s="2459"/>
      <c r="Z19" s="2459"/>
      <c r="AA19" s="2459"/>
      <c r="AB19" s="2459"/>
      <c r="AC19" s="2459"/>
      <c r="AD19" s="2459"/>
      <c r="AE19" s="2459"/>
      <c r="AF19" s="2459"/>
      <c r="AG19" s="2459"/>
      <c r="AH19" s="2459"/>
      <c r="AI19" s="2459"/>
      <c r="AJ19" s="2459"/>
      <c r="AK19" s="2459"/>
      <c r="AL19" s="2459"/>
    </row>
    <row r="20" spans="1:38" ht="9" customHeight="1"/>
    <row r="21" spans="1:38" ht="14.25" customHeight="1">
      <c r="A21" s="829" t="s">
        <v>632</v>
      </c>
      <c r="B21" s="829" t="s">
        <v>633</v>
      </c>
    </row>
    <row r="22" spans="1:38">
      <c r="B22" s="827" t="s">
        <v>634</v>
      </c>
    </row>
    <row r="23" spans="1:38">
      <c r="B23" s="827" t="s">
        <v>635</v>
      </c>
    </row>
    <row r="25" spans="1:38" ht="15">
      <c r="A25" s="829" t="s">
        <v>282</v>
      </c>
      <c r="B25" s="829" t="s">
        <v>636</v>
      </c>
    </row>
    <row r="26" spans="1:38">
      <c r="B26" s="827" t="s">
        <v>637</v>
      </c>
    </row>
    <row r="28" spans="1:38" ht="15">
      <c r="A28" s="829" t="s">
        <v>283</v>
      </c>
      <c r="B28" s="829" t="s">
        <v>638</v>
      </c>
    </row>
    <row r="29" spans="1:38">
      <c r="B29" s="827" t="s">
        <v>639</v>
      </c>
    </row>
    <row r="31" spans="1:38" ht="15">
      <c r="A31" s="829" t="s">
        <v>640</v>
      </c>
      <c r="B31" s="829" t="s">
        <v>641</v>
      </c>
    </row>
    <row r="32" spans="1:38">
      <c r="B32" s="827" t="s">
        <v>642</v>
      </c>
    </row>
    <row r="34" spans="1:36" ht="14.25" customHeight="1">
      <c r="A34" s="829" t="s">
        <v>284</v>
      </c>
      <c r="B34" s="829" t="s">
        <v>643</v>
      </c>
    </row>
    <row r="35" spans="1:36">
      <c r="B35" s="827" t="s">
        <v>644</v>
      </c>
    </row>
    <row r="37" spans="1:36" ht="15">
      <c r="A37" s="829" t="s">
        <v>1476</v>
      </c>
      <c r="B37" s="829" t="s">
        <v>645</v>
      </c>
    </row>
    <row r="38" spans="1:36" ht="15.75">
      <c r="A38" s="1073"/>
      <c r="B38" s="829" t="s">
        <v>646</v>
      </c>
    </row>
    <row r="39" spans="1:36">
      <c r="B39" s="827" t="s">
        <v>647</v>
      </c>
    </row>
    <row r="41" spans="1:36" ht="15">
      <c r="A41" s="829" t="s">
        <v>1159</v>
      </c>
      <c r="B41" s="829" t="s">
        <v>648</v>
      </c>
    </row>
    <row r="42" spans="1:36" ht="15">
      <c r="B42" s="829" t="s">
        <v>649</v>
      </c>
    </row>
    <row r="43" spans="1:36">
      <c r="B43" s="827" t="s">
        <v>650</v>
      </c>
    </row>
    <row r="44" spans="1:36">
      <c r="AC44" s="827" t="s">
        <v>2204</v>
      </c>
    </row>
    <row r="45" spans="1:36" ht="15.75">
      <c r="B45" s="1073"/>
      <c r="Y45" s="1063"/>
      <c r="Z45" s="1063"/>
      <c r="AA45" s="1063"/>
      <c r="AB45" s="1063"/>
      <c r="AC45" s="1063"/>
      <c r="AD45" s="1063"/>
      <c r="AE45" s="1063"/>
      <c r="AF45" s="1063"/>
      <c r="AG45" s="1063"/>
      <c r="AH45" s="1063"/>
    </row>
    <row r="46" spans="1:36" ht="15">
      <c r="R46" s="830" t="s">
        <v>686</v>
      </c>
      <c r="Y46" s="1063"/>
      <c r="Z46" s="1063"/>
      <c r="AA46" s="1079">
        <f>FirmaDirekor</f>
        <v>0</v>
      </c>
      <c r="AB46" s="1080"/>
      <c r="AC46" s="1080"/>
      <c r="AD46" s="1080"/>
      <c r="AE46" s="1080"/>
      <c r="AF46" s="1080"/>
      <c r="AG46" s="1080"/>
      <c r="AH46" s="1080"/>
      <c r="AI46" s="1080"/>
      <c r="AJ46" s="1074"/>
    </row>
    <row r="47" spans="1:36">
      <c r="Y47" s="1063"/>
      <c r="Z47" s="1063"/>
      <c r="AA47" s="1063"/>
      <c r="AB47" s="1063"/>
      <c r="AC47" s="1063"/>
      <c r="AD47" s="1063"/>
      <c r="AE47" s="1063"/>
      <c r="AF47" s="1063"/>
      <c r="AG47" s="1063"/>
      <c r="AH47" s="1063"/>
      <c r="AI47" s="1063"/>
      <c r="AJ47" s="1063"/>
    </row>
  </sheetData>
  <mergeCells count="2">
    <mergeCell ref="A10:AK14"/>
    <mergeCell ref="B19:AL19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2" enableFormatConditionsCalculation="0">
    <tabColor indexed="48"/>
  </sheetPr>
  <dimension ref="A1:AK46"/>
  <sheetViews>
    <sheetView showGridLines="0" topLeftCell="A16" workbookViewId="0">
      <selection activeCell="BB22" sqref="BB22"/>
    </sheetView>
  </sheetViews>
  <sheetFormatPr defaultColWidth="2.28515625" defaultRowHeight="14.25"/>
  <cols>
    <col min="1" max="1" width="3.28515625" style="832" customWidth="1"/>
    <col min="2" max="3" width="2.28515625" style="832"/>
    <col min="4" max="4" width="6.7109375" style="832" bestFit="1" customWidth="1"/>
    <col min="5" max="13" width="2.28515625" style="832"/>
    <col min="14" max="14" width="5.42578125" style="832" bestFit="1" customWidth="1"/>
    <col min="15" max="24" width="2.28515625" style="832"/>
    <col min="25" max="25" width="2.5703125" style="832" bestFit="1" customWidth="1"/>
    <col min="26" max="16384" width="2.28515625" style="832"/>
  </cols>
  <sheetData>
    <row r="1" spans="1:37" s="827" customFormat="1" ht="15.75">
      <c r="A1" s="1096">
        <f>FirmaNaziv</f>
        <v>0</v>
      </c>
    </row>
    <row r="2" spans="1:37" s="827" customFormat="1" ht="15.75">
      <c r="A2" s="1096">
        <f>FirmaSjediste</f>
        <v>0</v>
      </c>
    </row>
    <row r="3" spans="1:37" s="827" customFormat="1">
      <c r="A3" s="828" t="str">
        <f>MID(FirmaID,1,1)</f>
        <v/>
      </c>
      <c r="B3" s="828" t="str">
        <f>MID(FirmaID,2,1)</f>
        <v/>
      </c>
      <c r="C3" s="828" t="str">
        <f>MID(FirmaID,3,1)</f>
        <v/>
      </c>
      <c r="D3" s="828" t="str">
        <f>MID(FirmaID,4,1)</f>
        <v/>
      </c>
      <c r="E3" s="828" t="str">
        <f>MID(FirmaID,5,1)</f>
        <v/>
      </c>
      <c r="F3" s="828" t="str">
        <f>MID(FirmaID,6,1)</f>
        <v/>
      </c>
      <c r="G3" s="828" t="str">
        <f>MID(FirmaID,7,1)</f>
        <v/>
      </c>
      <c r="H3" s="828" t="str">
        <f>MID(FirmaID,8,1)</f>
        <v/>
      </c>
      <c r="I3" s="828" t="str">
        <f>MID(FirmaID,9,1)</f>
        <v/>
      </c>
      <c r="J3" s="828" t="str">
        <f>MID(FirmaID,10,1)</f>
        <v/>
      </c>
      <c r="K3" s="828" t="str">
        <f>MID(FirmaID,11,1)</f>
        <v/>
      </c>
      <c r="L3" s="828" t="str">
        <f>MID(FirmaID,12,1)</f>
        <v/>
      </c>
      <c r="M3" s="828" t="str">
        <f>MID(FirmaID,13,1)</f>
        <v/>
      </c>
    </row>
    <row r="4" spans="1:37" s="827" customFormat="1">
      <c r="A4" s="828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37" s="827" customFormat="1">
      <c r="A5" s="828" t="s">
        <v>2185</v>
      </c>
      <c r="D5" s="1097" t="str">
        <f>ObracunPredaja</f>
        <v>28.2.2012.</v>
      </c>
      <c r="I5" s="827" t="s">
        <v>2186</v>
      </c>
    </row>
    <row r="6" spans="1:37" s="827" customFormat="1">
      <c r="A6" s="828" t="s">
        <v>2192</v>
      </c>
    </row>
    <row r="9" spans="1:37" ht="15.75">
      <c r="A9" s="831" t="s">
        <v>1264</v>
      </c>
      <c r="V9" s="833"/>
    </row>
    <row r="10" spans="1:37" ht="15.75">
      <c r="A10" s="831" t="s">
        <v>612</v>
      </c>
    </row>
    <row r="11" spans="1:37" ht="15.75">
      <c r="A11" s="831"/>
      <c r="E11" s="835"/>
      <c r="F11" s="835"/>
      <c r="G11" s="835"/>
      <c r="H11" s="835"/>
      <c r="I11" s="835"/>
      <c r="J11" s="835"/>
      <c r="K11" s="835"/>
      <c r="L11" s="835"/>
      <c r="M11" s="835"/>
    </row>
    <row r="14" spans="1:37" ht="15">
      <c r="A14" s="836" t="s">
        <v>613</v>
      </c>
      <c r="F14" s="2454" t="str">
        <f>"Odluka o utvrđivanju finansijskih izvještaja za "&amp; ObracunGodina &amp; ". godinu za potrebe njihove predaje ovlaštenoj instituciji"</f>
        <v>Odluka o utvrđivanju finansijskih izvještaja za 2011. godinu za potrebe njihove predaje ovlaštenoj instituciji</v>
      </c>
      <c r="G14" s="2454"/>
      <c r="H14" s="2454"/>
      <c r="I14" s="2454"/>
      <c r="J14" s="2454"/>
      <c r="K14" s="2454"/>
      <c r="L14" s="2454"/>
      <c r="M14" s="2454"/>
      <c r="N14" s="2454"/>
      <c r="O14" s="2454"/>
      <c r="P14" s="2454"/>
      <c r="Q14" s="2454"/>
      <c r="R14" s="2454"/>
      <c r="S14" s="2454"/>
      <c r="T14" s="2454"/>
      <c r="U14" s="2454"/>
      <c r="V14" s="2454"/>
      <c r="W14" s="2454"/>
      <c r="X14" s="2454"/>
      <c r="Y14" s="2454"/>
      <c r="Z14" s="2454"/>
      <c r="AA14" s="2454"/>
      <c r="AB14" s="2454"/>
      <c r="AC14" s="2454"/>
      <c r="AD14" s="2454"/>
      <c r="AE14" s="2454"/>
      <c r="AF14" s="2454"/>
      <c r="AG14" s="2454"/>
      <c r="AH14" s="2454"/>
      <c r="AI14" s="2454"/>
      <c r="AJ14" s="2454"/>
      <c r="AK14" s="2454"/>
    </row>
    <row r="15" spans="1:37" ht="18" customHeight="1">
      <c r="F15" s="2454"/>
      <c r="G15" s="2454"/>
      <c r="H15" s="2454"/>
      <c r="I15" s="2454"/>
      <c r="J15" s="2454"/>
      <c r="K15" s="2454"/>
      <c r="L15" s="2454"/>
      <c r="M15" s="2454"/>
      <c r="N15" s="2454"/>
      <c r="O15" s="2454"/>
      <c r="P15" s="2454"/>
      <c r="Q15" s="2454"/>
      <c r="R15" s="2454"/>
      <c r="S15" s="2454"/>
      <c r="T15" s="2454"/>
      <c r="U15" s="2454"/>
      <c r="V15" s="2454"/>
      <c r="W15" s="2454"/>
      <c r="X15" s="2454"/>
      <c r="Y15" s="2454"/>
      <c r="Z15" s="2454"/>
      <c r="AA15" s="2454"/>
      <c r="AB15" s="2454"/>
      <c r="AC15" s="2454"/>
      <c r="AD15" s="2454"/>
      <c r="AE15" s="2454"/>
      <c r="AF15" s="2454"/>
      <c r="AG15" s="2454"/>
      <c r="AH15" s="2454"/>
      <c r="AI15" s="2454"/>
      <c r="AJ15" s="2454"/>
      <c r="AK15" s="2454"/>
    </row>
    <row r="17" spans="1:37">
      <c r="K17" s="832" t="s">
        <v>1265</v>
      </c>
    </row>
    <row r="18" spans="1:37">
      <c r="A18" s="2451" t="str">
        <f>"Na osnovu člana  347. Zakona o privrednim društvima („Službene novine Federacije BiH“, br. 23/99, 45/00, 2/02, 6/02, 29/03, 68/05, 91/07, 84/09, 88/08 i 7/09) i odredbi Statuta "&amp; FirmaNaziv &amp; ", "&amp; FirmaSjediste&amp;", a u smislu člana 44. stav 6. Zakona o računovodstvu i reviziji u Federaciji BiH („Službene novine Federacije BiH“, broj 83/09),  direktor donosi"</f>
        <v>Na osnovu člana  347. Zakona o privrednim društvima („Službene novine Federacije BiH“, br. 23/99, 45/00, 2/02, 6/02, 29/03, 68/05, 91/07, 84/09, 88/08 i 7/09) i odredbi Statuta , , a u smislu člana 44. stav 6. Zakona o računovodstvu i reviziji u Federaciji BiH („Službene novine Federacije BiH“, broj 83/09),  direktor donosi</v>
      </c>
      <c r="B18" s="2451"/>
      <c r="C18" s="2451"/>
      <c r="D18" s="2451"/>
      <c r="E18" s="2451"/>
      <c r="F18" s="2451"/>
      <c r="G18" s="2451"/>
      <c r="H18" s="2451"/>
      <c r="I18" s="2451"/>
      <c r="J18" s="2451"/>
      <c r="K18" s="2451"/>
      <c r="L18" s="2451"/>
      <c r="M18" s="2451"/>
      <c r="N18" s="2451"/>
      <c r="O18" s="2451"/>
      <c r="P18" s="2451"/>
      <c r="Q18" s="2451"/>
      <c r="R18" s="2451"/>
      <c r="S18" s="2451"/>
      <c r="T18" s="2451"/>
      <c r="U18" s="2451"/>
      <c r="V18" s="2451"/>
      <c r="W18" s="2451"/>
      <c r="X18" s="2451"/>
      <c r="Y18" s="2451"/>
      <c r="Z18" s="2451"/>
      <c r="AA18" s="2451"/>
      <c r="AB18" s="2451"/>
      <c r="AC18" s="2451"/>
      <c r="AD18" s="2451"/>
      <c r="AE18" s="2451"/>
      <c r="AF18" s="2451"/>
      <c r="AG18" s="2451"/>
      <c r="AH18" s="2451"/>
      <c r="AI18" s="2451"/>
      <c r="AJ18" s="2451"/>
      <c r="AK18" s="2451"/>
    </row>
    <row r="19" spans="1:37">
      <c r="A19" s="2451"/>
      <c r="B19" s="2451"/>
      <c r="C19" s="2451"/>
      <c r="D19" s="2451"/>
      <c r="E19" s="2451"/>
      <c r="F19" s="2451"/>
      <c r="G19" s="2451"/>
      <c r="H19" s="2451"/>
      <c r="I19" s="2451"/>
      <c r="J19" s="2451"/>
      <c r="K19" s="2451"/>
      <c r="L19" s="2451"/>
      <c r="M19" s="2451"/>
      <c r="N19" s="2451"/>
      <c r="O19" s="2451"/>
      <c r="P19" s="2451"/>
      <c r="Q19" s="2451"/>
      <c r="R19" s="2451"/>
      <c r="S19" s="2451"/>
      <c r="T19" s="2451"/>
      <c r="U19" s="2451"/>
      <c r="V19" s="2451"/>
      <c r="W19" s="2451"/>
      <c r="X19" s="2451"/>
      <c r="Y19" s="2451"/>
      <c r="Z19" s="2451"/>
      <c r="AA19" s="2451"/>
      <c r="AB19" s="2451"/>
      <c r="AC19" s="2451"/>
      <c r="AD19" s="2451"/>
      <c r="AE19" s="2451"/>
      <c r="AF19" s="2451"/>
      <c r="AG19" s="2451"/>
      <c r="AH19" s="2451"/>
      <c r="AI19" s="2451"/>
      <c r="AJ19" s="2451"/>
      <c r="AK19" s="2451"/>
    </row>
    <row r="20" spans="1:37">
      <c r="A20" s="2451"/>
      <c r="B20" s="2451"/>
      <c r="C20" s="2451"/>
      <c r="D20" s="2451"/>
      <c r="E20" s="2451"/>
      <c r="F20" s="2451"/>
      <c r="G20" s="2451"/>
      <c r="H20" s="2451"/>
      <c r="I20" s="2451"/>
      <c r="J20" s="2451"/>
      <c r="K20" s="2451"/>
      <c r="L20" s="2451"/>
      <c r="M20" s="2451"/>
      <c r="N20" s="2451"/>
      <c r="O20" s="2451"/>
      <c r="P20" s="2451"/>
      <c r="Q20" s="2451"/>
      <c r="R20" s="2451"/>
      <c r="S20" s="2451"/>
      <c r="T20" s="2451"/>
      <c r="U20" s="2451"/>
      <c r="V20" s="2451"/>
      <c r="W20" s="2451"/>
      <c r="X20" s="2451"/>
      <c r="Y20" s="2451"/>
      <c r="Z20" s="2451"/>
      <c r="AA20" s="2451"/>
      <c r="AB20" s="2451"/>
      <c r="AC20" s="2451"/>
      <c r="AD20" s="2451"/>
      <c r="AE20" s="2451"/>
      <c r="AF20" s="2451"/>
      <c r="AG20" s="2451"/>
      <c r="AH20" s="2451"/>
      <c r="AI20" s="2451"/>
      <c r="AJ20" s="2451"/>
      <c r="AK20" s="2451"/>
    </row>
    <row r="21" spans="1:37">
      <c r="A21" s="2451"/>
      <c r="B21" s="2451"/>
      <c r="C21" s="2451"/>
      <c r="D21" s="2451"/>
      <c r="E21" s="2451"/>
      <c r="F21" s="2451"/>
      <c r="G21" s="2451"/>
      <c r="H21" s="2451"/>
      <c r="I21" s="2451"/>
      <c r="J21" s="2451"/>
      <c r="K21" s="2451"/>
      <c r="L21" s="2451"/>
      <c r="M21" s="2451"/>
      <c r="N21" s="2451"/>
      <c r="O21" s="2451"/>
      <c r="P21" s="2451"/>
      <c r="Q21" s="2451"/>
      <c r="R21" s="2451"/>
      <c r="S21" s="2451"/>
      <c r="T21" s="2451"/>
      <c r="U21" s="2451"/>
      <c r="V21" s="2451"/>
      <c r="W21" s="2451"/>
      <c r="X21" s="2451"/>
      <c r="Y21" s="2451"/>
      <c r="Z21" s="2451"/>
      <c r="AA21" s="2451"/>
      <c r="AB21" s="2451"/>
      <c r="AC21" s="2451"/>
      <c r="AD21" s="2451"/>
      <c r="AE21" s="2451"/>
      <c r="AF21" s="2451"/>
      <c r="AG21" s="2451"/>
      <c r="AH21" s="2451"/>
      <c r="AI21" s="2451"/>
      <c r="AJ21" s="2451"/>
      <c r="AK21" s="2451"/>
    </row>
    <row r="22" spans="1:37">
      <c r="A22" s="2451"/>
      <c r="B22" s="2451"/>
      <c r="C22" s="2451"/>
      <c r="D22" s="2451"/>
      <c r="E22" s="2451"/>
      <c r="F22" s="2451"/>
      <c r="G22" s="2451"/>
      <c r="H22" s="2451"/>
      <c r="I22" s="2451"/>
      <c r="J22" s="2451"/>
      <c r="K22" s="2451"/>
      <c r="L22" s="2451"/>
      <c r="M22" s="2451"/>
      <c r="N22" s="2451"/>
      <c r="O22" s="2451"/>
      <c r="P22" s="2451"/>
      <c r="Q22" s="2451"/>
      <c r="R22" s="2451"/>
      <c r="S22" s="2451"/>
      <c r="T22" s="2451"/>
      <c r="U22" s="2451"/>
      <c r="V22" s="2451"/>
      <c r="W22" s="2451"/>
      <c r="X22" s="2451"/>
      <c r="Y22" s="2451"/>
      <c r="Z22" s="2451"/>
      <c r="AA22" s="2451"/>
      <c r="AB22" s="2451"/>
      <c r="AC22" s="2451"/>
      <c r="AD22" s="2451"/>
      <c r="AE22" s="2451"/>
      <c r="AF22" s="2451"/>
      <c r="AG22" s="2451"/>
      <c r="AH22" s="2451"/>
      <c r="AI22" s="2451"/>
      <c r="AJ22" s="2451"/>
      <c r="AK22" s="2451"/>
    </row>
    <row r="23" spans="1:37">
      <c r="B23" s="838"/>
      <c r="C23" s="838"/>
      <c r="D23" s="838"/>
      <c r="F23" s="838"/>
      <c r="G23" s="838"/>
      <c r="H23" s="838"/>
      <c r="I23" s="838"/>
    </row>
    <row r="24" spans="1:37">
      <c r="B24" s="838"/>
      <c r="C24" s="838"/>
      <c r="D24" s="838"/>
      <c r="F24" s="838"/>
      <c r="G24" s="838"/>
      <c r="H24" s="838"/>
      <c r="I24" s="838"/>
    </row>
    <row r="25" spans="1:37" ht="15.75">
      <c r="A25" s="2455" t="s">
        <v>614</v>
      </c>
      <c r="B25" s="2455"/>
      <c r="C25" s="2455"/>
      <c r="D25" s="2455"/>
      <c r="E25" s="2455"/>
      <c r="F25" s="2455"/>
      <c r="G25" s="2455"/>
      <c r="H25" s="2455"/>
      <c r="I25" s="2455"/>
      <c r="J25" s="2455"/>
      <c r="K25" s="2455"/>
      <c r="L25" s="2455"/>
      <c r="M25" s="2455"/>
      <c r="N25" s="2455"/>
      <c r="O25" s="2455"/>
      <c r="P25" s="2455"/>
      <c r="Q25" s="2455"/>
      <c r="R25" s="2455"/>
      <c r="S25" s="2455"/>
      <c r="T25" s="2455"/>
      <c r="U25" s="2455"/>
      <c r="V25" s="2455"/>
      <c r="W25" s="2455"/>
      <c r="X25" s="2455"/>
      <c r="Y25" s="2455"/>
      <c r="Z25" s="2455"/>
      <c r="AA25" s="2455"/>
      <c r="AB25" s="2455"/>
      <c r="AC25" s="2455"/>
      <c r="AD25" s="2455"/>
      <c r="AE25" s="2455"/>
      <c r="AF25" s="2455"/>
      <c r="AG25" s="2455"/>
      <c r="AH25" s="2455"/>
      <c r="AI25" s="2455"/>
      <c r="AJ25" s="2455"/>
      <c r="AK25" s="2455"/>
    </row>
    <row r="26" spans="1:37">
      <c r="A26" s="2456" t="str">
        <f>"o utvrđivanju finansijskih izvještaja za "&amp; ObracunGodina&amp;". godinu"</f>
        <v>o utvrđivanju finansijskih izvještaja za 2011. godinu</v>
      </c>
      <c r="B26" s="2456"/>
      <c r="C26" s="2456"/>
      <c r="D26" s="2456"/>
      <c r="E26" s="2456"/>
      <c r="F26" s="2456"/>
      <c r="G26" s="2456"/>
      <c r="H26" s="2456"/>
      <c r="I26" s="2456"/>
      <c r="J26" s="2456"/>
      <c r="K26" s="2456"/>
      <c r="L26" s="2456"/>
      <c r="M26" s="2456"/>
      <c r="N26" s="2456"/>
      <c r="O26" s="2456"/>
      <c r="P26" s="2456"/>
      <c r="Q26" s="2456"/>
      <c r="R26" s="2456"/>
      <c r="S26" s="2456"/>
      <c r="T26" s="2456"/>
      <c r="U26" s="2456"/>
      <c r="V26" s="2456"/>
      <c r="W26" s="2456"/>
      <c r="X26" s="2456"/>
      <c r="Y26" s="2456"/>
      <c r="Z26" s="2456"/>
      <c r="AA26" s="2456"/>
      <c r="AB26" s="2456"/>
      <c r="AC26" s="2456"/>
      <c r="AD26" s="2456"/>
      <c r="AE26" s="2456"/>
      <c r="AF26" s="2456"/>
      <c r="AG26" s="2456"/>
      <c r="AH26" s="2456"/>
      <c r="AI26" s="2456"/>
      <c r="AJ26" s="2456"/>
      <c r="AK26" s="2456"/>
    </row>
    <row r="27" spans="1:37">
      <c r="A27" s="2456" t="s">
        <v>615</v>
      </c>
      <c r="B27" s="2456"/>
      <c r="C27" s="2456"/>
      <c r="D27" s="2456"/>
      <c r="E27" s="2456"/>
      <c r="F27" s="2456"/>
      <c r="G27" s="2456"/>
      <c r="H27" s="2456"/>
      <c r="I27" s="2456"/>
      <c r="J27" s="2456"/>
      <c r="K27" s="2456"/>
      <c r="L27" s="2456"/>
      <c r="M27" s="2456"/>
      <c r="N27" s="2456"/>
      <c r="O27" s="2456"/>
      <c r="P27" s="2456"/>
      <c r="Q27" s="2456"/>
      <c r="R27" s="2456"/>
      <c r="S27" s="2456"/>
      <c r="T27" s="2456"/>
      <c r="U27" s="2456"/>
      <c r="V27" s="2456"/>
      <c r="W27" s="2456"/>
      <c r="X27" s="2456"/>
      <c r="Y27" s="2456"/>
      <c r="Z27" s="2456"/>
      <c r="AA27" s="2456"/>
      <c r="AB27" s="2456"/>
      <c r="AC27" s="2456"/>
      <c r="AD27" s="2456"/>
      <c r="AE27" s="2456"/>
      <c r="AF27" s="2456"/>
      <c r="AG27" s="2456"/>
      <c r="AH27" s="2456"/>
      <c r="AI27" s="2456"/>
      <c r="AJ27" s="2456"/>
      <c r="AK27" s="2456"/>
    </row>
    <row r="28" spans="1:37" ht="15.75">
      <c r="A28" s="1064"/>
      <c r="B28" s="838"/>
      <c r="C28" s="838"/>
      <c r="D28" s="838"/>
      <c r="F28" s="838"/>
      <c r="G28" s="838"/>
      <c r="H28" s="838"/>
      <c r="I28" s="838"/>
    </row>
    <row r="29" spans="1:37" ht="15.75" customHeight="1">
      <c r="A29" s="2451" t="str">
        <f>"Isključivo za potrebe njihove predaje ovlaštenoj instituciji u smislu člana 44. stav 6. Zakona o računovodstvu i reviziji u Federaciji BiH, utvrđuje se prijedlog finansijskih izvještaja za "&amp;ObracunGodina&amp;" . godinu koji obuhvata:"</f>
        <v>Isključivo za potrebe njihove predaje ovlaštenoj instituciji u smislu člana 44. stav 6. Zakona o računovodstvu i reviziji u Federaciji BiH, utvrđuje se prijedlog finansijskih izvještaja za 2011 . godinu koji obuhvata:</v>
      </c>
      <c r="B29" s="2451"/>
      <c r="C29" s="2451"/>
      <c r="D29" s="2451"/>
      <c r="E29" s="2451"/>
      <c r="F29" s="2451"/>
      <c r="G29" s="2451"/>
      <c r="H29" s="2451"/>
      <c r="I29" s="2451"/>
      <c r="J29" s="2451"/>
      <c r="K29" s="2451"/>
      <c r="L29" s="2451"/>
      <c r="M29" s="2451"/>
      <c r="N29" s="2451"/>
      <c r="O29" s="2451"/>
      <c r="P29" s="2451"/>
      <c r="Q29" s="2451"/>
      <c r="R29" s="2451"/>
      <c r="S29" s="2451"/>
      <c r="T29" s="2451"/>
      <c r="U29" s="2451"/>
      <c r="V29" s="2451"/>
      <c r="W29" s="2451"/>
      <c r="X29" s="2451"/>
      <c r="Y29" s="2451"/>
      <c r="Z29" s="2451"/>
      <c r="AA29" s="2451"/>
      <c r="AB29" s="2451"/>
      <c r="AC29" s="2451"/>
      <c r="AD29" s="2451"/>
      <c r="AE29" s="2451"/>
      <c r="AF29" s="2451"/>
      <c r="AG29" s="2451"/>
      <c r="AH29" s="2451"/>
      <c r="AI29" s="2451"/>
      <c r="AJ29" s="2451"/>
      <c r="AK29" s="2451"/>
    </row>
    <row r="30" spans="1:37" ht="15.75" customHeight="1">
      <c r="A30" s="2451"/>
      <c r="B30" s="2451"/>
      <c r="C30" s="2451"/>
      <c r="D30" s="2451"/>
      <c r="E30" s="2451"/>
      <c r="F30" s="2451"/>
      <c r="G30" s="2451"/>
      <c r="H30" s="2451"/>
      <c r="I30" s="2451"/>
      <c r="J30" s="2451"/>
      <c r="K30" s="2451"/>
      <c r="L30" s="2451"/>
      <c r="M30" s="2451"/>
      <c r="N30" s="2451"/>
      <c r="O30" s="2451"/>
      <c r="P30" s="2451"/>
      <c r="Q30" s="2451"/>
      <c r="R30" s="2451"/>
      <c r="S30" s="2451"/>
      <c r="T30" s="2451"/>
      <c r="U30" s="2451"/>
      <c r="V30" s="2451"/>
      <c r="W30" s="2451"/>
      <c r="X30" s="2451"/>
      <c r="Y30" s="2451"/>
      <c r="Z30" s="2451"/>
      <c r="AA30" s="2451"/>
      <c r="AB30" s="2451"/>
      <c r="AC30" s="2451"/>
      <c r="AD30" s="2451"/>
      <c r="AE30" s="2451"/>
      <c r="AF30" s="2451"/>
      <c r="AG30" s="2451"/>
      <c r="AH30" s="2451"/>
      <c r="AI30" s="2451"/>
      <c r="AJ30" s="2451"/>
      <c r="AK30" s="2451"/>
    </row>
    <row r="31" spans="1:37" ht="15.75" customHeight="1">
      <c r="A31" s="2451"/>
      <c r="B31" s="2451"/>
      <c r="C31" s="2451"/>
      <c r="D31" s="2451"/>
      <c r="E31" s="2451"/>
      <c r="F31" s="2451"/>
      <c r="G31" s="2451"/>
      <c r="H31" s="2451"/>
      <c r="I31" s="2451"/>
      <c r="J31" s="2451"/>
      <c r="K31" s="2451"/>
      <c r="L31" s="2451"/>
      <c r="M31" s="2451"/>
      <c r="N31" s="2451"/>
      <c r="O31" s="2451"/>
      <c r="P31" s="2451"/>
      <c r="Q31" s="2451"/>
      <c r="R31" s="2451"/>
      <c r="S31" s="2451"/>
      <c r="T31" s="2451"/>
      <c r="U31" s="2451"/>
      <c r="V31" s="2451"/>
      <c r="W31" s="2451"/>
      <c r="X31" s="2451"/>
      <c r="Y31" s="2451"/>
      <c r="Z31" s="2451"/>
      <c r="AA31" s="2451"/>
      <c r="AB31" s="2451"/>
      <c r="AC31" s="2451"/>
      <c r="AD31" s="2451"/>
      <c r="AE31" s="2451"/>
      <c r="AF31" s="2451"/>
      <c r="AG31" s="2451"/>
      <c r="AH31" s="2451"/>
      <c r="AI31" s="2451"/>
      <c r="AJ31" s="2451"/>
      <c r="AK31" s="2451"/>
    </row>
    <row r="32" spans="1:37" ht="15.75" customHeight="1">
      <c r="A32" s="2451"/>
      <c r="B32" s="2451"/>
      <c r="C32" s="2451"/>
      <c r="D32" s="2451"/>
      <c r="E32" s="2451"/>
      <c r="F32" s="2451"/>
      <c r="G32" s="2451"/>
      <c r="H32" s="2451"/>
      <c r="I32" s="2451"/>
      <c r="J32" s="2451"/>
      <c r="K32" s="2451"/>
      <c r="L32" s="2451"/>
      <c r="M32" s="2451"/>
      <c r="N32" s="2451"/>
      <c r="O32" s="2451"/>
      <c r="P32" s="2451"/>
      <c r="Q32" s="2451"/>
      <c r="R32" s="2451"/>
      <c r="S32" s="2451"/>
      <c r="T32" s="2451"/>
      <c r="U32" s="2451"/>
      <c r="V32" s="2451"/>
      <c r="W32" s="2451"/>
      <c r="X32" s="2451"/>
      <c r="Y32" s="2451"/>
      <c r="Z32" s="2451"/>
      <c r="AA32" s="2451"/>
      <c r="AB32" s="2451"/>
      <c r="AC32" s="2451"/>
      <c r="AD32" s="2451"/>
      <c r="AE32" s="2451"/>
      <c r="AF32" s="2451"/>
      <c r="AG32" s="2451"/>
      <c r="AH32" s="2451"/>
      <c r="AI32" s="2451"/>
      <c r="AJ32" s="2451"/>
      <c r="AK32" s="2451"/>
    </row>
    <row r="33" spans="1:37" ht="15.75">
      <c r="A33" s="1064"/>
      <c r="B33" s="837"/>
      <c r="C33" s="837"/>
      <c r="D33" s="837"/>
      <c r="E33" s="837"/>
      <c r="F33" s="837"/>
      <c r="G33" s="837"/>
      <c r="H33" s="837"/>
      <c r="I33" s="837"/>
      <c r="M33" s="832" t="s">
        <v>706</v>
      </c>
      <c r="N33" s="1065" t="str">
        <f>"Bilans stanja, "</f>
        <v xml:space="preserve">Bilans stanja, </v>
      </c>
    </row>
    <row r="34" spans="1:37" ht="15.75">
      <c r="A34" s="1064"/>
      <c r="B34" s="837"/>
      <c r="C34" s="837"/>
      <c r="D34" s="837"/>
      <c r="E34" s="837"/>
      <c r="F34" s="837"/>
      <c r="G34" s="837"/>
      <c r="H34" s="837"/>
      <c r="I34" s="837"/>
      <c r="M34" s="832" t="s">
        <v>706</v>
      </c>
      <c r="N34" s="1065" t="s">
        <v>616</v>
      </c>
    </row>
    <row r="35" spans="1:37" ht="15.75">
      <c r="A35" s="1064"/>
      <c r="B35" s="837"/>
      <c r="C35" s="837"/>
      <c r="D35" s="837"/>
      <c r="E35" s="837"/>
      <c r="F35" s="837"/>
      <c r="G35" s="837"/>
      <c r="H35" s="837"/>
      <c r="I35" s="837"/>
      <c r="M35" s="832" t="s">
        <v>706</v>
      </c>
      <c r="N35" s="1066" t="s">
        <v>2033</v>
      </c>
    </row>
    <row r="36" spans="1:37" ht="15.75">
      <c r="A36" s="1064"/>
      <c r="B36" s="837"/>
      <c r="C36" s="837"/>
      <c r="D36" s="837"/>
      <c r="E36" s="837"/>
      <c r="F36" s="837"/>
      <c r="G36" s="837"/>
      <c r="H36" s="837"/>
      <c r="I36" s="837"/>
      <c r="M36" s="832" t="s">
        <v>706</v>
      </c>
      <c r="N36" s="1066" t="s">
        <v>2034</v>
      </c>
      <c r="AF36" s="1067"/>
    </row>
    <row r="37" spans="1:37" ht="15.75">
      <c r="A37" s="1064"/>
      <c r="B37" s="837"/>
      <c r="C37" s="837"/>
      <c r="D37" s="837"/>
      <c r="E37" s="837"/>
      <c r="F37" s="837"/>
      <c r="G37" s="837"/>
      <c r="H37" s="837"/>
      <c r="I37" s="837"/>
      <c r="M37" s="832" t="s">
        <v>706</v>
      </c>
      <c r="N37" s="1066" t="s">
        <v>2035</v>
      </c>
      <c r="AF37" s="1067"/>
    </row>
    <row r="38" spans="1:37" ht="15.75" customHeight="1">
      <c r="A38" s="2451" t="str">
        <f>"Finansijske izvještaje za "&amp;ObracunGodina&amp;". godinu usvojiće Skupština "&amp;FirmaNaziv&amp; ", " &amp; FirmaSjediste &amp; ", u skladu sa Zakonom o privrednim društvima  i Statutom društva."</f>
        <v>Finansijske izvještaje za 2011. godinu usvojiće Skupština , , u skladu sa Zakonom o privrednim društvima  i Statutom društva.</v>
      </c>
      <c r="B38" s="2451"/>
      <c r="C38" s="2451"/>
      <c r="D38" s="2451"/>
      <c r="E38" s="2451"/>
      <c r="F38" s="2451"/>
      <c r="G38" s="2451"/>
      <c r="H38" s="2451"/>
      <c r="I38" s="2451"/>
      <c r="J38" s="2451"/>
      <c r="K38" s="2451"/>
      <c r="L38" s="2451"/>
      <c r="M38" s="2451"/>
      <c r="N38" s="2451"/>
      <c r="O38" s="2451"/>
      <c r="P38" s="2451"/>
      <c r="Q38" s="2451"/>
      <c r="R38" s="2451"/>
      <c r="S38" s="2451"/>
      <c r="T38" s="2451"/>
      <c r="U38" s="2451"/>
      <c r="V38" s="2451"/>
      <c r="W38" s="2451"/>
      <c r="X38" s="2451"/>
      <c r="Y38" s="2451"/>
      <c r="Z38" s="2451"/>
      <c r="AA38" s="2451"/>
      <c r="AB38" s="2451"/>
      <c r="AC38" s="2451"/>
      <c r="AD38" s="2451"/>
      <c r="AE38" s="2451"/>
      <c r="AF38" s="2451"/>
      <c r="AG38" s="2451"/>
      <c r="AH38" s="2451"/>
      <c r="AI38" s="2451"/>
      <c r="AJ38" s="2451"/>
      <c r="AK38" s="2451"/>
    </row>
    <row r="39" spans="1:37" ht="15.75" customHeight="1">
      <c r="A39" s="2451"/>
      <c r="B39" s="2451"/>
      <c r="C39" s="2451"/>
      <c r="D39" s="2451"/>
      <c r="E39" s="2451"/>
      <c r="F39" s="2451"/>
      <c r="G39" s="2451"/>
      <c r="H39" s="2451"/>
      <c r="I39" s="2451"/>
      <c r="J39" s="2451"/>
      <c r="K39" s="2451"/>
      <c r="L39" s="2451"/>
      <c r="M39" s="2451"/>
      <c r="N39" s="2451"/>
      <c r="O39" s="2451"/>
      <c r="P39" s="2451"/>
      <c r="Q39" s="2451"/>
      <c r="R39" s="2451"/>
      <c r="S39" s="2451"/>
      <c r="T39" s="2451"/>
      <c r="U39" s="2451"/>
      <c r="V39" s="2451"/>
      <c r="W39" s="2451"/>
      <c r="X39" s="2451"/>
      <c r="Y39" s="2451"/>
      <c r="Z39" s="2451"/>
      <c r="AA39" s="2451"/>
      <c r="AB39" s="2451"/>
      <c r="AC39" s="2451"/>
      <c r="AD39" s="2451"/>
      <c r="AE39" s="2451"/>
      <c r="AF39" s="2451"/>
      <c r="AG39" s="2451"/>
      <c r="AH39" s="2451"/>
      <c r="AI39" s="2451"/>
      <c r="AJ39" s="2451"/>
      <c r="AK39" s="2451"/>
    </row>
    <row r="40" spans="1:37" ht="15.75" customHeight="1">
      <c r="A40" s="2451"/>
      <c r="B40" s="2451"/>
      <c r="C40" s="2451"/>
      <c r="D40" s="2451"/>
      <c r="E40" s="2451"/>
      <c r="F40" s="2451"/>
      <c r="G40" s="2451"/>
      <c r="H40" s="2451"/>
      <c r="I40" s="2451"/>
      <c r="J40" s="2451"/>
      <c r="K40" s="2451"/>
      <c r="L40" s="2451"/>
      <c r="M40" s="2451"/>
      <c r="N40" s="2451"/>
      <c r="O40" s="2451"/>
      <c r="P40" s="2451"/>
      <c r="Q40" s="2451"/>
      <c r="R40" s="2451"/>
      <c r="S40" s="2451"/>
      <c r="T40" s="2451"/>
      <c r="U40" s="2451"/>
      <c r="V40" s="2451"/>
      <c r="W40" s="2451"/>
      <c r="X40" s="2451"/>
      <c r="Y40" s="2451"/>
      <c r="Z40" s="2451"/>
      <c r="AA40" s="2451"/>
      <c r="AB40" s="2451"/>
      <c r="AC40" s="2451"/>
      <c r="AD40" s="2451"/>
      <c r="AE40" s="2451"/>
      <c r="AF40" s="2451"/>
      <c r="AG40" s="2451"/>
      <c r="AH40" s="2451"/>
      <c r="AI40" s="2451"/>
      <c r="AJ40" s="2451"/>
      <c r="AK40" s="2451"/>
    </row>
    <row r="41" spans="1:37" ht="15.75">
      <c r="A41" s="1064"/>
    </row>
    <row r="42" spans="1:37" ht="15.75">
      <c r="A42" s="1064"/>
    </row>
    <row r="43" spans="1:37" ht="15">
      <c r="T43" s="1076" t="s">
        <v>686</v>
      </c>
      <c r="AA43" s="832" t="s">
        <v>2204</v>
      </c>
    </row>
    <row r="44" spans="1:37">
      <c r="W44" s="840"/>
      <c r="X44" s="840"/>
      <c r="Y44" s="840"/>
      <c r="Z44" s="840"/>
      <c r="AA44" s="840"/>
      <c r="AB44" s="840"/>
      <c r="AC44" s="840"/>
      <c r="AD44" s="840"/>
      <c r="AE44" s="840"/>
      <c r="AF44" s="840"/>
    </row>
    <row r="45" spans="1:37">
      <c r="W45" s="840"/>
      <c r="X45" s="840"/>
      <c r="Y45" s="1077">
        <f>FirmaDirekor</f>
        <v>0</v>
      </c>
      <c r="Z45" s="1078"/>
      <c r="AA45" s="1078"/>
      <c r="AB45" s="1078"/>
      <c r="AC45" s="1078"/>
      <c r="AD45" s="1078"/>
      <c r="AE45" s="1078"/>
      <c r="AF45" s="1078"/>
      <c r="AG45" s="1078"/>
      <c r="AH45" s="1078"/>
    </row>
    <row r="46" spans="1:37">
      <c r="W46" s="840"/>
      <c r="X46" s="840"/>
      <c r="Y46" s="840"/>
      <c r="Z46" s="840"/>
      <c r="AA46" s="840"/>
      <c r="AB46" s="840"/>
      <c r="AC46" s="840"/>
      <c r="AD46" s="840"/>
      <c r="AE46" s="840"/>
      <c r="AF46" s="840"/>
      <c r="AG46" s="840"/>
      <c r="AH46" s="840"/>
    </row>
  </sheetData>
  <mergeCells count="7">
    <mergeCell ref="A27:AK27"/>
    <mergeCell ref="A29:AK32"/>
    <mergeCell ref="A38:AK40"/>
    <mergeCell ref="F14:AK15"/>
    <mergeCell ref="A18:AK22"/>
    <mergeCell ref="A25:AK25"/>
    <mergeCell ref="A26:AK26"/>
  </mergeCells>
  <phoneticPr fontId="6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1" enableFormatConditionsCalculation="0">
    <tabColor indexed="46"/>
  </sheetPr>
  <dimension ref="A1:G38"/>
  <sheetViews>
    <sheetView showGridLines="0" workbookViewId="0">
      <selection activeCell="B34" sqref="B34"/>
    </sheetView>
  </sheetViews>
  <sheetFormatPr defaultRowHeight="15" customHeight="1"/>
  <cols>
    <col min="1" max="1" width="9.140625" style="27"/>
    <col min="2" max="2" width="17.28515625" style="27" customWidth="1"/>
    <col min="3" max="4" width="9.140625" style="27"/>
    <col min="5" max="5" width="15.42578125" style="27" customWidth="1"/>
    <col min="6" max="6" width="10.42578125" style="27" customWidth="1"/>
    <col min="7" max="7" width="9.140625" style="27"/>
    <col min="8" max="8" width="8.42578125" style="27" customWidth="1"/>
    <col min="9" max="16384" width="9.140625" style="27"/>
  </cols>
  <sheetData>
    <row r="1" spans="1:2" s="17" customFormat="1" ht="15" customHeight="1">
      <c r="A1" s="1098">
        <f>FirmaNaziv</f>
        <v>0</v>
      </c>
    </row>
    <row r="2" spans="1:2" s="17" customFormat="1" ht="15" customHeight="1">
      <c r="A2" s="1098">
        <f>FirmaSjediste</f>
        <v>0</v>
      </c>
    </row>
    <row r="3" spans="1:2" s="17" customFormat="1" ht="15" customHeight="1">
      <c r="A3" s="17" t="s">
        <v>1048</v>
      </c>
      <c r="B3" s="507">
        <f>FirmaID</f>
        <v>0</v>
      </c>
    </row>
    <row r="5" spans="1:2" ht="15" customHeight="1">
      <c r="A5" s="27" t="s">
        <v>712</v>
      </c>
    </row>
    <row r="7" spans="1:2" s="17" customFormat="1" ht="15" customHeight="1">
      <c r="A7" s="17" t="s">
        <v>713</v>
      </c>
    </row>
    <row r="8" spans="1:2" s="17" customFormat="1" ht="15" customHeight="1">
      <c r="A8" s="17" t="s">
        <v>2389</v>
      </c>
    </row>
    <row r="9" spans="1:2" s="17" customFormat="1" ht="15" customHeight="1">
      <c r="A9" s="17" t="s">
        <v>714</v>
      </c>
    </row>
    <row r="10" spans="1:2" s="17" customFormat="1" ht="15" customHeight="1">
      <c r="A10" s="17" t="s">
        <v>715</v>
      </c>
    </row>
    <row r="12" spans="1:2" ht="15" customHeight="1">
      <c r="A12" s="17" t="s">
        <v>716</v>
      </c>
      <c r="B12" s="17" t="s">
        <v>717</v>
      </c>
    </row>
    <row r="13" spans="1:2" ht="15" customHeight="1">
      <c r="B13" s="17" t="str">
        <f>"po godišnjem obračunu za " &amp; ObracunGodina &amp; ". godinu."</f>
        <v>po godišnjem obračunu za 2011. godinu.</v>
      </c>
    </row>
    <row r="16" spans="1:2" ht="15" customHeight="1">
      <c r="B16" s="27" t="s">
        <v>248</v>
      </c>
    </row>
    <row r="17" spans="1:7" ht="15" customHeight="1">
      <c r="A17" s="27" t="s">
        <v>2036</v>
      </c>
    </row>
    <row r="19" spans="1:7" ht="19.5" customHeight="1">
      <c r="A19" s="1266" t="s">
        <v>1933</v>
      </c>
      <c r="B19" s="27" t="s">
        <v>249</v>
      </c>
      <c r="F19" s="27" t="s">
        <v>250</v>
      </c>
      <c r="G19" s="27" t="s">
        <v>673</v>
      </c>
    </row>
    <row r="20" spans="1:7" ht="19.5" customHeight="1">
      <c r="A20" s="1266" t="s">
        <v>1933</v>
      </c>
      <c r="B20" s="27" t="s">
        <v>251</v>
      </c>
      <c r="F20" s="27" t="s">
        <v>250</v>
      </c>
      <c r="G20" s="27" t="s">
        <v>673</v>
      </c>
    </row>
    <row r="21" spans="1:7" ht="19.5" customHeight="1">
      <c r="A21" s="1266" t="s">
        <v>1933</v>
      </c>
      <c r="B21" s="27" t="s">
        <v>252</v>
      </c>
      <c r="F21" s="27" t="s">
        <v>250</v>
      </c>
      <c r="G21" s="27" t="s">
        <v>673</v>
      </c>
    </row>
    <row r="22" spans="1:7" ht="19.5" customHeight="1">
      <c r="A22" s="1266" t="s">
        <v>1933</v>
      </c>
      <c r="B22" s="27" t="s">
        <v>1953</v>
      </c>
      <c r="F22" s="27" t="s">
        <v>250</v>
      </c>
      <c r="G22" s="27" t="s">
        <v>673</v>
      </c>
    </row>
    <row r="23" spans="1:7" ht="19.5" customHeight="1">
      <c r="A23" s="1266" t="s">
        <v>1933</v>
      </c>
      <c r="B23" s="27" t="s">
        <v>2305</v>
      </c>
      <c r="F23" s="27" t="s">
        <v>250</v>
      </c>
      <c r="G23" s="27" t="s">
        <v>673</v>
      </c>
    </row>
    <row r="24" spans="1:7" ht="19.5" customHeight="1">
      <c r="A24" s="1266" t="s">
        <v>1933</v>
      </c>
      <c r="B24" s="27" t="s">
        <v>2597</v>
      </c>
      <c r="F24" s="27" t="s">
        <v>250</v>
      </c>
      <c r="G24" s="27" t="s">
        <v>673</v>
      </c>
    </row>
    <row r="25" spans="1:7" ht="19.5" customHeight="1">
      <c r="A25" s="1266" t="s">
        <v>1933</v>
      </c>
      <c r="B25" s="27" t="s">
        <v>1620</v>
      </c>
      <c r="F25" s="27" t="s">
        <v>250</v>
      </c>
      <c r="G25" s="27" t="s">
        <v>673</v>
      </c>
    </row>
    <row r="26" spans="1:7" ht="19.5" customHeight="1">
      <c r="A26" s="1266" t="s">
        <v>1933</v>
      </c>
      <c r="B26" s="27" t="s">
        <v>1130</v>
      </c>
    </row>
    <row r="27" spans="1:7" ht="19.5" customHeight="1">
      <c r="A27" s="1266"/>
      <c r="B27" s="27" t="s">
        <v>2598</v>
      </c>
      <c r="F27" s="27" t="s">
        <v>250</v>
      </c>
      <c r="G27" s="27" t="s">
        <v>673</v>
      </c>
    </row>
    <row r="28" spans="1:7" ht="20.45" customHeight="1">
      <c r="A28" s="1266" t="s">
        <v>1933</v>
      </c>
      <c r="B28" s="27" t="s">
        <v>1805</v>
      </c>
      <c r="F28" s="27" t="s">
        <v>250</v>
      </c>
      <c r="G28" s="27" t="s">
        <v>673</v>
      </c>
    </row>
    <row r="29" spans="1:7" ht="19.5" customHeight="1">
      <c r="A29" s="1266" t="s">
        <v>1933</v>
      </c>
      <c r="B29" s="27" t="s">
        <v>1621</v>
      </c>
      <c r="F29" s="27" t="s">
        <v>250</v>
      </c>
      <c r="G29" s="27" t="s">
        <v>673</v>
      </c>
    </row>
    <row r="30" spans="1:7" ht="19.5" customHeight="1">
      <c r="A30" s="1266" t="s">
        <v>1933</v>
      </c>
      <c r="B30" s="27" t="str">
        <f>"Godišnji izvještaj o investicijama za " &amp; ObracunGodina &amp; ". godinu"</f>
        <v>Godišnji izvještaj o investicijama za 2011. godinu</v>
      </c>
      <c r="F30" s="27" t="s">
        <v>250</v>
      </c>
      <c r="G30" s="27" t="s">
        <v>673</v>
      </c>
    </row>
    <row r="31" spans="1:7" ht="19.5" customHeight="1">
      <c r="A31" s="1266" t="s">
        <v>1933</v>
      </c>
      <c r="B31" s="27" t="s">
        <v>1806</v>
      </c>
    </row>
    <row r="32" spans="1:7" ht="19.5" customHeight="1">
      <c r="A32" s="1266"/>
      <c r="B32" s="27" t="str">
        <f>"izvještaja za " &amp; ObracunGodina &amp; ". godinu……"</f>
        <v>izvještaja za 2011. godinu……</v>
      </c>
      <c r="F32" s="27" t="s">
        <v>250</v>
      </c>
      <c r="G32" s="27" t="s">
        <v>673</v>
      </c>
    </row>
    <row r="33" spans="1:7" ht="19.5" customHeight="1">
      <c r="A33" s="1266" t="s">
        <v>1933</v>
      </c>
      <c r="B33" s="27" t="s">
        <v>2947</v>
      </c>
      <c r="F33" s="27" t="s">
        <v>250</v>
      </c>
      <c r="G33" s="27" t="s">
        <v>673</v>
      </c>
    </row>
    <row r="34" spans="1:7" ht="19.5" customHeight="1"/>
    <row r="35" spans="1:7" ht="15" customHeight="1">
      <c r="B35" s="178" t="s">
        <v>1131</v>
      </c>
      <c r="F35" s="178" t="s">
        <v>1132</v>
      </c>
    </row>
    <row r="36" spans="1:7" ht="15" customHeight="1">
      <c r="B36" s="178" t="s">
        <v>1133</v>
      </c>
      <c r="F36" s="178" t="s">
        <v>845</v>
      </c>
    </row>
    <row r="37" spans="1:7" ht="15" customHeight="1">
      <c r="E37" s="2460">
        <f>FirmaDirekor</f>
        <v>0</v>
      </c>
      <c r="F37" s="2460"/>
      <c r="G37" s="2460"/>
    </row>
    <row r="38" spans="1:7" ht="15" customHeight="1">
      <c r="A38" s="179"/>
      <c r="B38" s="179"/>
      <c r="C38" s="179"/>
      <c r="E38" s="179"/>
      <c r="F38" s="179"/>
      <c r="G38" s="179"/>
    </row>
  </sheetData>
  <mergeCells count="1">
    <mergeCell ref="E37:G37"/>
  </mergeCells>
  <phoneticPr fontId="0" type="noConversion"/>
  <pageMargins left="0.55118110236220474" right="0.27559055118110237" top="0.59055118110236215" bottom="0.59055118110236215" header="0.3543307086614173" footer="0.27559055118110237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 enableFormatConditionsCalculation="0">
    <tabColor indexed="27"/>
  </sheetPr>
  <dimension ref="B1:AK104"/>
  <sheetViews>
    <sheetView showGridLines="0" workbookViewId="0"/>
  </sheetViews>
  <sheetFormatPr defaultColWidth="2.5703125" defaultRowHeight="16.5" customHeight="1"/>
  <cols>
    <col min="1" max="1" width="1.140625" style="328" customWidth="1"/>
    <col min="2" max="2" width="3.42578125" style="328" customWidth="1"/>
    <col min="3" max="36" width="2.5703125" style="328" customWidth="1"/>
    <col min="37" max="37" width="3" style="328" customWidth="1"/>
    <col min="38" max="38" width="1.140625" style="328" customWidth="1"/>
    <col min="39" max="16384" width="2.5703125" style="328"/>
  </cols>
  <sheetData>
    <row r="1" spans="2:37" ht="16.5" customHeight="1">
      <c r="B1" s="331" t="s">
        <v>1780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</row>
    <row r="2" spans="2:37" ht="16.5" customHeight="1">
      <c r="B2" s="331" t="s">
        <v>1363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</row>
    <row r="3" spans="2:37" ht="16.5" customHeight="1">
      <c r="B3" s="331" t="s">
        <v>1781</v>
      </c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AB3" s="337"/>
      <c r="AC3" s="338"/>
      <c r="AD3" s="338"/>
      <c r="AE3" s="338"/>
      <c r="AF3" s="338"/>
      <c r="AG3" s="338"/>
      <c r="AH3" s="338"/>
      <c r="AI3" s="682" t="s">
        <v>1784</v>
      </c>
      <c r="AJ3" s="339"/>
    </row>
    <row r="4" spans="2:37" ht="16.5" customHeight="1">
      <c r="B4" s="331" t="s">
        <v>1782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</row>
    <row r="5" spans="2:37" ht="16.5" customHeight="1">
      <c r="B5" s="1842">
        <f>FirmaSjediste</f>
        <v>0</v>
      </c>
      <c r="C5" s="1842"/>
      <c r="D5" s="1842"/>
      <c r="E5" s="1842"/>
      <c r="F5" s="1842"/>
      <c r="G5" s="1842"/>
      <c r="H5" s="1842"/>
      <c r="I5" s="1842"/>
      <c r="J5" s="1842"/>
      <c r="K5" s="1842"/>
      <c r="L5" s="1842"/>
      <c r="M5" s="1842"/>
      <c r="N5" s="1842"/>
      <c r="O5" s="1842"/>
    </row>
    <row r="6" spans="2:37" ht="16.5" customHeight="1">
      <c r="B6" s="328" t="s">
        <v>1783</v>
      </c>
    </row>
    <row r="8" spans="2:37" s="331" customFormat="1" ht="16.5" customHeight="1">
      <c r="B8" s="2485" t="s">
        <v>1785</v>
      </c>
      <c r="C8" s="2485"/>
      <c r="D8" s="2485"/>
      <c r="E8" s="2485"/>
      <c r="F8" s="2485"/>
      <c r="G8" s="2485"/>
      <c r="H8" s="2485"/>
      <c r="I8" s="2485"/>
      <c r="J8" s="2485"/>
      <c r="K8" s="2485"/>
      <c r="L8" s="2485"/>
      <c r="M8" s="2485"/>
      <c r="N8" s="2485"/>
      <c r="O8" s="2485"/>
      <c r="P8" s="2485"/>
      <c r="Q8" s="2485"/>
      <c r="R8" s="2485"/>
      <c r="S8" s="2485"/>
      <c r="T8" s="2485"/>
      <c r="U8" s="2485"/>
      <c r="V8" s="2485"/>
      <c r="W8" s="2485"/>
      <c r="X8" s="2485"/>
      <c r="Y8" s="2485"/>
      <c r="Z8" s="2485"/>
      <c r="AA8" s="2485"/>
      <c r="AB8" s="2485"/>
      <c r="AC8" s="2485"/>
      <c r="AD8" s="2485"/>
      <c r="AE8" s="2485"/>
      <c r="AF8" s="2485"/>
      <c r="AG8" s="2485"/>
      <c r="AH8" s="2485"/>
      <c r="AI8" s="2485"/>
      <c r="AJ8" s="2485"/>
      <c r="AK8" s="2485"/>
    </row>
    <row r="9" spans="2:37" s="331" customFormat="1" ht="16.5" customHeight="1">
      <c r="B9" s="2485" t="s">
        <v>1786</v>
      </c>
      <c r="C9" s="2485"/>
      <c r="D9" s="2485"/>
      <c r="E9" s="2485"/>
      <c r="F9" s="2485"/>
      <c r="G9" s="2485"/>
      <c r="H9" s="2485"/>
      <c r="I9" s="2485"/>
      <c r="J9" s="2485"/>
      <c r="K9" s="2485"/>
      <c r="L9" s="2485"/>
      <c r="M9" s="2485"/>
      <c r="N9" s="2485"/>
      <c r="O9" s="2485"/>
      <c r="P9" s="2485"/>
      <c r="Q9" s="2485"/>
      <c r="R9" s="2485"/>
      <c r="S9" s="2485"/>
      <c r="T9" s="2485"/>
      <c r="U9" s="2485"/>
      <c r="V9" s="2485"/>
      <c r="W9" s="2485"/>
      <c r="X9" s="2485"/>
      <c r="Y9" s="2485"/>
      <c r="Z9" s="2485"/>
      <c r="AA9" s="2485"/>
      <c r="AB9" s="2485"/>
      <c r="AC9" s="2485"/>
      <c r="AD9" s="2485"/>
      <c r="AE9" s="2485"/>
      <c r="AF9" s="2485"/>
      <c r="AG9" s="2485"/>
      <c r="AH9" s="2485"/>
      <c r="AI9" s="2485"/>
      <c r="AJ9" s="2485"/>
      <c r="AK9" s="2485"/>
    </row>
    <row r="10" spans="2:37" s="331" customFormat="1" ht="16.5" customHeight="1"/>
    <row r="11" spans="2:37" s="331" customFormat="1" ht="16.5" customHeight="1">
      <c r="B11" s="2485" t="s">
        <v>1787</v>
      </c>
      <c r="C11" s="2485"/>
      <c r="D11" s="2485"/>
      <c r="E11" s="2485"/>
      <c r="F11" s="2485"/>
      <c r="G11" s="2485"/>
      <c r="H11" s="2485"/>
      <c r="I11" s="2485"/>
      <c r="J11" s="2485"/>
      <c r="K11" s="2485"/>
      <c r="L11" s="2485"/>
      <c r="M11" s="2485"/>
      <c r="N11" s="2485"/>
      <c r="O11" s="2485"/>
      <c r="P11" s="2485"/>
      <c r="Q11" s="2485"/>
      <c r="R11" s="2485"/>
      <c r="S11" s="2485"/>
      <c r="T11" s="2485"/>
      <c r="U11" s="2485"/>
      <c r="V11" s="2485"/>
      <c r="W11" s="2485"/>
      <c r="X11" s="2485"/>
      <c r="Y11" s="2485"/>
      <c r="Z11" s="2485"/>
      <c r="AA11" s="2485"/>
      <c r="AB11" s="2485"/>
      <c r="AC11" s="2485"/>
      <c r="AD11" s="2485"/>
      <c r="AE11" s="2485"/>
      <c r="AF11" s="2485"/>
      <c r="AG11" s="2485"/>
      <c r="AH11" s="2485"/>
      <c r="AI11" s="2485"/>
      <c r="AJ11" s="2485"/>
      <c r="AK11" s="2485"/>
    </row>
    <row r="12" spans="2:37" s="331" customFormat="1" ht="16.5" customHeight="1">
      <c r="B12" s="2485" t="s">
        <v>1788</v>
      </c>
      <c r="C12" s="2485"/>
      <c r="D12" s="2485"/>
      <c r="E12" s="2485"/>
      <c r="F12" s="2485"/>
      <c r="G12" s="2485"/>
      <c r="H12" s="2485"/>
      <c r="I12" s="2485"/>
      <c r="J12" s="2485"/>
      <c r="K12" s="2485"/>
      <c r="L12" s="2485"/>
      <c r="M12" s="2485"/>
      <c r="N12" s="2485"/>
      <c r="O12" s="2485"/>
      <c r="P12" s="2485"/>
      <c r="Q12" s="2485"/>
      <c r="R12" s="2485"/>
      <c r="S12" s="2485"/>
      <c r="T12" s="2485"/>
      <c r="U12" s="2485"/>
      <c r="V12" s="2485"/>
      <c r="W12" s="2485"/>
      <c r="X12" s="2485"/>
      <c r="Y12" s="2485"/>
      <c r="Z12" s="2485"/>
      <c r="AA12" s="2485"/>
      <c r="AB12" s="2485"/>
      <c r="AC12" s="2485"/>
      <c r="AD12" s="2485"/>
      <c r="AE12" s="2485"/>
      <c r="AF12" s="2485"/>
      <c r="AG12" s="2485"/>
      <c r="AH12" s="2485"/>
      <c r="AI12" s="2485"/>
      <c r="AJ12" s="2485"/>
      <c r="AK12" s="2485"/>
    </row>
    <row r="14" spans="2:37" ht="16.5" customHeight="1">
      <c r="S14" s="349" t="s">
        <v>1789</v>
      </c>
    </row>
    <row r="15" spans="2:37" ht="7.5" customHeight="1"/>
    <row r="16" spans="2:37" ht="16.5" customHeight="1">
      <c r="J16" s="332" t="s">
        <v>1791</v>
      </c>
      <c r="L16" s="775"/>
      <c r="M16" s="775"/>
      <c r="N16" s="775"/>
      <c r="O16" s="775"/>
      <c r="P16" s="775"/>
      <c r="Q16" s="775"/>
      <c r="R16" s="775"/>
      <c r="S16" s="775"/>
      <c r="U16" s="328" t="s">
        <v>1790</v>
      </c>
      <c r="X16" s="775"/>
      <c r="Y16" s="775"/>
      <c r="Z16" s="775"/>
      <c r="AA16" s="775"/>
      <c r="AB16" s="775"/>
      <c r="AC16" s="775"/>
      <c r="AD16" s="775"/>
      <c r="AE16" s="775"/>
    </row>
    <row r="17" spans="2:37" ht="10.5" customHeight="1" thickBot="1"/>
    <row r="18" spans="2:37" s="331" customFormat="1" ht="16.5" customHeight="1">
      <c r="B18" s="708" t="s">
        <v>1792</v>
      </c>
      <c r="C18" s="709" t="s">
        <v>2539</v>
      </c>
      <c r="D18" s="709"/>
      <c r="E18" s="709"/>
      <c r="F18" s="709"/>
      <c r="G18" s="709"/>
      <c r="H18" s="709"/>
      <c r="I18" s="709"/>
      <c r="J18" s="709"/>
      <c r="K18" s="709"/>
      <c r="L18" s="709"/>
      <c r="M18" s="709"/>
      <c r="N18" s="709"/>
      <c r="O18" s="709"/>
      <c r="P18" s="709"/>
      <c r="Q18" s="709"/>
      <c r="R18" s="709"/>
      <c r="S18" s="709"/>
      <c r="T18" s="709"/>
      <c r="U18" s="709"/>
      <c r="V18" s="709"/>
      <c r="W18" s="709"/>
      <c r="X18" s="709"/>
      <c r="Y18" s="709"/>
      <c r="Z18" s="709"/>
      <c r="AA18" s="709"/>
      <c r="AB18" s="709"/>
      <c r="AC18" s="709"/>
      <c r="AD18" s="709"/>
      <c r="AE18" s="709"/>
      <c r="AF18" s="709"/>
      <c r="AG18" s="709"/>
      <c r="AH18" s="709"/>
      <c r="AI18" s="709"/>
      <c r="AJ18" s="709"/>
      <c r="AK18" s="710"/>
    </row>
    <row r="19" spans="2:37" ht="22.5" customHeight="1">
      <c r="B19" s="697" t="s">
        <v>673</v>
      </c>
      <c r="C19" s="338" t="s">
        <v>2540</v>
      </c>
      <c r="D19" s="338"/>
      <c r="E19" s="338"/>
      <c r="F19" s="338"/>
      <c r="G19" s="338"/>
      <c r="H19" s="338"/>
      <c r="I19" s="338"/>
      <c r="J19" s="338"/>
      <c r="K19" s="338"/>
      <c r="L19" s="338"/>
      <c r="M19" s="2464">
        <f>FirmaNaziv</f>
        <v>0</v>
      </c>
      <c r="N19" s="2464"/>
      <c r="O19" s="2464"/>
      <c r="P19" s="2464"/>
      <c r="Q19" s="2464"/>
      <c r="R19" s="2464"/>
      <c r="S19" s="2464"/>
      <c r="T19" s="2464"/>
      <c r="U19" s="2464"/>
      <c r="V19" s="2464"/>
      <c r="W19" s="2464"/>
      <c r="X19" s="2464"/>
      <c r="Y19" s="2464"/>
      <c r="Z19" s="2464"/>
      <c r="AA19" s="2464"/>
      <c r="AB19" s="2464"/>
      <c r="AC19" s="2464"/>
      <c r="AD19" s="2464"/>
      <c r="AE19" s="2464"/>
      <c r="AF19" s="2464"/>
      <c r="AG19" s="2464"/>
      <c r="AH19" s="2464"/>
      <c r="AI19" s="2464"/>
      <c r="AJ19" s="2464"/>
      <c r="AK19" s="2465"/>
    </row>
    <row r="20" spans="2:37" ht="4.5" customHeight="1">
      <c r="B20" s="699"/>
      <c r="C20" s="688"/>
      <c r="D20" s="688"/>
      <c r="E20" s="688"/>
      <c r="F20" s="688"/>
      <c r="G20" s="688"/>
      <c r="H20" s="688"/>
      <c r="I20" s="688"/>
      <c r="J20" s="688"/>
      <c r="K20" s="688"/>
      <c r="L20" s="688"/>
      <c r="M20" s="688"/>
      <c r="N20" s="688"/>
      <c r="O20" s="688"/>
      <c r="P20" s="688"/>
      <c r="Q20" s="688"/>
      <c r="R20" s="688"/>
      <c r="S20" s="688"/>
      <c r="T20" s="688"/>
      <c r="U20" s="688"/>
      <c r="V20" s="688"/>
      <c r="W20" s="688"/>
      <c r="X20" s="688"/>
      <c r="Y20" s="688"/>
      <c r="Z20" s="688"/>
      <c r="AA20" s="688"/>
      <c r="AB20" s="688"/>
      <c r="AC20" s="688"/>
      <c r="AD20" s="688"/>
      <c r="AE20" s="688"/>
      <c r="AF20" s="688"/>
      <c r="AG20" s="688"/>
      <c r="AH20" s="688"/>
      <c r="AI20" s="688"/>
      <c r="AJ20" s="688"/>
      <c r="AK20" s="700"/>
    </row>
    <row r="21" spans="2:37" ht="23.25" customHeight="1">
      <c r="B21" s="701" t="s">
        <v>674</v>
      </c>
      <c r="C21" s="685" t="s">
        <v>2541</v>
      </c>
      <c r="D21" s="685"/>
      <c r="E21" s="685"/>
      <c r="F21" s="685"/>
      <c r="G21" s="685"/>
      <c r="H21" s="685"/>
      <c r="I21" s="685"/>
      <c r="J21" s="685"/>
      <c r="K21" s="684" t="str">
        <f>MID(FirmaID,1,1)</f>
        <v/>
      </c>
      <c r="L21" s="684" t="str">
        <f>MID(FirmaID,2,1)</f>
        <v/>
      </c>
      <c r="M21" s="684" t="str">
        <f>MID(FirmaID,3,1)</f>
        <v/>
      </c>
      <c r="N21" s="684" t="str">
        <f>MID(FirmaID,4,1)</f>
        <v/>
      </c>
      <c r="O21" s="684" t="str">
        <f>MID(FirmaID,5,1)</f>
        <v/>
      </c>
      <c r="P21" s="684" t="str">
        <f>MID(FirmaID,6,1)</f>
        <v/>
      </c>
      <c r="Q21" s="684" t="str">
        <f>MID(FirmaID,7,1)</f>
        <v/>
      </c>
      <c r="R21" s="684" t="str">
        <f>MID(FirmaID,8,1)</f>
        <v/>
      </c>
      <c r="S21" s="684" t="str">
        <f>MID(FirmaID,9,1)</f>
        <v/>
      </c>
      <c r="T21" s="684" t="str">
        <f>MID(FirmaID,10,1)</f>
        <v/>
      </c>
      <c r="U21" s="684" t="str">
        <f>MID(FirmaID,11,1)</f>
        <v/>
      </c>
      <c r="V21" s="684" t="str">
        <f>MID(FirmaID,12,1)</f>
        <v/>
      </c>
      <c r="W21" s="684" t="str">
        <f>MID(FirmaID,13,1)</f>
        <v/>
      </c>
      <c r="X21" s="685"/>
      <c r="Y21" s="685"/>
      <c r="Z21" s="685"/>
      <c r="AA21" s="685"/>
      <c r="AB21" s="685"/>
      <c r="AC21" s="685"/>
      <c r="AD21" s="685"/>
      <c r="AE21" s="685"/>
      <c r="AF21" s="685"/>
      <c r="AG21" s="685"/>
      <c r="AH21" s="685"/>
      <c r="AI21" s="685"/>
      <c r="AJ21" s="685"/>
      <c r="AK21" s="702"/>
    </row>
    <row r="22" spans="2:37" ht="4.5" customHeight="1">
      <c r="B22" s="703"/>
      <c r="C22" s="686"/>
      <c r="D22" s="686"/>
      <c r="E22" s="686"/>
      <c r="F22" s="686"/>
      <c r="G22" s="686"/>
      <c r="H22" s="686"/>
      <c r="I22" s="686"/>
      <c r="J22" s="686"/>
      <c r="K22" s="597"/>
      <c r="L22" s="597"/>
      <c r="M22" s="597"/>
      <c r="N22" s="597"/>
      <c r="O22" s="597"/>
      <c r="P22" s="597"/>
      <c r="Q22" s="597"/>
      <c r="R22" s="597"/>
      <c r="S22" s="597"/>
      <c r="T22" s="597"/>
      <c r="U22" s="597"/>
      <c r="V22" s="597"/>
      <c r="W22" s="597"/>
      <c r="X22" s="686"/>
      <c r="Y22" s="686"/>
      <c r="Z22" s="686"/>
      <c r="AA22" s="686"/>
      <c r="AB22" s="686"/>
      <c r="AC22" s="686"/>
      <c r="AD22" s="686"/>
      <c r="AE22" s="686"/>
      <c r="AF22" s="686"/>
      <c r="AG22" s="686"/>
      <c r="AH22" s="686"/>
      <c r="AI22" s="686"/>
      <c r="AJ22" s="686"/>
      <c r="AK22" s="704"/>
    </row>
    <row r="23" spans="2:37" ht="20.25" customHeight="1">
      <c r="B23" s="697" t="s">
        <v>675</v>
      </c>
      <c r="C23" s="338" t="s">
        <v>384</v>
      </c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2461" t="str">
        <f>FirmaDjeSifra &amp; " " &amp; FirmaDjeNaziv</f>
        <v xml:space="preserve"> </v>
      </c>
      <c r="Y23" s="2461"/>
      <c r="Z23" s="2461"/>
      <c r="AA23" s="2461"/>
      <c r="AB23" s="2461"/>
      <c r="AC23" s="2461"/>
      <c r="AD23" s="2461"/>
      <c r="AE23" s="2461"/>
      <c r="AF23" s="2461"/>
      <c r="AG23" s="2461"/>
      <c r="AH23" s="2461"/>
      <c r="AI23" s="2461"/>
      <c r="AJ23" s="2461"/>
      <c r="AK23" s="2462"/>
    </row>
    <row r="24" spans="2:37" ht="16.5" customHeight="1">
      <c r="B24" s="699" t="s">
        <v>676</v>
      </c>
      <c r="C24" s="688" t="s">
        <v>385</v>
      </c>
      <c r="D24" s="688"/>
      <c r="E24" s="688"/>
      <c r="F24" s="688"/>
      <c r="G24" s="688"/>
      <c r="H24" s="688"/>
      <c r="I24" s="688"/>
      <c r="J24" s="688"/>
      <c r="K24" s="688"/>
      <c r="L24" s="688"/>
      <c r="M24" s="688"/>
      <c r="N24" s="688"/>
      <c r="O24" s="688"/>
      <c r="P24" s="688"/>
      <c r="Q24" s="688"/>
      <c r="R24" s="688"/>
      <c r="S24" s="688"/>
      <c r="T24" s="688"/>
      <c r="U24" s="688"/>
      <c r="V24" s="688"/>
      <c r="W24" s="2464">
        <f>FirmaAdresa</f>
        <v>0</v>
      </c>
      <c r="X24" s="2464"/>
      <c r="Y24" s="2464"/>
      <c r="Z24" s="2464"/>
      <c r="AA24" s="2464"/>
      <c r="AB24" s="2464"/>
      <c r="AC24" s="2464"/>
      <c r="AD24" s="2464"/>
      <c r="AE24" s="2464"/>
      <c r="AF24" s="2464"/>
      <c r="AG24" s="2464"/>
      <c r="AH24" s="2464"/>
      <c r="AI24" s="2464"/>
      <c r="AJ24" s="2464"/>
      <c r="AK24" s="2465"/>
    </row>
    <row r="25" spans="2:37" ht="16.5" customHeight="1">
      <c r="B25" s="701"/>
      <c r="C25" s="685" t="s">
        <v>386</v>
      </c>
      <c r="D25" s="685"/>
      <c r="E25" s="685"/>
      <c r="F25" s="685"/>
      <c r="G25" s="685"/>
      <c r="H25" s="1843">
        <f>FirmaSjediste</f>
        <v>0</v>
      </c>
      <c r="I25" s="1843"/>
      <c r="J25" s="1843"/>
      <c r="K25" s="1843"/>
      <c r="L25" s="1843"/>
      <c r="M25" s="1843"/>
      <c r="N25" s="1843"/>
      <c r="O25" s="1843"/>
      <c r="P25" s="1843"/>
      <c r="Q25" s="1843"/>
      <c r="R25" s="1843"/>
      <c r="S25" s="1843"/>
      <c r="T25" s="685"/>
      <c r="U25" s="685" t="s">
        <v>387</v>
      </c>
      <c r="V25" s="685"/>
      <c r="W25" s="685"/>
      <c r="X25" s="685"/>
      <c r="Y25" s="685"/>
      <c r="Z25" s="1708" t="s">
        <v>709</v>
      </c>
      <c r="AA25" s="1708"/>
      <c r="AB25" s="1708"/>
      <c r="AC25" s="1708"/>
      <c r="AD25" s="1708"/>
      <c r="AE25" s="1708"/>
      <c r="AF25" s="1708"/>
      <c r="AG25" s="1708"/>
      <c r="AH25" s="1708"/>
      <c r="AI25" s="1708"/>
      <c r="AJ25" s="1708"/>
      <c r="AK25" s="2463"/>
    </row>
    <row r="26" spans="2:37" ht="8.25" customHeight="1" thickBot="1">
      <c r="B26" s="705"/>
      <c r="C26" s="706"/>
      <c r="D26" s="706"/>
      <c r="E26" s="706"/>
      <c r="F26" s="706"/>
      <c r="G26" s="706"/>
      <c r="H26" s="706"/>
      <c r="I26" s="706"/>
      <c r="J26" s="706"/>
      <c r="K26" s="706"/>
      <c r="L26" s="706"/>
      <c r="M26" s="706"/>
      <c r="N26" s="706"/>
      <c r="O26" s="706"/>
      <c r="P26" s="706"/>
      <c r="Q26" s="706"/>
      <c r="R26" s="706"/>
      <c r="S26" s="706"/>
      <c r="T26" s="706"/>
      <c r="U26" s="706"/>
      <c r="V26" s="706"/>
      <c r="W26" s="706"/>
      <c r="X26" s="706"/>
      <c r="Y26" s="706"/>
      <c r="Z26" s="706"/>
      <c r="AA26" s="706"/>
      <c r="AB26" s="706"/>
      <c r="AC26" s="706"/>
      <c r="AD26" s="706"/>
      <c r="AE26" s="706"/>
      <c r="AF26" s="706"/>
      <c r="AG26" s="706"/>
      <c r="AH26" s="706"/>
      <c r="AI26" s="706"/>
      <c r="AJ26" s="706"/>
      <c r="AK26" s="707"/>
    </row>
    <row r="27" spans="2:37" ht="8.25" customHeight="1" thickBot="1"/>
    <row r="28" spans="2:37" ht="16.5" customHeight="1">
      <c r="B28" s="694" t="s">
        <v>1556</v>
      </c>
      <c r="C28" s="695" t="s">
        <v>1622</v>
      </c>
      <c r="D28" s="695"/>
      <c r="E28" s="695"/>
      <c r="F28" s="695"/>
      <c r="G28" s="695"/>
      <c r="H28" s="695"/>
      <c r="I28" s="695"/>
      <c r="J28" s="695"/>
      <c r="K28" s="695"/>
      <c r="L28" s="695"/>
      <c r="M28" s="695"/>
      <c r="N28" s="695"/>
      <c r="O28" s="695"/>
      <c r="P28" s="695"/>
      <c r="Q28" s="695"/>
      <c r="R28" s="695"/>
      <c r="S28" s="695"/>
      <c r="T28" s="695"/>
      <c r="U28" s="695"/>
      <c r="V28" s="695"/>
      <c r="W28" s="695"/>
      <c r="X28" s="695"/>
      <c r="Y28" s="695"/>
      <c r="Z28" s="695"/>
      <c r="AA28" s="695"/>
      <c r="AB28" s="695"/>
      <c r="AC28" s="695"/>
      <c r="AD28" s="695"/>
      <c r="AE28" s="695"/>
      <c r="AF28" s="695"/>
      <c r="AG28" s="695"/>
      <c r="AH28" s="695"/>
      <c r="AI28" s="695"/>
      <c r="AJ28" s="695"/>
      <c r="AK28" s="696"/>
    </row>
    <row r="29" spans="2:37" ht="22.5" customHeight="1">
      <c r="B29" s="697" t="s">
        <v>673</v>
      </c>
      <c r="C29" s="338" t="s">
        <v>2540</v>
      </c>
      <c r="D29" s="338"/>
      <c r="E29" s="338"/>
      <c r="F29" s="338"/>
      <c r="G29" s="338"/>
      <c r="H29" s="338"/>
      <c r="I29" s="338"/>
      <c r="J29" s="338"/>
      <c r="K29" s="338"/>
      <c r="L29" s="338"/>
      <c r="M29" s="2461"/>
      <c r="N29" s="2461"/>
      <c r="O29" s="2461"/>
      <c r="P29" s="2461"/>
      <c r="Q29" s="2461"/>
      <c r="R29" s="2461"/>
      <c r="S29" s="2461"/>
      <c r="T29" s="2461"/>
      <c r="U29" s="2461"/>
      <c r="V29" s="2461"/>
      <c r="W29" s="2461"/>
      <c r="X29" s="2461"/>
      <c r="Y29" s="2461"/>
      <c r="Z29" s="2461"/>
      <c r="AA29" s="2461"/>
      <c r="AB29" s="2461"/>
      <c r="AC29" s="2461"/>
      <c r="AD29" s="2461"/>
      <c r="AE29" s="2461"/>
      <c r="AF29" s="2461"/>
      <c r="AG29" s="2461"/>
      <c r="AH29" s="2461"/>
      <c r="AI29" s="2461"/>
      <c r="AJ29" s="2461"/>
      <c r="AK29" s="2462"/>
    </row>
    <row r="30" spans="2:37" ht="4.5" customHeight="1">
      <c r="B30" s="699"/>
      <c r="C30" s="688"/>
      <c r="D30" s="688"/>
      <c r="E30" s="688"/>
      <c r="F30" s="688"/>
      <c r="G30" s="688"/>
      <c r="H30" s="688"/>
      <c r="I30" s="688"/>
      <c r="J30" s="688"/>
      <c r="K30" s="688"/>
      <c r="L30" s="688"/>
      <c r="M30" s="688"/>
      <c r="N30" s="688"/>
      <c r="O30" s="688"/>
      <c r="P30" s="688"/>
      <c r="Q30" s="688"/>
      <c r="R30" s="688"/>
      <c r="S30" s="688"/>
      <c r="T30" s="688"/>
      <c r="U30" s="688"/>
      <c r="V30" s="688"/>
      <c r="W30" s="688"/>
      <c r="X30" s="688"/>
      <c r="Y30" s="688"/>
      <c r="Z30" s="688"/>
      <c r="AA30" s="688"/>
      <c r="AB30" s="688"/>
      <c r="AC30" s="688"/>
      <c r="AD30" s="688"/>
      <c r="AE30" s="688"/>
      <c r="AF30" s="688"/>
      <c r="AG30" s="688"/>
      <c r="AH30" s="688"/>
      <c r="AI30" s="688"/>
      <c r="AJ30" s="688"/>
      <c r="AK30" s="700"/>
    </row>
    <row r="31" spans="2:37" ht="23.25" customHeight="1">
      <c r="B31" s="701" t="s">
        <v>674</v>
      </c>
      <c r="C31" s="685" t="s">
        <v>2541</v>
      </c>
      <c r="D31" s="685"/>
      <c r="E31" s="685"/>
      <c r="F31" s="685"/>
      <c r="G31" s="685"/>
      <c r="H31" s="685"/>
      <c r="I31" s="685"/>
      <c r="J31" s="685"/>
      <c r="K31" s="684"/>
      <c r="L31" s="684"/>
      <c r="M31" s="684"/>
      <c r="N31" s="684"/>
      <c r="O31" s="684"/>
      <c r="P31" s="684"/>
      <c r="Q31" s="684"/>
      <c r="R31" s="684"/>
      <c r="S31" s="684"/>
      <c r="T31" s="684"/>
      <c r="U31" s="684"/>
      <c r="V31" s="684"/>
      <c r="W31" s="684"/>
      <c r="X31" s="685"/>
      <c r="Y31" s="685"/>
      <c r="Z31" s="685"/>
      <c r="AA31" s="685"/>
      <c r="AB31" s="685"/>
      <c r="AC31" s="685"/>
      <c r="AD31" s="685"/>
      <c r="AE31" s="685"/>
      <c r="AF31" s="685"/>
      <c r="AG31" s="685"/>
      <c r="AH31" s="685"/>
      <c r="AI31" s="685"/>
      <c r="AJ31" s="685"/>
      <c r="AK31" s="702"/>
    </row>
    <row r="32" spans="2:37" ht="4.5" customHeight="1">
      <c r="B32" s="703"/>
      <c r="C32" s="686"/>
      <c r="D32" s="686"/>
      <c r="E32" s="686"/>
      <c r="F32" s="686"/>
      <c r="G32" s="686"/>
      <c r="H32" s="686"/>
      <c r="I32" s="686"/>
      <c r="J32" s="686"/>
      <c r="K32" s="597"/>
      <c r="L32" s="597"/>
      <c r="M32" s="597"/>
      <c r="N32" s="597"/>
      <c r="O32" s="597"/>
      <c r="P32" s="597"/>
      <c r="Q32" s="597"/>
      <c r="R32" s="597"/>
      <c r="S32" s="597"/>
      <c r="T32" s="597"/>
      <c r="U32" s="597"/>
      <c r="V32" s="597"/>
      <c r="W32" s="597"/>
      <c r="X32" s="686"/>
      <c r="Y32" s="686"/>
      <c r="Z32" s="686"/>
      <c r="AA32" s="686"/>
      <c r="AB32" s="686"/>
      <c r="AC32" s="686"/>
      <c r="AD32" s="686"/>
      <c r="AE32" s="686"/>
      <c r="AF32" s="686"/>
      <c r="AG32" s="686"/>
      <c r="AH32" s="686"/>
      <c r="AI32" s="686"/>
      <c r="AJ32" s="686"/>
      <c r="AK32" s="704"/>
    </row>
    <row r="33" spans="2:37" ht="16.5" customHeight="1">
      <c r="B33" s="699" t="s">
        <v>675</v>
      </c>
      <c r="C33" s="688" t="s">
        <v>385</v>
      </c>
      <c r="D33" s="688"/>
      <c r="E33" s="688"/>
      <c r="F33" s="688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8"/>
      <c r="V33" s="688"/>
      <c r="W33" s="2461"/>
      <c r="X33" s="2461"/>
      <c r="Y33" s="2461"/>
      <c r="Z33" s="2461"/>
      <c r="AA33" s="2461"/>
      <c r="AB33" s="2461"/>
      <c r="AC33" s="2461"/>
      <c r="AD33" s="2461"/>
      <c r="AE33" s="2461"/>
      <c r="AF33" s="2461"/>
      <c r="AG33" s="2461"/>
      <c r="AH33" s="2461"/>
      <c r="AI33" s="2461"/>
      <c r="AJ33" s="2461"/>
      <c r="AK33" s="2462"/>
    </row>
    <row r="34" spans="2:37" ht="16.5" customHeight="1">
      <c r="B34" s="701"/>
      <c r="C34" s="685" t="s">
        <v>386</v>
      </c>
      <c r="D34" s="685"/>
      <c r="E34" s="685"/>
      <c r="F34" s="685"/>
      <c r="G34" s="685"/>
      <c r="H34" s="1708"/>
      <c r="I34" s="1708"/>
      <c r="J34" s="1708"/>
      <c r="K34" s="1708"/>
      <c r="L34" s="1708"/>
      <c r="M34" s="1708"/>
      <c r="N34" s="1708"/>
      <c r="O34" s="1708"/>
      <c r="P34" s="1708"/>
      <c r="Q34" s="1708"/>
      <c r="R34" s="1708"/>
      <c r="S34" s="1708"/>
      <c r="T34" s="685"/>
      <c r="U34" s="685" t="s">
        <v>387</v>
      </c>
      <c r="V34" s="685"/>
      <c r="W34" s="685"/>
      <c r="X34" s="685"/>
      <c r="Y34" s="685"/>
      <c r="Z34" s="1708"/>
      <c r="AA34" s="1708"/>
      <c r="AB34" s="1708"/>
      <c r="AC34" s="1708"/>
      <c r="AD34" s="1708"/>
      <c r="AE34" s="1708"/>
      <c r="AF34" s="1708"/>
      <c r="AG34" s="1708"/>
      <c r="AH34" s="1708"/>
      <c r="AI34" s="1708"/>
      <c r="AJ34" s="1708"/>
      <c r="AK34" s="2463"/>
    </row>
    <row r="35" spans="2:37" ht="7.5" customHeight="1" thickBot="1">
      <c r="B35" s="705"/>
      <c r="C35" s="706"/>
      <c r="D35" s="706"/>
      <c r="E35" s="706"/>
      <c r="F35" s="706"/>
      <c r="G35" s="706"/>
      <c r="H35" s="706"/>
      <c r="I35" s="706"/>
      <c r="J35" s="706"/>
      <c r="K35" s="706"/>
      <c r="L35" s="706"/>
      <c r="M35" s="706"/>
      <c r="N35" s="706"/>
      <c r="O35" s="706"/>
      <c r="P35" s="706"/>
      <c r="Q35" s="706"/>
      <c r="R35" s="706"/>
      <c r="S35" s="706"/>
      <c r="T35" s="706"/>
      <c r="U35" s="706"/>
      <c r="V35" s="706"/>
      <c r="W35" s="706"/>
      <c r="X35" s="706"/>
      <c r="Y35" s="706"/>
      <c r="Z35" s="706"/>
      <c r="AA35" s="706"/>
      <c r="AB35" s="706"/>
      <c r="AC35" s="706"/>
      <c r="AD35" s="706"/>
      <c r="AE35" s="706"/>
      <c r="AF35" s="706"/>
      <c r="AG35" s="706"/>
      <c r="AH35" s="706"/>
      <c r="AI35" s="706"/>
      <c r="AJ35" s="706"/>
      <c r="AK35" s="707"/>
    </row>
    <row r="36" spans="2:37" ht="7.5" customHeight="1" thickBot="1"/>
    <row r="37" spans="2:37" s="331" customFormat="1" ht="16.5" customHeight="1">
      <c r="B37" s="717" t="s">
        <v>1190</v>
      </c>
      <c r="C37" s="718" t="s">
        <v>1623</v>
      </c>
      <c r="D37" s="719"/>
      <c r="E37" s="719"/>
      <c r="F37" s="719"/>
      <c r="G37" s="719"/>
      <c r="H37" s="719"/>
      <c r="I37" s="719"/>
      <c r="J37" s="719"/>
      <c r="K37" s="719"/>
      <c r="L37" s="719"/>
      <c r="M37" s="719"/>
      <c r="N37" s="719"/>
      <c r="O37" s="719"/>
      <c r="P37" s="719"/>
      <c r="Q37" s="719"/>
      <c r="R37" s="719"/>
      <c r="S37" s="719"/>
      <c r="T37" s="719"/>
      <c r="U37" s="719"/>
      <c r="V37" s="719"/>
      <c r="W37" s="719"/>
      <c r="X37" s="719"/>
      <c r="Y37" s="719"/>
      <c r="Z37" s="719"/>
      <c r="AA37" s="719"/>
      <c r="AB37" s="719"/>
      <c r="AC37" s="719"/>
      <c r="AD37" s="719"/>
      <c r="AE37" s="719"/>
      <c r="AF37" s="719"/>
      <c r="AG37" s="719"/>
      <c r="AH37" s="719"/>
      <c r="AI37" s="719"/>
      <c r="AJ37" s="719"/>
      <c r="AK37" s="720"/>
    </row>
    <row r="38" spans="2:37" s="331" customFormat="1" ht="9.75" customHeight="1">
      <c r="B38" s="721"/>
      <c r="C38" s="715" t="s">
        <v>1624</v>
      </c>
      <c r="D38" s="716"/>
      <c r="E38" s="716"/>
      <c r="F38" s="716"/>
      <c r="G38" s="716"/>
      <c r="H38" s="716"/>
      <c r="I38" s="716"/>
      <c r="J38" s="716"/>
      <c r="K38" s="716"/>
      <c r="L38" s="716"/>
      <c r="M38" s="716"/>
      <c r="N38" s="716"/>
      <c r="O38" s="716"/>
      <c r="P38" s="716"/>
      <c r="Q38" s="716"/>
      <c r="R38" s="716"/>
      <c r="S38" s="716"/>
      <c r="T38" s="716"/>
      <c r="U38" s="716"/>
      <c r="V38" s="716"/>
      <c r="W38" s="716"/>
      <c r="X38" s="716"/>
      <c r="Y38" s="716"/>
      <c r="Z38" s="716"/>
      <c r="AA38" s="716"/>
      <c r="AB38" s="716"/>
      <c r="AC38" s="716"/>
      <c r="AD38" s="716"/>
      <c r="AE38" s="716"/>
      <c r="AF38" s="716"/>
      <c r="AG38" s="716"/>
      <c r="AH38" s="716"/>
      <c r="AI38" s="716"/>
      <c r="AJ38" s="716"/>
      <c r="AK38" s="722"/>
    </row>
    <row r="39" spans="2:37" ht="16.5" customHeight="1">
      <c r="B39" s="723"/>
      <c r="C39" s="687" t="s">
        <v>1625</v>
      </c>
      <c r="D39" s="688"/>
      <c r="E39" s="688"/>
      <c r="F39" s="688"/>
      <c r="G39" s="688"/>
      <c r="H39" s="688"/>
      <c r="I39" s="688"/>
      <c r="J39" s="688"/>
      <c r="K39" s="688"/>
      <c r="L39" s="688"/>
      <c r="M39" s="689"/>
      <c r="N39" s="2408" t="s">
        <v>1627</v>
      </c>
      <c r="O39" s="2409"/>
      <c r="P39" s="2409"/>
      <c r="Q39" s="2409"/>
      <c r="R39" s="2409"/>
      <c r="S39" s="2410"/>
      <c r="T39" s="2408" t="s">
        <v>1629</v>
      </c>
      <c r="U39" s="2409"/>
      <c r="V39" s="2409"/>
      <c r="W39" s="2409"/>
      <c r="X39" s="2409"/>
      <c r="Y39" s="2410"/>
      <c r="Z39" s="2408" t="s">
        <v>1631</v>
      </c>
      <c r="AA39" s="2409"/>
      <c r="AB39" s="2409"/>
      <c r="AC39" s="2409"/>
      <c r="AD39" s="2409"/>
      <c r="AE39" s="2410"/>
      <c r="AF39" s="2408" t="s">
        <v>1633</v>
      </c>
      <c r="AG39" s="2409"/>
      <c r="AH39" s="2409"/>
      <c r="AI39" s="2409"/>
      <c r="AJ39" s="2409"/>
      <c r="AK39" s="2467"/>
    </row>
    <row r="40" spans="2:37" ht="16.5" customHeight="1">
      <c r="B40" s="724" t="s">
        <v>2132</v>
      </c>
      <c r="C40" s="690"/>
      <c r="D40" s="685"/>
      <c r="E40" s="685"/>
      <c r="F40" s="685" t="s">
        <v>1626</v>
      </c>
      <c r="G40" s="685"/>
      <c r="H40" s="685"/>
      <c r="I40" s="685"/>
      <c r="J40" s="685"/>
      <c r="K40" s="685"/>
      <c r="L40" s="685"/>
      <c r="M40" s="691"/>
      <c r="N40" s="2411" t="s">
        <v>898</v>
      </c>
      <c r="O40" s="2412"/>
      <c r="P40" s="2412"/>
      <c r="Q40" s="2412"/>
      <c r="R40" s="2412"/>
      <c r="S40" s="2413"/>
      <c r="T40" s="2411" t="s">
        <v>1630</v>
      </c>
      <c r="U40" s="2412"/>
      <c r="V40" s="2412"/>
      <c r="W40" s="2412"/>
      <c r="X40" s="2412"/>
      <c r="Y40" s="2413"/>
      <c r="Z40" s="2411" t="s">
        <v>1632</v>
      </c>
      <c r="AA40" s="2412"/>
      <c r="AB40" s="2412"/>
      <c r="AC40" s="2412"/>
      <c r="AD40" s="2412"/>
      <c r="AE40" s="2413"/>
      <c r="AF40" s="2411" t="s">
        <v>1634</v>
      </c>
      <c r="AG40" s="2412"/>
      <c r="AH40" s="2412"/>
      <c r="AI40" s="2412"/>
      <c r="AJ40" s="2412"/>
      <c r="AK40" s="2466"/>
    </row>
    <row r="41" spans="2:37" ht="16.5" customHeight="1">
      <c r="B41" s="725" t="s">
        <v>1635</v>
      </c>
      <c r="C41" s="692"/>
      <c r="D41" s="686"/>
      <c r="E41" s="686"/>
      <c r="F41" s="686"/>
      <c r="G41" s="686"/>
      <c r="H41" s="686"/>
      <c r="I41" s="686"/>
      <c r="J41" s="686"/>
      <c r="K41" s="686"/>
      <c r="L41" s="686"/>
      <c r="M41" s="693"/>
      <c r="N41" s="2414" t="s">
        <v>1628</v>
      </c>
      <c r="O41" s="2415"/>
      <c r="P41" s="2415"/>
      <c r="Q41" s="2415"/>
      <c r="R41" s="2415"/>
      <c r="S41" s="2416"/>
      <c r="T41" s="2414" t="s">
        <v>899</v>
      </c>
      <c r="U41" s="2415"/>
      <c r="V41" s="2415"/>
      <c r="W41" s="2415"/>
      <c r="X41" s="2415"/>
      <c r="Y41" s="2416"/>
      <c r="Z41" s="2414"/>
      <c r="AA41" s="2415"/>
      <c r="AB41" s="2415"/>
      <c r="AC41" s="2415"/>
      <c r="AD41" s="2415"/>
      <c r="AE41" s="2416"/>
      <c r="AF41" s="2414"/>
      <c r="AG41" s="2415"/>
      <c r="AH41" s="2415"/>
      <c r="AI41" s="2415"/>
      <c r="AJ41" s="2415"/>
      <c r="AK41" s="2471"/>
    </row>
    <row r="42" spans="2:37" ht="12.75" customHeight="1" thickBot="1">
      <c r="B42" s="726"/>
      <c r="C42" s="2468">
        <v>1</v>
      </c>
      <c r="D42" s="2468"/>
      <c r="E42" s="2468"/>
      <c r="F42" s="2468"/>
      <c r="G42" s="2468"/>
      <c r="H42" s="2468"/>
      <c r="I42" s="2468"/>
      <c r="J42" s="2468"/>
      <c r="K42" s="2468"/>
      <c r="L42" s="2468"/>
      <c r="M42" s="2468"/>
      <c r="N42" s="2468">
        <v>2</v>
      </c>
      <c r="O42" s="2468"/>
      <c r="P42" s="2468"/>
      <c r="Q42" s="2468"/>
      <c r="R42" s="2468"/>
      <c r="S42" s="2468"/>
      <c r="T42" s="2468">
        <v>3</v>
      </c>
      <c r="U42" s="2468"/>
      <c r="V42" s="2468"/>
      <c r="W42" s="2468"/>
      <c r="X42" s="2468"/>
      <c r="Y42" s="2468"/>
      <c r="Z42" s="2468">
        <v>4</v>
      </c>
      <c r="AA42" s="2468"/>
      <c r="AB42" s="2468"/>
      <c r="AC42" s="2468"/>
      <c r="AD42" s="2468"/>
      <c r="AE42" s="2468"/>
      <c r="AF42" s="2468">
        <v>5</v>
      </c>
      <c r="AG42" s="2468"/>
      <c r="AH42" s="2468"/>
      <c r="AI42" s="2468"/>
      <c r="AJ42" s="2468"/>
      <c r="AK42" s="2469"/>
    </row>
    <row r="43" spans="2:37" ht="16.5" customHeight="1" thickTop="1">
      <c r="B43" s="725"/>
      <c r="C43" s="2472"/>
      <c r="D43" s="2472"/>
      <c r="E43" s="2472"/>
      <c r="F43" s="2472"/>
      <c r="G43" s="2472"/>
      <c r="H43" s="2472"/>
      <c r="I43" s="2472"/>
      <c r="J43" s="2472"/>
      <c r="K43" s="2472"/>
      <c r="L43" s="2472"/>
      <c r="M43" s="2472"/>
      <c r="N43" s="2473"/>
      <c r="O43" s="2473"/>
      <c r="P43" s="2473"/>
      <c r="Q43" s="2473"/>
      <c r="R43" s="2473"/>
      <c r="S43" s="2473"/>
      <c r="T43" s="2474"/>
      <c r="U43" s="2474"/>
      <c r="V43" s="2474"/>
      <c r="W43" s="2474"/>
      <c r="X43" s="2474"/>
      <c r="Y43" s="2474"/>
      <c r="Z43" s="2470"/>
      <c r="AA43" s="2470"/>
      <c r="AB43" s="2470"/>
      <c r="AC43" s="2470"/>
      <c r="AD43" s="2470"/>
      <c r="AE43" s="2470"/>
      <c r="AF43" s="2474"/>
      <c r="AG43" s="2474"/>
      <c r="AH43" s="2474"/>
      <c r="AI43" s="2474"/>
      <c r="AJ43" s="2474"/>
      <c r="AK43" s="2475"/>
    </row>
    <row r="44" spans="2:37" ht="16.5" customHeight="1">
      <c r="B44" s="727"/>
      <c r="C44" s="2476"/>
      <c r="D44" s="2476"/>
      <c r="E44" s="2476"/>
      <c r="F44" s="2476"/>
      <c r="G44" s="2476"/>
      <c r="H44" s="2476"/>
      <c r="I44" s="2476"/>
      <c r="J44" s="2476"/>
      <c r="K44" s="2476"/>
      <c r="L44" s="2476"/>
      <c r="M44" s="2476"/>
      <c r="N44" s="1857"/>
      <c r="O44" s="1857"/>
      <c r="P44" s="1857"/>
      <c r="Q44" s="1857"/>
      <c r="R44" s="1857"/>
      <c r="S44" s="1857"/>
      <c r="T44" s="2477"/>
      <c r="U44" s="2477"/>
      <c r="V44" s="2477"/>
      <c r="W44" s="2477"/>
      <c r="X44" s="2477"/>
      <c r="Y44" s="2477"/>
      <c r="Z44" s="2478"/>
      <c r="AA44" s="2478"/>
      <c r="AB44" s="2478"/>
      <c r="AC44" s="2478"/>
      <c r="AD44" s="2478"/>
      <c r="AE44" s="2478"/>
      <c r="AF44" s="2477"/>
      <c r="AG44" s="2477"/>
      <c r="AH44" s="2477"/>
      <c r="AI44" s="2477"/>
      <c r="AJ44" s="2477"/>
      <c r="AK44" s="2479"/>
    </row>
    <row r="45" spans="2:37" ht="16.5" customHeight="1">
      <c r="B45" s="727"/>
      <c r="C45" s="2476"/>
      <c r="D45" s="2476"/>
      <c r="E45" s="2476"/>
      <c r="F45" s="2476"/>
      <c r="G45" s="2476"/>
      <c r="H45" s="2476"/>
      <c r="I45" s="2476"/>
      <c r="J45" s="2476"/>
      <c r="K45" s="2476"/>
      <c r="L45" s="2476"/>
      <c r="M45" s="2476"/>
      <c r="N45" s="1857"/>
      <c r="O45" s="1857"/>
      <c r="P45" s="1857"/>
      <c r="Q45" s="1857"/>
      <c r="R45" s="1857"/>
      <c r="S45" s="1857"/>
      <c r="T45" s="2477"/>
      <c r="U45" s="2477"/>
      <c r="V45" s="2477"/>
      <c r="W45" s="2477"/>
      <c r="X45" s="2477"/>
      <c r="Y45" s="2477"/>
      <c r="Z45" s="2478"/>
      <c r="AA45" s="2478"/>
      <c r="AB45" s="2478"/>
      <c r="AC45" s="2478"/>
      <c r="AD45" s="2478"/>
      <c r="AE45" s="2478"/>
      <c r="AF45" s="2477"/>
      <c r="AG45" s="2477"/>
      <c r="AH45" s="2477"/>
      <c r="AI45" s="2477"/>
      <c r="AJ45" s="2477"/>
      <c r="AK45" s="2479"/>
    </row>
    <row r="46" spans="2:37" ht="16.5" customHeight="1">
      <c r="B46" s="727"/>
      <c r="C46" s="2476"/>
      <c r="D46" s="2476"/>
      <c r="E46" s="2476"/>
      <c r="F46" s="2476"/>
      <c r="G46" s="2476"/>
      <c r="H46" s="2476"/>
      <c r="I46" s="2476"/>
      <c r="J46" s="2476"/>
      <c r="K46" s="2476"/>
      <c r="L46" s="2476"/>
      <c r="M46" s="2476"/>
      <c r="N46" s="1857"/>
      <c r="O46" s="1857"/>
      <c r="P46" s="1857"/>
      <c r="Q46" s="1857"/>
      <c r="R46" s="1857"/>
      <c r="S46" s="1857"/>
      <c r="T46" s="2477"/>
      <c r="U46" s="2477"/>
      <c r="V46" s="2477"/>
      <c r="W46" s="2477"/>
      <c r="X46" s="2477"/>
      <c r="Y46" s="2477"/>
      <c r="Z46" s="2478"/>
      <c r="AA46" s="2478"/>
      <c r="AB46" s="2478"/>
      <c r="AC46" s="2478"/>
      <c r="AD46" s="2478"/>
      <c r="AE46" s="2478"/>
      <c r="AF46" s="2477"/>
      <c r="AG46" s="2477"/>
      <c r="AH46" s="2477"/>
      <c r="AI46" s="2477"/>
      <c r="AJ46" s="2477"/>
      <c r="AK46" s="2479"/>
    </row>
    <row r="47" spans="2:37" ht="16.5" customHeight="1">
      <c r="B47" s="727"/>
      <c r="C47" s="2476"/>
      <c r="D47" s="2476"/>
      <c r="E47" s="2476"/>
      <c r="F47" s="2476"/>
      <c r="G47" s="2476"/>
      <c r="H47" s="2476"/>
      <c r="I47" s="2476"/>
      <c r="J47" s="2476"/>
      <c r="K47" s="2476"/>
      <c r="L47" s="2476"/>
      <c r="M47" s="2476"/>
      <c r="N47" s="1857"/>
      <c r="O47" s="1857"/>
      <c r="P47" s="1857"/>
      <c r="Q47" s="1857"/>
      <c r="R47" s="1857"/>
      <c r="S47" s="1857"/>
      <c r="T47" s="2477"/>
      <c r="U47" s="2477"/>
      <c r="V47" s="2477"/>
      <c r="W47" s="2477"/>
      <c r="X47" s="2477"/>
      <c r="Y47" s="2477"/>
      <c r="Z47" s="2478"/>
      <c r="AA47" s="2478"/>
      <c r="AB47" s="2478"/>
      <c r="AC47" s="2478"/>
      <c r="AD47" s="2478"/>
      <c r="AE47" s="2478"/>
      <c r="AF47" s="2477"/>
      <c r="AG47" s="2477"/>
      <c r="AH47" s="2477"/>
      <c r="AI47" s="2477"/>
      <c r="AJ47" s="2477"/>
      <c r="AK47" s="2479"/>
    </row>
    <row r="48" spans="2:37" ht="16.5" customHeight="1">
      <c r="B48" s="727"/>
      <c r="C48" s="2476"/>
      <c r="D48" s="2476"/>
      <c r="E48" s="2476"/>
      <c r="F48" s="2476"/>
      <c r="G48" s="2476"/>
      <c r="H48" s="2476"/>
      <c r="I48" s="2476"/>
      <c r="J48" s="2476"/>
      <c r="K48" s="2476"/>
      <c r="L48" s="2476"/>
      <c r="M48" s="2476"/>
      <c r="N48" s="1857"/>
      <c r="O48" s="1857"/>
      <c r="P48" s="1857"/>
      <c r="Q48" s="1857"/>
      <c r="R48" s="1857"/>
      <c r="S48" s="1857"/>
      <c r="T48" s="2477"/>
      <c r="U48" s="2477"/>
      <c r="V48" s="2477"/>
      <c r="W48" s="2477"/>
      <c r="X48" s="2477"/>
      <c r="Y48" s="2477"/>
      <c r="Z48" s="2478"/>
      <c r="AA48" s="2478"/>
      <c r="AB48" s="2478"/>
      <c r="AC48" s="2478"/>
      <c r="AD48" s="2478"/>
      <c r="AE48" s="2478"/>
      <c r="AF48" s="2477"/>
      <c r="AG48" s="2477"/>
      <c r="AH48" s="2477"/>
      <c r="AI48" s="2477"/>
      <c r="AJ48" s="2477"/>
      <c r="AK48" s="2479"/>
    </row>
    <row r="49" spans="2:37" ht="16.5" customHeight="1" thickBot="1">
      <c r="B49" s="728"/>
      <c r="C49" s="2482"/>
      <c r="D49" s="2482"/>
      <c r="E49" s="2482"/>
      <c r="F49" s="2482"/>
      <c r="G49" s="2482"/>
      <c r="H49" s="2482"/>
      <c r="I49" s="2482"/>
      <c r="J49" s="2482"/>
      <c r="K49" s="2482"/>
      <c r="L49" s="2482"/>
      <c r="M49" s="2482"/>
      <c r="N49" s="2483"/>
      <c r="O49" s="2483"/>
      <c r="P49" s="2483"/>
      <c r="Q49" s="2483"/>
      <c r="R49" s="2483"/>
      <c r="S49" s="2483"/>
      <c r="T49" s="2480"/>
      <c r="U49" s="2480"/>
      <c r="V49" s="2480"/>
      <c r="W49" s="2480"/>
      <c r="X49" s="2480"/>
      <c r="Y49" s="2480"/>
      <c r="Z49" s="2484"/>
      <c r="AA49" s="2484"/>
      <c r="AB49" s="2484"/>
      <c r="AC49" s="2484"/>
      <c r="AD49" s="2484"/>
      <c r="AE49" s="2484"/>
      <c r="AF49" s="2480"/>
      <c r="AG49" s="2480"/>
      <c r="AH49" s="2480"/>
      <c r="AI49" s="2480"/>
      <c r="AJ49" s="2480"/>
      <c r="AK49" s="2481"/>
    </row>
    <row r="50" spans="2:37" ht="16.5" customHeight="1">
      <c r="C50" s="2412"/>
      <c r="D50" s="2412"/>
      <c r="E50" s="2412"/>
      <c r="F50" s="2412"/>
      <c r="G50" s="2412"/>
      <c r="H50" s="2412"/>
      <c r="I50" s="2412"/>
      <c r="J50" s="2412"/>
      <c r="K50" s="2412"/>
      <c r="L50" s="2412"/>
      <c r="M50" s="2412"/>
      <c r="N50" s="2412"/>
      <c r="O50" s="2412"/>
      <c r="P50" s="2412"/>
      <c r="Q50" s="2412"/>
      <c r="R50" s="2412"/>
      <c r="S50" s="2412"/>
      <c r="T50" s="2412"/>
      <c r="U50" s="2412"/>
      <c r="V50" s="2412"/>
      <c r="W50" s="2412"/>
      <c r="X50" s="2412"/>
      <c r="Y50" s="2412"/>
      <c r="Z50" s="2412"/>
      <c r="AA50" s="2412"/>
      <c r="AB50" s="2412"/>
      <c r="AC50" s="2412"/>
      <c r="AD50" s="2412"/>
      <c r="AE50" s="2412"/>
      <c r="AF50" s="2412"/>
      <c r="AG50" s="2412"/>
      <c r="AH50" s="2412"/>
      <c r="AI50" s="2412"/>
      <c r="AJ50" s="2412"/>
      <c r="AK50" s="2412"/>
    </row>
    <row r="53" spans="2:37" ht="16.5" customHeight="1" thickBot="1"/>
    <row r="54" spans="2:37" ht="16.5" customHeight="1">
      <c r="B54" s="717" t="s">
        <v>1486</v>
      </c>
      <c r="C54" s="718" t="s">
        <v>896</v>
      </c>
      <c r="D54" s="719"/>
      <c r="E54" s="719"/>
      <c r="F54" s="719"/>
      <c r="G54" s="719"/>
      <c r="H54" s="719"/>
      <c r="I54" s="719"/>
      <c r="J54" s="719"/>
      <c r="K54" s="719"/>
      <c r="L54" s="719"/>
      <c r="M54" s="719"/>
      <c r="N54" s="719"/>
      <c r="O54" s="719"/>
      <c r="P54" s="719"/>
      <c r="Q54" s="719"/>
      <c r="R54" s="719"/>
      <c r="S54" s="719"/>
      <c r="T54" s="719"/>
      <c r="U54" s="719"/>
      <c r="V54" s="719"/>
      <c r="W54" s="719"/>
      <c r="X54" s="719"/>
      <c r="Y54" s="719"/>
      <c r="Z54" s="719"/>
      <c r="AA54" s="719"/>
      <c r="AB54" s="719"/>
      <c r="AC54" s="719"/>
      <c r="AD54" s="719"/>
      <c r="AE54" s="719"/>
      <c r="AF54" s="719"/>
      <c r="AG54" s="719"/>
      <c r="AH54" s="719"/>
      <c r="AI54" s="719"/>
      <c r="AJ54" s="719"/>
      <c r="AK54" s="720"/>
    </row>
    <row r="55" spans="2:37" ht="16.5" customHeight="1">
      <c r="B55" s="721"/>
      <c r="C55" s="715" t="s">
        <v>897</v>
      </c>
      <c r="D55" s="716"/>
      <c r="E55" s="716"/>
      <c r="F55" s="716"/>
      <c r="G55" s="716"/>
      <c r="H55" s="716"/>
      <c r="I55" s="716"/>
      <c r="J55" s="716"/>
      <c r="K55" s="716"/>
      <c r="L55" s="716"/>
      <c r="M55" s="716"/>
      <c r="N55" s="716"/>
      <c r="O55" s="716"/>
      <c r="P55" s="716"/>
      <c r="Q55" s="716"/>
      <c r="R55" s="716"/>
      <c r="S55" s="716"/>
      <c r="T55" s="716"/>
      <c r="U55" s="716"/>
      <c r="V55" s="716"/>
      <c r="W55" s="716"/>
      <c r="X55" s="716"/>
      <c r="Y55" s="716"/>
      <c r="Z55" s="716"/>
      <c r="AA55" s="716"/>
      <c r="AB55" s="716"/>
      <c r="AC55" s="716"/>
      <c r="AD55" s="716"/>
      <c r="AE55" s="716"/>
      <c r="AF55" s="716"/>
      <c r="AG55" s="716"/>
      <c r="AH55" s="716"/>
      <c r="AI55" s="716"/>
      <c r="AJ55" s="716"/>
      <c r="AK55" s="722"/>
    </row>
    <row r="56" spans="2:37" ht="16.5" customHeight="1">
      <c r="B56" s="723"/>
      <c r="C56" s="687" t="s">
        <v>1625</v>
      </c>
      <c r="D56" s="688"/>
      <c r="E56" s="688"/>
      <c r="F56" s="688"/>
      <c r="G56" s="688"/>
      <c r="H56" s="688"/>
      <c r="I56" s="688"/>
      <c r="J56" s="688"/>
      <c r="K56" s="688"/>
      <c r="L56" s="688"/>
      <c r="M56" s="689"/>
      <c r="N56" s="2408" t="s">
        <v>1627</v>
      </c>
      <c r="O56" s="2409"/>
      <c r="P56" s="2409"/>
      <c r="Q56" s="2409"/>
      <c r="R56" s="2409"/>
      <c r="S56" s="2410"/>
      <c r="T56" s="2408" t="s">
        <v>1629</v>
      </c>
      <c r="U56" s="2409"/>
      <c r="V56" s="2409"/>
      <c r="W56" s="2409"/>
      <c r="X56" s="2409"/>
      <c r="Y56" s="2410"/>
      <c r="Z56" s="2408" t="s">
        <v>900</v>
      </c>
      <c r="AA56" s="2409"/>
      <c r="AB56" s="2409"/>
      <c r="AC56" s="2409"/>
      <c r="AD56" s="2409"/>
      <c r="AE56" s="2410"/>
      <c r="AF56" s="2408"/>
      <c r="AG56" s="2409"/>
      <c r="AH56" s="2409"/>
      <c r="AI56" s="2409"/>
      <c r="AJ56" s="2409"/>
      <c r="AK56" s="2467"/>
    </row>
    <row r="57" spans="2:37" ht="16.5" customHeight="1">
      <c r="B57" s="724" t="s">
        <v>2132</v>
      </c>
      <c r="C57" s="690"/>
      <c r="D57" s="685"/>
      <c r="E57" s="685"/>
      <c r="F57" s="685" t="s">
        <v>1626</v>
      </c>
      <c r="G57" s="685"/>
      <c r="H57" s="685"/>
      <c r="I57" s="685"/>
      <c r="J57" s="685"/>
      <c r="K57" s="685"/>
      <c r="L57" s="685"/>
      <c r="M57" s="691"/>
      <c r="N57" s="2411" t="s">
        <v>898</v>
      </c>
      <c r="O57" s="2412"/>
      <c r="P57" s="2412"/>
      <c r="Q57" s="2412"/>
      <c r="R57" s="2412"/>
      <c r="S57" s="2413"/>
      <c r="T57" s="2411" t="s">
        <v>1630</v>
      </c>
      <c r="U57" s="2412"/>
      <c r="V57" s="2412"/>
      <c r="W57" s="2412"/>
      <c r="X57" s="2412"/>
      <c r="Y57" s="2413"/>
      <c r="Z57" s="2411" t="s">
        <v>901</v>
      </c>
      <c r="AA57" s="2412"/>
      <c r="AB57" s="2412"/>
      <c r="AC57" s="2412"/>
      <c r="AD57" s="2412"/>
      <c r="AE57" s="2413"/>
      <c r="AF57" s="2411" t="s">
        <v>1634</v>
      </c>
      <c r="AG57" s="2412"/>
      <c r="AH57" s="2412"/>
      <c r="AI57" s="2412"/>
      <c r="AJ57" s="2412"/>
      <c r="AK57" s="2466"/>
    </row>
    <row r="58" spans="2:37" ht="16.5" customHeight="1">
      <c r="B58" s="725" t="s">
        <v>1635</v>
      </c>
      <c r="C58" s="692"/>
      <c r="D58" s="686"/>
      <c r="E58" s="686"/>
      <c r="F58" s="686"/>
      <c r="G58" s="686"/>
      <c r="H58" s="686"/>
      <c r="I58" s="686"/>
      <c r="J58" s="686"/>
      <c r="K58" s="686"/>
      <c r="L58" s="686"/>
      <c r="M58" s="693"/>
      <c r="N58" s="2414" t="s">
        <v>1628</v>
      </c>
      <c r="O58" s="2415"/>
      <c r="P58" s="2415"/>
      <c r="Q58" s="2415"/>
      <c r="R58" s="2415"/>
      <c r="S58" s="2416"/>
      <c r="T58" s="2414" t="s">
        <v>899</v>
      </c>
      <c r="U58" s="2415"/>
      <c r="V58" s="2415"/>
      <c r="W58" s="2415"/>
      <c r="X58" s="2415"/>
      <c r="Y58" s="2416"/>
      <c r="Z58" s="2414" t="s">
        <v>902</v>
      </c>
      <c r="AA58" s="2415"/>
      <c r="AB58" s="2415"/>
      <c r="AC58" s="2415"/>
      <c r="AD58" s="2415"/>
      <c r="AE58" s="2416"/>
      <c r="AF58" s="2414"/>
      <c r="AG58" s="2415"/>
      <c r="AH58" s="2415"/>
      <c r="AI58" s="2415"/>
      <c r="AJ58" s="2415"/>
      <c r="AK58" s="2471"/>
    </row>
    <row r="59" spans="2:37" ht="13.5" customHeight="1" thickBot="1">
      <c r="B59" s="726"/>
      <c r="C59" s="2468">
        <v>6</v>
      </c>
      <c r="D59" s="2468"/>
      <c r="E59" s="2468"/>
      <c r="F59" s="2468"/>
      <c r="G59" s="2468"/>
      <c r="H59" s="2468"/>
      <c r="I59" s="2468"/>
      <c r="J59" s="2468"/>
      <c r="K59" s="2468"/>
      <c r="L59" s="2468"/>
      <c r="M59" s="2468"/>
      <c r="N59" s="2468">
        <v>7</v>
      </c>
      <c r="O59" s="2468"/>
      <c r="P59" s="2468"/>
      <c r="Q59" s="2468"/>
      <c r="R59" s="2468"/>
      <c r="S59" s="2468"/>
      <c r="T59" s="2468">
        <v>8</v>
      </c>
      <c r="U59" s="2468"/>
      <c r="V59" s="2468"/>
      <c r="W59" s="2468"/>
      <c r="X59" s="2468"/>
      <c r="Y59" s="2468"/>
      <c r="Z59" s="2468">
        <v>9</v>
      </c>
      <c r="AA59" s="2468"/>
      <c r="AB59" s="2468"/>
      <c r="AC59" s="2468"/>
      <c r="AD59" s="2468"/>
      <c r="AE59" s="2468"/>
      <c r="AF59" s="2468">
        <v>10</v>
      </c>
      <c r="AG59" s="2468"/>
      <c r="AH59" s="2468"/>
      <c r="AI59" s="2468"/>
      <c r="AJ59" s="2468"/>
      <c r="AK59" s="2469"/>
    </row>
    <row r="60" spans="2:37" ht="16.5" customHeight="1" thickTop="1">
      <c r="B60" s="725"/>
      <c r="C60" s="2472"/>
      <c r="D60" s="2472"/>
      <c r="E60" s="2472"/>
      <c r="F60" s="2472"/>
      <c r="G60" s="2472"/>
      <c r="H60" s="2472"/>
      <c r="I60" s="2472"/>
      <c r="J60" s="2472"/>
      <c r="K60" s="2472"/>
      <c r="L60" s="2472"/>
      <c r="M60" s="2472"/>
      <c r="N60" s="2473"/>
      <c r="O60" s="2473"/>
      <c r="P60" s="2473"/>
      <c r="Q60" s="2473"/>
      <c r="R60" s="2473"/>
      <c r="S60" s="2473"/>
      <c r="T60" s="2474"/>
      <c r="U60" s="2474"/>
      <c r="V60" s="2474"/>
      <c r="W60" s="2474"/>
      <c r="X60" s="2474"/>
      <c r="Y60" s="2474"/>
      <c r="Z60" s="2470"/>
      <c r="AA60" s="2470"/>
      <c r="AB60" s="2470"/>
      <c r="AC60" s="2470"/>
      <c r="AD60" s="2470"/>
      <c r="AE60" s="2470"/>
      <c r="AF60" s="2474"/>
      <c r="AG60" s="2474"/>
      <c r="AH60" s="2474"/>
      <c r="AI60" s="2474"/>
      <c r="AJ60" s="2474"/>
      <c r="AK60" s="2475"/>
    </row>
    <row r="61" spans="2:37" ht="16.5" customHeight="1">
      <c r="B61" s="727"/>
      <c r="C61" s="2476"/>
      <c r="D61" s="2476"/>
      <c r="E61" s="2476"/>
      <c r="F61" s="2476"/>
      <c r="G61" s="2476"/>
      <c r="H61" s="2476"/>
      <c r="I61" s="2476"/>
      <c r="J61" s="2476"/>
      <c r="K61" s="2476"/>
      <c r="L61" s="2476"/>
      <c r="M61" s="2476"/>
      <c r="N61" s="1857"/>
      <c r="O61" s="1857"/>
      <c r="P61" s="1857"/>
      <c r="Q61" s="1857"/>
      <c r="R61" s="1857"/>
      <c r="S61" s="1857"/>
      <c r="T61" s="2477"/>
      <c r="U61" s="2477"/>
      <c r="V61" s="2477"/>
      <c r="W61" s="2477"/>
      <c r="X61" s="2477"/>
      <c r="Y61" s="2477"/>
      <c r="Z61" s="2478"/>
      <c r="AA61" s="2478"/>
      <c r="AB61" s="2478"/>
      <c r="AC61" s="2478"/>
      <c r="AD61" s="2478"/>
      <c r="AE61" s="2478"/>
      <c r="AF61" s="2477"/>
      <c r="AG61" s="2477"/>
      <c r="AH61" s="2477"/>
      <c r="AI61" s="2477"/>
      <c r="AJ61" s="2477"/>
      <c r="AK61" s="2479"/>
    </row>
    <row r="62" spans="2:37" ht="16.5" customHeight="1">
      <c r="B62" s="727"/>
      <c r="C62" s="2476"/>
      <c r="D62" s="2476"/>
      <c r="E62" s="2476"/>
      <c r="F62" s="2476"/>
      <c r="G62" s="2476"/>
      <c r="H62" s="2476"/>
      <c r="I62" s="2476"/>
      <c r="J62" s="2476"/>
      <c r="K62" s="2476"/>
      <c r="L62" s="2476"/>
      <c r="M62" s="2476"/>
      <c r="N62" s="1857"/>
      <c r="O62" s="1857"/>
      <c r="P62" s="1857"/>
      <c r="Q62" s="1857"/>
      <c r="R62" s="1857"/>
      <c r="S62" s="1857"/>
      <c r="T62" s="2477"/>
      <c r="U62" s="2477"/>
      <c r="V62" s="2477"/>
      <c r="W62" s="2477"/>
      <c r="X62" s="2477"/>
      <c r="Y62" s="2477"/>
      <c r="Z62" s="2478"/>
      <c r="AA62" s="2478"/>
      <c r="AB62" s="2478"/>
      <c r="AC62" s="2478"/>
      <c r="AD62" s="2478"/>
      <c r="AE62" s="2478"/>
      <c r="AF62" s="2477"/>
      <c r="AG62" s="2477"/>
      <c r="AH62" s="2477"/>
      <c r="AI62" s="2477"/>
      <c r="AJ62" s="2477"/>
      <c r="AK62" s="2479"/>
    </row>
    <row r="63" spans="2:37" ht="16.5" customHeight="1">
      <c r="B63" s="727"/>
      <c r="C63" s="2476"/>
      <c r="D63" s="2476"/>
      <c r="E63" s="2476"/>
      <c r="F63" s="2476"/>
      <c r="G63" s="2476"/>
      <c r="H63" s="2476"/>
      <c r="I63" s="2476"/>
      <c r="J63" s="2476"/>
      <c r="K63" s="2476"/>
      <c r="L63" s="2476"/>
      <c r="M63" s="2476"/>
      <c r="N63" s="1857"/>
      <c r="O63" s="1857"/>
      <c r="P63" s="1857"/>
      <c r="Q63" s="1857"/>
      <c r="R63" s="1857"/>
      <c r="S63" s="1857"/>
      <c r="T63" s="2477"/>
      <c r="U63" s="2477"/>
      <c r="V63" s="2477"/>
      <c r="W63" s="2477"/>
      <c r="X63" s="2477"/>
      <c r="Y63" s="2477"/>
      <c r="Z63" s="2478"/>
      <c r="AA63" s="2478"/>
      <c r="AB63" s="2478"/>
      <c r="AC63" s="2478"/>
      <c r="AD63" s="2478"/>
      <c r="AE63" s="2478"/>
      <c r="AF63" s="2477"/>
      <c r="AG63" s="2477"/>
      <c r="AH63" s="2477"/>
      <c r="AI63" s="2477"/>
      <c r="AJ63" s="2477"/>
      <c r="AK63" s="2479"/>
    </row>
    <row r="64" spans="2:37" ht="16.5" customHeight="1">
      <c r="B64" s="727"/>
      <c r="C64" s="2476"/>
      <c r="D64" s="2476"/>
      <c r="E64" s="2476"/>
      <c r="F64" s="2476"/>
      <c r="G64" s="2476"/>
      <c r="H64" s="2476"/>
      <c r="I64" s="2476"/>
      <c r="J64" s="2476"/>
      <c r="K64" s="2476"/>
      <c r="L64" s="2476"/>
      <c r="M64" s="2476"/>
      <c r="N64" s="1857"/>
      <c r="O64" s="1857"/>
      <c r="P64" s="1857"/>
      <c r="Q64" s="1857"/>
      <c r="R64" s="1857"/>
      <c r="S64" s="1857"/>
      <c r="T64" s="2477"/>
      <c r="U64" s="2477"/>
      <c r="V64" s="2477"/>
      <c r="W64" s="2477"/>
      <c r="X64" s="2477"/>
      <c r="Y64" s="2477"/>
      <c r="Z64" s="2478"/>
      <c r="AA64" s="2478"/>
      <c r="AB64" s="2478"/>
      <c r="AC64" s="2478"/>
      <c r="AD64" s="2478"/>
      <c r="AE64" s="2478"/>
      <c r="AF64" s="2477"/>
      <c r="AG64" s="2477"/>
      <c r="AH64" s="2477"/>
      <c r="AI64" s="2477"/>
      <c r="AJ64" s="2477"/>
      <c r="AK64" s="2479"/>
    </row>
    <row r="65" spans="2:37" ht="16.5" customHeight="1">
      <c r="B65" s="727"/>
      <c r="C65" s="2476"/>
      <c r="D65" s="2476"/>
      <c r="E65" s="2476"/>
      <c r="F65" s="2476"/>
      <c r="G65" s="2476"/>
      <c r="H65" s="2476"/>
      <c r="I65" s="2476"/>
      <c r="J65" s="2476"/>
      <c r="K65" s="2476"/>
      <c r="L65" s="2476"/>
      <c r="M65" s="2476"/>
      <c r="N65" s="1857"/>
      <c r="O65" s="1857"/>
      <c r="P65" s="1857"/>
      <c r="Q65" s="1857"/>
      <c r="R65" s="1857"/>
      <c r="S65" s="1857"/>
      <c r="T65" s="2477"/>
      <c r="U65" s="2477"/>
      <c r="V65" s="2477"/>
      <c r="W65" s="2477"/>
      <c r="X65" s="2477"/>
      <c r="Y65" s="2477"/>
      <c r="Z65" s="2478"/>
      <c r="AA65" s="2478"/>
      <c r="AB65" s="2478"/>
      <c r="AC65" s="2478"/>
      <c r="AD65" s="2478"/>
      <c r="AE65" s="2478"/>
      <c r="AF65" s="2477"/>
      <c r="AG65" s="2477"/>
      <c r="AH65" s="2477"/>
      <c r="AI65" s="2477"/>
      <c r="AJ65" s="2477"/>
      <c r="AK65" s="2479"/>
    </row>
    <row r="66" spans="2:37" ht="16.5" customHeight="1" thickBot="1">
      <c r="B66" s="728"/>
      <c r="C66" s="2482"/>
      <c r="D66" s="2482"/>
      <c r="E66" s="2482"/>
      <c r="F66" s="2482"/>
      <c r="G66" s="2482"/>
      <c r="H66" s="2482"/>
      <c r="I66" s="2482"/>
      <c r="J66" s="2482"/>
      <c r="K66" s="2482"/>
      <c r="L66" s="2482"/>
      <c r="M66" s="2482"/>
      <c r="N66" s="2483"/>
      <c r="O66" s="2483"/>
      <c r="P66" s="2483"/>
      <c r="Q66" s="2483"/>
      <c r="R66" s="2483"/>
      <c r="S66" s="2483"/>
      <c r="T66" s="2480"/>
      <c r="U66" s="2480"/>
      <c r="V66" s="2480"/>
      <c r="W66" s="2480"/>
      <c r="X66" s="2480"/>
      <c r="Y66" s="2480"/>
      <c r="Z66" s="2484"/>
      <c r="AA66" s="2484"/>
      <c r="AB66" s="2484"/>
      <c r="AC66" s="2484"/>
      <c r="AD66" s="2484"/>
      <c r="AE66" s="2484"/>
      <c r="AF66" s="2480"/>
      <c r="AG66" s="2480"/>
      <c r="AH66" s="2480"/>
      <c r="AI66" s="2480"/>
      <c r="AJ66" s="2480"/>
      <c r="AK66" s="2481"/>
    </row>
    <row r="67" spans="2:37" ht="10.5" customHeight="1" thickBot="1"/>
    <row r="68" spans="2:37" s="331" customFormat="1" ht="16.5" customHeight="1">
      <c r="B68" s="708" t="s">
        <v>493</v>
      </c>
      <c r="C68" s="709" t="s">
        <v>903</v>
      </c>
      <c r="D68" s="709"/>
      <c r="E68" s="709"/>
      <c r="F68" s="709"/>
      <c r="G68" s="709"/>
      <c r="H68" s="709"/>
      <c r="I68" s="709"/>
      <c r="J68" s="709"/>
      <c r="K68" s="709"/>
      <c r="L68" s="709"/>
      <c r="M68" s="709"/>
      <c r="N68" s="709"/>
      <c r="O68" s="709"/>
      <c r="P68" s="709"/>
      <c r="Q68" s="709"/>
      <c r="R68" s="709"/>
      <c r="S68" s="709"/>
      <c r="T68" s="709"/>
      <c r="U68" s="709"/>
      <c r="V68" s="709"/>
      <c r="W68" s="709"/>
      <c r="X68" s="709"/>
      <c r="Y68" s="709"/>
      <c r="Z68" s="709"/>
      <c r="AA68" s="709"/>
      <c r="AB68" s="709"/>
      <c r="AC68" s="709"/>
      <c r="AD68" s="709"/>
      <c r="AE68" s="709"/>
      <c r="AF68" s="709"/>
      <c r="AG68" s="709"/>
      <c r="AH68" s="709"/>
      <c r="AI68" s="709"/>
      <c r="AJ68" s="709"/>
      <c r="AK68" s="710"/>
    </row>
    <row r="69" spans="2:37" ht="16.5" customHeight="1">
      <c r="B69" s="727" t="s">
        <v>673</v>
      </c>
      <c r="C69" s="337"/>
      <c r="D69" s="338"/>
      <c r="E69" s="338"/>
      <c r="F69" s="338"/>
      <c r="G69" s="338"/>
      <c r="H69" s="338"/>
      <c r="I69" s="338"/>
      <c r="J69" s="338"/>
      <c r="K69" s="338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8"/>
      <c r="AA69" s="338"/>
      <c r="AB69" s="338"/>
      <c r="AC69" s="338"/>
      <c r="AD69" s="338"/>
      <c r="AE69" s="338"/>
      <c r="AF69" s="338"/>
      <c r="AG69" s="338"/>
      <c r="AH69" s="338"/>
      <c r="AI69" s="338"/>
      <c r="AJ69" s="338"/>
      <c r="AK69" s="698"/>
    </row>
    <row r="70" spans="2:37" ht="16.5" customHeight="1">
      <c r="B70" s="727" t="s">
        <v>674</v>
      </c>
      <c r="C70" s="337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8"/>
      <c r="V70" s="338"/>
      <c r="W70" s="338"/>
      <c r="X70" s="338"/>
      <c r="Y70" s="338"/>
      <c r="Z70" s="338"/>
      <c r="AA70" s="338"/>
      <c r="AB70" s="338"/>
      <c r="AC70" s="338"/>
      <c r="AD70" s="338"/>
      <c r="AE70" s="338"/>
      <c r="AF70" s="338"/>
      <c r="AG70" s="338"/>
      <c r="AH70" s="338"/>
      <c r="AI70" s="338"/>
      <c r="AJ70" s="338"/>
      <c r="AK70" s="698"/>
    </row>
    <row r="71" spans="2:37" ht="16.5" customHeight="1">
      <c r="B71" s="727" t="s">
        <v>675</v>
      </c>
      <c r="C71" s="337"/>
      <c r="D71" s="338"/>
      <c r="E71" s="338"/>
      <c r="F71" s="338"/>
      <c r="G71" s="338"/>
      <c r="H71" s="338"/>
      <c r="I71" s="338"/>
      <c r="J71" s="338"/>
      <c r="K71" s="338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8"/>
      <c r="AA71" s="338"/>
      <c r="AB71" s="338"/>
      <c r="AC71" s="338"/>
      <c r="AD71" s="338"/>
      <c r="AE71" s="338"/>
      <c r="AF71" s="338"/>
      <c r="AG71" s="338"/>
      <c r="AH71" s="338"/>
      <c r="AI71" s="338"/>
      <c r="AJ71" s="338"/>
      <c r="AK71" s="698"/>
    </row>
    <row r="72" spans="2:37" ht="16.5" customHeight="1">
      <c r="B72" s="727" t="s">
        <v>676</v>
      </c>
      <c r="C72" s="337"/>
      <c r="D72" s="338"/>
      <c r="E72" s="338"/>
      <c r="F72" s="338"/>
      <c r="G72" s="338"/>
      <c r="H72" s="338"/>
      <c r="I72" s="338"/>
      <c r="J72" s="338"/>
      <c r="K72" s="338"/>
      <c r="L72" s="338"/>
      <c r="M72" s="338"/>
      <c r="N72" s="338"/>
      <c r="O72" s="338"/>
      <c r="P72" s="338"/>
      <c r="Q72" s="338"/>
      <c r="R72" s="338"/>
      <c r="S72" s="338"/>
      <c r="T72" s="338"/>
      <c r="U72" s="338"/>
      <c r="V72" s="338"/>
      <c r="W72" s="338"/>
      <c r="X72" s="338"/>
      <c r="Y72" s="338"/>
      <c r="Z72" s="338"/>
      <c r="AA72" s="338"/>
      <c r="AB72" s="338"/>
      <c r="AC72" s="338"/>
      <c r="AD72" s="338"/>
      <c r="AE72" s="338"/>
      <c r="AF72" s="338"/>
      <c r="AG72" s="338"/>
      <c r="AH72" s="338"/>
      <c r="AI72" s="338"/>
      <c r="AJ72" s="338"/>
      <c r="AK72" s="698"/>
    </row>
    <row r="73" spans="2:37" ht="16.5" customHeight="1">
      <c r="B73" s="727" t="s">
        <v>677</v>
      </c>
      <c r="C73" s="337"/>
      <c r="D73" s="338"/>
      <c r="E73" s="338"/>
      <c r="F73" s="338"/>
      <c r="G73" s="338"/>
      <c r="H73" s="338"/>
      <c r="I73" s="338"/>
      <c r="J73" s="338"/>
      <c r="K73" s="338"/>
      <c r="L73" s="338"/>
      <c r="M73" s="338"/>
      <c r="N73" s="338"/>
      <c r="O73" s="338"/>
      <c r="P73" s="338"/>
      <c r="Q73" s="338"/>
      <c r="R73" s="338"/>
      <c r="S73" s="338"/>
      <c r="T73" s="338"/>
      <c r="U73" s="338"/>
      <c r="V73" s="338"/>
      <c r="W73" s="338"/>
      <c r="X73" s="338"/>
      <c r="Y73" s="338"/>
      <c r="Z73" s="338"/>
      <c r="AA73" s="338"/>
      <c r="AB73" s="338"/>
      <c r="AC73" s="338"/>
      <c r="AD73" s="338"/>
      <c r="AE73" s="338"/>
      <c r="AF73" s="338"/>
      <c r="AG73" s="338"/>
      <c r="AH73" s="338"/>
      <c r="AI73" s="338"/>
      <c r="AJ73" s="338"/>
      <c r="AK73" s="698"/>
    </row>
    <row r="74" spans="2:37" ht="16.5" customHeight="1">
      <c r="B74" s="727" t="s">
        <v>678</v>
      </c>
      <c r="C74" s="337"/>
      <c r="D74" s="338"/>
      <c r="E74" s="338"/>
      <c r="F74" s="338"/>
      <c r="G74" s="338"/>
      <c r="H74" s="338"/>
      <c r="I74" s="338"/>
      <c r="J74" s="338"/>
      <c r="K74" s="338"/>
      <c r="L74" s="338"/>
      <c r="M74" s="338"/>
      <c r="N74" s="338"/>
      <c r="O74" s="338"/>
      <c r="P74" s="338"/>
      <c r="Q74" s="338"/>
      <c r="R74" s="338"/>
      <c r="S74" s="338"/>
      <c r="T74" s="338"/>
      <c r="U74" s="338"/>
      <c r="V74" s="338"/>
      <c r="W74" s="338"/>
      <c r="X74" s="338"/>
      <c r="Y74" s="338"/>
      <c r="Z74" s="338"/>
      <c r="AA74" s="338"/>
      <c r="AB74" s="338"/>
      <c r="AC74" s="338"/>
      <c r="AD74" s="338"/>
      <c r="AE74" s="338"/>
      <c r="AF74" s="338"/>
      <c r="AG74" s="338"/>
      <c r="AH74" s="338"/>
      <c r="AI74" s="338"/>
      <c r="AJ74" s="338"/>
      <c r="AK74" s="698"/>
    </row>
    <row r="75" spans="2:37" ht="16.5" customHeight="1" thickBot="1">
      <c r="B75" s="728" t="s">
        <v>679</v>
      </c>
      <c r="C75" s="729"/>
      <c r="D75" s="730"/>
      <c r="E75" s="730"/>
      <c r="F75" s="730"/>
      <c r="G75" s="730"/>
      <c r="H75" s="730"/>
      <c r="I75" s="730"/>
      <c r="J75" s="730"/>
      <c r="K75" s="730"/>
      <c r="L75" s="730"/>
      <c r="M75" s="730"/>
      <c r="N75" s="730"/>
      <c r="O75" s="730"/>
      <c r="P75" s="730"/>
      <c r="Q75" s="730"/>
      <c r="R75" s="730"/>
      <c r="S75" s="730"/>
      <c r="T75" s="730"/>
      <c r="U75" s="730"/>
      <c r="V75" s="730"/>
      <c r="W75" s="730"/>
      <c r="X75" s="730"/>
      <c r="Y75" s="730"/>
      <c r="Z75" s="730"/>
      <c r="AA75" s="730"/>
      <c r="AB75" s="730"/>
      <c r="AC75" s="730"/>
      <c r="AD75" s="730"/>
      <c r="AE75" s="730"/>
      <c r="AF75" s="730"/>
      <c r="AG75" s="730"/>
      <c r="AH75" s="730"/>
      <c r="AI75" s="730"/>
      <c r="AJ75" s="730"/>
      <c r="AK75" s="731"/>
    </row>
    <row r="77" spans="2:37" ht="16.5" customHeight="1">
      <c r="B77" s="337" t="s">
        <v>904</v>
      </c>
      <c r="C77" s="338" t="s">
        <v>905</v>
      </c>
      <c r="D77" s="338"/>
      <c r="E77" s="338"/>
      <c r="F77" s="338"/>
      <c r="G77" s="338"/>
      <c r="H77" s="338"/>
      <c r="I77" s="338"/>
      <c r="J77" s="338"/>
      <c r="K77" s="338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8"/>
      <c r="AA77" s="338"/>
      <c r="AB77" s="338"/>
      <c r="AC77" s="338"/>
      <c r="AD77" s="338"/>
      <c r="AE77" s="338"/>
      <c r="AF77" s="338"/>
      <c r="AG77" s="338"/>
      <c r="AH77" s="338"/>
      <c r="AI77" s="338"/>
      <c r="AJ77" s="338"/>
      <c r="AK77" s="339"/>
    </row>
    <row r="78" spans="2:37" ht="14.25" customHeight="1">
      <c r="B78" s="713"/>
      <c r="C78" s="688"/>
      <c r="D78" s="688"/>
      <c r="E78" s="688"/>
      <c r="F78" s="688"/>
      <c r="G78" s="688"/>
      <c r="H78" s="688"/>
      <c r="I78" s="688"/>
      <c r="J78" s="688"/>
      <c r="K78" s="688"/>
      <c r="L78" s="688"/>
      <c r="M78" s="688"/>
      <c r="N78" s="688"/>
      <c r="O78" s="688"/>
      <c r="P78" s="688"/>
      <c r="Q78" s="688"/>
      <c r="R78" s="688"/>
      <c r="S78" s="688"/>
      <c r="T78" s="688"/>
      <c r="U78" s="688"/>
      <c r="V78" s="688"/>
      <c r="W78" s="688"/>
      <c r="X78" s="688"/>
      <c r="Y78" s="688"/>
      <c r="Z78" s="688"/>
      <c r="AA78" s="688"/>
      <c r="AB78" s="688"/>
      <c r="AC78" s="688"/>
      <c r="AD78" s="688"/>
      <c r="AE78" s="688"/>
      <c r="AF78" s="688"/>
      <c r="AG78" s="688"/>
      <c r="AH78" s="688"/>
      <c r="AI78" s="688"/>
      <c r="AJ78" s="688"/>
      <c r="AK78" s="689"/>
    </row>
    <row r="79" spans="2:37" ht="14.25" customHeight="1">
      <c r="B79" s="714"/>
      <c r="C79" s="685"/>
      <c r="D79" s="685"/>
      <c r="E79" s="685"/>
      <c r="F79" s="685"/>
      <c r="G79" s="685"/>
      <c r="H79" s="685"/>
      <c r="I79" s="685"/>
      <c r="J79" s="685"/>
      <c r="K79" s="685"/>
      <c r="L79" s="685"/>
      <c r="M79" s="685"/>
      <c r="N79" s="685"/>
      <c r="O79" s="685"/>
      <c r="P79" s="685"/>
      <c r="Q79" s="685"/>
      <c r="R79" s="685"/>
      <c r="S79" s="685"/>
      <c r="T79" s="685"/>
      <c r="U79" s="685"/>
      <c r="V79" s="685"/>
      <c r="W79" s="685"/>
      <c r="X79" s="685"/>
      <c r="Y79" s="685"/>
      <c r="Z79" s="685"/>
      <c r="AA79" s="685"/>
      <c r="AB79" s="685"/>
      <c r="AC79" s="685"/>
      <c r="AD79" s="685"/>
      <c r="AE79" s="685"/>
      <c r="AF79" s="685"/>
      <c r="AG79" s="685"/>
      <c r="AH79" s="685"/>
      <c r="AI79" s="685"/>
      <c r="AJ79" s="685"/>
      <c r="AK79" s="691"/>
    </row>
    <row r="80" spans="2:37" ht="14.25" customHeight="1">
      <c r="B80" s="714"/>
      <c r="C80" s="685"/>
      <c r="D80" s="685"/>
      <c r="E80" s="685"/>
      <c r="F80" s="685"/>
      <c r="G80" s="685"/>
      <c r="H80" s="685"/>
      <c r="I80" s="685"/>
      <c r="J80" s="685"/>
      <c r="K80" s="685"/>
      <c r="L80" s="685"/>
      <c r="M80" s="685"/>
      <c r="N80" s="685"/>
      <c r="O80" s="685"/>
      <c r="P80" s="685"/>
      <c r="Q80" s="685"/>
      <c r="R80" s="685"/>
      <c r="S80" s="685"/>
      <c r="T80" s="685"/>
      <c r="U80" s="685"/>
      <c r="V80" s="685"/>
      <c r="W80" s="685"/>
      <c r="X80" s="685"/>
      <c r="Y80" s="685"/>
      <c r="Z80" s="685"/>
      <c r="AA80" s="685"/>
      <c r="AB80" s="685"/>
      <c r="AC80" s="685"/>
      <c r="AD80" s="685"/>
      <c r="AE80" s="685"/>
      <c r="AF80" s="685"/>
      <c r="AG80" s="685"/>
      <c r="AH80" s="685"/>
      <c r="AI80" s="685"/>
      <c r="AJ80" s="685"/>
      <c r="AK80" s="691"/>
    </row>
    <row r="81" spans="2:37" ht="14.25" customHeight="1">
      <c r="B81" s="714"/>
      <c r="C81" s="685"/>
      <c r="D81" s="685"/>
      <c r="E81" s="685"/>
      <c r="F81" s="685"/>
      <c r="G81" s="685"/>
      <c r="H81" s="685"/>
      <c r="I81" s="685"/>
      <c r="J81" s="685"/>
      <c r="K81" s="685"/>
      <c r="L81" s="685"/>
      <c r="M81" s="685"/>
      <c r="N81" s="685"/>
      <c r="O81" s="685"/>
      <c r="P81" s="685"/>
      <c r="Q81" s="685"/>
      <c r="R81" s="685"/>
      <c r="S81" s="685"/>
      <c r="T81" s="685"/>
      <c r="U81" s="685"/>
      <c r="V81" s="685"/>
      <c r="W81" s="685"/>
      <c r="X81" s="685"/>
      <c r="Y81" s="685"/>
      <c r="Z81" s="685"/>
      <c r="AA81" s="685"/>
      <c r="AB81" s="685"/>
      <c r="AC81" s="685"/>
      <c r="AD81" s="685"/>
      <c r="AE81" s="685"/>
      <c r="AF81" s="685"/>
      <c r="AG81" s="685"/>
      <c r="AH81" s="685"/>
      <c r="AI81" s="685"/>
      <c r="AJ81" s="685"/>
      <c r="AK81" s="691"/>
    </row>
    <row r="82" spans="2:37" ht="14.25" customHeight="1">
      <c r="B82" s="714"/>
      <c r="C82" s="685"/>
      <c r="D82" s="685"/>
      <c r="E82" s="685"/>
      <c r="F82" s="685"/>
      <c r="G82" s="685"/>
      <c r="H82" s="685"/>
      <c r="I82" s="685"/>
      <c r="J82" s="685"/>
      <c r="K82" s="685"/>
      <c r="L82" s="685"/>
      <c r="M82" s="685"/>
      <c r="N82" s="685"/>
      <c r="O82" s="685"/>
      <c r="P82" s="685"/>
      <c r="Q82" s="685"/>
      <c r="R82" s="685"/>
      <c r="S82" s="685"/>
      <c r="T82" s="685"/>
      <c r="U82" s="685"/>
      <c r="V82" s="685"/>
      <c r="W82" s="685"/>
      <c r="X82" s="685"/>
      <c r="Y82" s="685"/>
      <c r="Z82" s="685"/>
      <c r="AA82" s="685"/>
      <c r="AB82" s="685"/>
      <c r="AC82" s="685"/>
      <c r="AD82" s="685"/>
      <c r="AE82" s="685"/>
      <c r="AF82" s="685"/>
      <c r="AG82" s="685"/>
      <c r="AH82" s="685"/>
      <c r="AI82" s="685"/>
      <c r="AJ82" s="685"/>
      <c r="AK82" s="691"/>
    </row>
    <row r="83" spans="2:37" ht="14.25" customHeight="1">
      <c r="B83" s="683"/>
      <c r="C83" s="686"/>
      <c r="D83" s="686"/>
      <c r="E83" s="686"/>
      <c r="F83" s="686"/>
      <c r="G83" s="686"/>
      <c r="H83" s="686"/>
      <c r="I83" s="686"/>
      <c r="J83" s="686"/>
      <c r="K83" s="686"/>
      <c r="L83" s="686"/>
      <c r="M83" s="686"/>
      <c r="N83" s="686"/>
      <c r="O83" s="686"/>
      <c r="P83" s="686"/>
      <c r="Q83" s="686"/>
      <c r="R83" s="686"/>
      <c r="S83" s="686"/>
      <c r="T83" s="686"/>
      <c r="U83" s="686"/>
      <c r="V83" s="686"/>
      <c r="W83" s="686"/>
      <c r="X83" s="686"/>
      <c r="Y83" s="686"/>
      <c r="Z83" s="686"/>
      <c r="AA83" s="686"/>
      <c r="AB83" s="686"/>
      <c r="AC83" s="686"/>
      <c r="AD83" s="686"/>
      <c r="AE83" s="686"/>
      <c r="AF83" s="686"/>
      <c r="AG83" s="686"/>
      <c r="AH83" s="686"/>
      <c r="AI83" s="686"/>
      <c r="AJ83" s="686"/>
      <c r="AK83" s="693"/>
    </row>
    <row r="85" spans="2:37" ht="16.5" customHeight="1">
      <c r="B85" s="328" t="s">
        <v>906</v>
      </c>
      <c r="F85" s="1728" t="str">
        <f>ObracunPredaja</f>
        <v>28.2.2012.</v>
      </c>
      <c r="G85" s="1728"/>
      <c r="H85" s="1728"/>
      <c r="I85" s="1728"/>
      <c r="J85" s="1728"/>
      <c r="K85" s="1728"/>
      <c r="L85" s="1728"/>
      <c r="M85" s="1728"/>
      <c r="N85" s="1728"/>
    </row>
    <row r="87" spans="2:37" ht="16.5" customHeight="1">
      <c r="B87" s="686"/>
      <c r="C87" s="686"/>
      <c r="D87" s="686"/>
      <c r="E87" s="686"/>
      <c r="F87" s="686"/>
      <c r="G87" s="739">
        <f>RacunovodjaIme</f>
        <v>0</v>
      </c>
      <c r="H87" s="686"/>
      <c r="I87" s="686"/>
      <c r="J87" s="686"/>
      <c r="K87" s="686"/>
      <c r="L87" s="686"/>
      <c r="M87" s="686"/>
      <c r="N87" s="686"/>
      <c r="R87" s="328" t="s">
        <v>909</v>
      </c>
      <c r="Z87" s="2415">
        <f>FirmaDirekor</f>
        <v>0</v>
      </c>
      <c r="AA87" s="2415"/>
      <c r="AB87" s="2415"/>
      <c r="AC87" s="2415"/>
      <c r="AD87" s="2415"/>
      <c r="AE87" s="2415"/>
      <c r="AF87" s="2415"/>
      <c r="AG87" s="2415"/>
      <c r="AH87" s="2415"/>
      <c r="AI87" s="2415"/>
      <c r="AJ87" s="2415"/>
    </row>
    <row r="88" spans="2:37" ht="16.5" customHeight="1">
      <c r="G88" s="349" t="s">
        <v>907</v>
      </c>
      <c r="AE88" s="349" t="s">
        <v>908</v>
      </c>
    </row>
    <row r="89" spans="2:37" ht="10.5" customHeight="1"/>
    <row r="90" spans="2:37" s="319" customFormat="1" ht="16.5" customHeight="1"/>
    <row r="91" spans="2:37" s="319" customFormat="1" ht="12" customHeight="1">
      <c r="B91" s="732"/>
      <c r="C91" s="711"/>
      <c r="D91" s="711"/>
      <c r="E91" s="711"/>
      <c r="F91" s="711"/>
      <c r="G91" s="711"/>
      <c r="H91" s="711"/>
      <c r="I91" s="711"/>
      <c r="J91" s="711"/>
      <c r="K91" s="711"/>
      <c r="L91" s="711"/>
      <c r="M91" s="711"/>
      <c r="N91" s="711"/>
      <c r="O91" s="711"/>
      <c r="P91" s="711"/>
      <c r="Q91" s="711"/>
      <c r="R91" s="738" t="s">
        <v>243</v>
      </c>
      <c r="S91" s="711"/>
      <c r="T91" s="711"/>
      <c r="U91" s="711"/>
      <c r="V91" s="711"/>
      <c r="W91" s="711"/>
      <c r="X91" s="711"/>
      <c r="Y91" s="711"/>
      <c r="Z91" s="711"/>
      <c r="AA91" s="711"/>
      <c r="AB91" s="711"/>
      <c r="AC91" s="711"/>
      <c r="AD91" s="711"/>
      <c r="AE91" s="711"/>
      <c r="AF91" s="711"/>
      <c r="AG91" s="711"/>
      <c r="AH91" s="711"/>
      <c r="AI91" s="711"/>
      <c r="AJ91" s="711"/>
      <c r="AK91" s="733"/>
    </row>
    <row r="92" spans="2:37" s="319" customFormat="1" ht="10.5" customHeight="1">
      <c r="B92" s="734" t="s">
        <v>1775</v>
      </c>
      <c r="C92" s="320"/>
      <c r="D92" s="320"/>
      <c r="E92" s="320"/>
      <c r="F92" s="320"/>
      <c r="G92" s="320"/>
      <c r="H92" s="320"/>
      <c r="I92" s="320"/>
      <c r="J92" s="320"/>
      <c r="K92" s="320"/>
      <c r="L92" s="320"/>
      <c r="M92" s="320"/>
      <c r="N92" s="320"/>
      <c r="O92" s="320"/>
      <c r="P92" s="320"/>
      <c r="Q92" s="320"/>
      <c r="R92" s="320"/>
      <c r="S92" s="320"/>
      <c r="T92" s="320"/>
      <c r="U92" s="320"/>
      <c r="V92" s="320"/>
      <c r="W92" s="320"/>
      <c r="X92" s="320"/>
      <c r="Y92" s="320"/>
      <c r="Z92" s="320"/>
      <c r="AA92" s="320"/>
      <c r="AB92" s="320"/>
      <c r="AC92" s="320"/>
      <c r="AD92" s="320"/>
      <c r="AE92" s="320"/>
      <c r="AF92" s="320"/>
      <c r="AG92" s="320"/>
      <c r="AH92" s="320"/>
      <c r="AI92" s="320"/>
      <c r="AJ92" s="320"/>
      <c r="AK92" s="735"/>
    </row>
    <row r="93" spans="2:37" s="319" customFormat="1" ht="10.5" customHeight="1">
      <c r="B93" s="734" t="s">
        <v>1776</v>
      </c>
      <c r="C93" s="320"/>
      <c r="D93" s="320"/>
      <c r="E93" s="320"/>
      <c r="F93" s="320"/>
      <c r="G93" s="320"/>
      <c r="H93" s="320"/>
      <c r="I93" s="320"/>
      <c r="J93" s="320"/>
      <c r="K93" s="320"/>
      <c r="L93" s="320"/>
      <c r="M93" s="320"/>
      <c r="N93" s="320"/>
      <c r="O93" s="320"/>
      <c r="P93" s="320"/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320"/>
      <c r="AE93" s="320"/>
      <c r="AF93" s="320"/>
      <c r="AG93" s="320"/>
      <c r="AH93" s="320"/>
      <c r="AI93" s="320"/>
      <c r="AJ93" s="320"/>
      <c r="AK93" s="735"/>
    </row>
    <row r="94" spans="2:37" s="319" customFormat="1" ht="6.75" customHeight="1">
      <c r="B94" s="734"/>
      <c r="C94" s="320"/>
      <c r="D94" s="320"/>
      <c r="E94" s="320"/>
      <c r="F94" s="320"/>
      <c r="G94" s="320"/>
      <c r="H94" s="320"/>
      <c r="I94" s="320"/>
      <c r="J94" s="320"/>
      <c r="K94" s="320"/>
      <c r="L94" s="320"/>
      <c r="M94" s="320"/>
      <c r="N94" s="320"/>
      <c r="O94" s="320"/>
      <c r="P94" s="320"/>
      <c r="Q94" s="320"/>
      <c r="R94" s="320"/>
      <c r="S94" s="320"/>
      <c r="T94" s="320"/>
      <c r="U94" s="320"/>
      <c r="V94" s="320"/>
      <c r="W94" s="320"/>
      <c r="X94" s="320"/>
      <c r="Y94" s="320"/>
      <c r="Z94" s="320"/>
      <c r="AA94" s="320"/>
      <c r="AB94" s="320"/>
      <c r="AC94" s="320"/>
      <c r="AD94" s="320"/>
      <c r="AE94" s="320"/>
      <c r="AF94" s="320"/>
      <c r="AG94" s="320"/>
      <c r="AH94" s="320"/>
      <c r="AI94" s="320"/>
      <c r="AJ94" s="320"/>
      <c r="AK94" s="735"/>
    </row>
    <row r="95" spans="2:37" s="319" customFormat="1" ht="11.25" customHeight="1">
      <c r="B95" s="734" t="s">
        <v>2328</v>
      </c>
      <c r="C95" s="320"/>
      <c r="D95" s="320"/>
      <c r="E95" s="320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0"/>
      <c r="Q95" s="320"/>
      <c r="R95" s="320"/>
      <c r="S95" s="320"/>
      <c r="T95" s="320"/>
      <c r="U95" s="320"/>
      <c r="V95" s="320"/>
      <c r="W95" s="320"/>
      <c r="X95" s="320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735"/>
    </row>
    <row r="96" spans="2:37" s="319" customFormat="1" ht="11.25" customHeight="1">
      <c r="B96" s="734" t="s">
        <v>2329</v>
      </c>
      <c r="C96" s="320"/>
      <c r="D96" s="320"/>
      <c r="E96" s="320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  <c r="Q96" s="320"/>
      <c r="R96" s="320"/>
      <c r="S96" s="320"/>
      <c r="T96" s="320"/>
      <c r="U96" s="320"/>
      <c r="V96" s="320"/>
      <c r="W96" s="320"/>
      <c r="X96" s="320"/>
      <c r="Y96" s="320"/>
      <c r="Z96" s="320"/>
      <c r="AA96" s="320"/>
      <c r="AB96" s="320"/>
      <c r="AC96" s="320"/>
      <c r="AD96" s="320"/>
      <c r="AE96" s="320"/>
      <c r="AF96" s="320"/>
      <c r="AG96" s="320"/>
      <c r="AH96" s="320"/>
      <c r="AI96" s="320"/>
      <c r="AJ96" s="320"/>
      <c r="AK96" s="735"/>
    </row>
    <row r="97" spans="2:37" s="319" customFormat="1" ht="20.25" customHeight="1">
      <c r="B97" s="736" t="s">
        <v>2330</v>
      </c>
      <c r="C97" s="712"/>
      <c r="D97" s="712"/>
      <c r="E97" s="712"/>
      <c r="F97" s="712"/>
      <c r="G97" s="712"/>
      <c r="H97" s="712"/>
      <c r="I97" s="712"/>
      <c r="J97" s="712"/>
      <c r="K97" s="712"/>
      <c r="L97" s="712"/>
      <c r="M97" s="712"/>
      <c r="N97" s="712"/>
      <c r="O97" s="712"/>
      <c r="P97" s="712"/>
      <c r="Q97" s="712"/>
      <c r="R97" s="712"/>
      <c r="S97" s="712"/>
      <c r="T97" s="712"/>
      <c r="U97" s="712"/>
      <c r="V97" s="712"/>
      <c r="W97" s="712"/>
      <c r="X97" s="712"/>
      <c r="Y97" s="712"/>
      <c r="Z97" s="712"/>
      <c r="AA97" s="712"/>
      <c r="AB97" s="712"/>
      <c r="AC97" s="712"/>
      <c r="AD97" s="712"/>
      <c r="AE97" s="712"/>
      <c r="AF97" s="712"/>
      <c r="AG97" s="712"/>
      <c r="AH97" s="712"/>
      <c r="AI97" s="712"/>
      <c r="AJ97" s="712"/>
      <c r="AK97" s="737"/>
    </row>
    <row r="98" spans="2:37" s="319" customFormat="1" ht="16.5" customHeight="1"/>
    <row r="99" spans="2:37" ht="16.5" customHeight="1">
      <c r="B99" s="687"/>
      <c r="C99" s="688"/>
      <c r="D99" s="688"/>
      <c r="E99" s="688"/>
      <c r="F99" s="688"/>
      <c r="G99" s="688"/>
      <c r="H99" s="688"/>
      <c r="I99" s="688"/>
      <c r="J99" s="688"/>
      <c r="K99" s="688"/>
      <c r="L99" s="688"/>
      <c r="M99" s="688"/>
      <c r="N99" s="688"/>
      <c r="O99" s="688"/>
      <c r="P99" s="688"/>
      <c r="Q99" s="688"/>
      <c r="R99" s="711" t="s">
        <v>1135</v>
      </c>
      <c r="S99" s="688"/>
      <c r="T99" s="688"/>
      <c r="U99" s="688"/>
      <c r="V99" s="688"/>
      <c r="W99" s="688"/>
      <c r="X99" s="688"/>
      <c r="Y99" s="688"/>
      <c r="Z99" s="688"/>
      <c r="AA99" s="688"/>
      <c r="AB99" s="688"/>
      <c r="AC99" s="688"/>
      <c r="AD99" s="688"/>
      <c r="AE99" s="688"/>
      <c r="AF99" s="688"/>
      <c r="AG99" s="688"/>
      <c r="AH99" s="688"/>
      <c r="AI99" s="688"/>
      <c r="AJ99" s="688"/>
      <c r="AK99" s="689"/>
    </row>
    <row r="100" spans="2:37" s="319" customFormat="1" ht="12" customHeight="1">
      <c r="B100" s="734" t="s">
        <v>1965</v>
      </c>
      <c r="C100" s="320"/>
      <c r="D100" s="320"/>
      <c r="E100" s="320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  <c r="R100" s="320"/>
      <c r="S100" s="320"/>
      <c r="T100" s="320"/>
      <c r="U100" s="320"/>
      <c r="V100" s="320"/>
      <c r="W100" s="320"/>
      <c r="X100" s="320"/>
      <c r="Y100" s="320"/>
      <c r="Z100" s="320"/>
      <c r="AA100" s="320"/>
      <c r="AB100" s="320"/>
      <c r="AC100" s="320"/>
      <c r="AD100" s="320"/>
      <c r="AE100" s="320"/>
      <c r="AF100" s="320"/>
      <c r="AG100" s="320"/>
      <c r="AH100" s="320"/>
      <c r="AI100" s="320"/>
      <c r="AJ100" s="320"/>
      <c r="AK100" s="735"/>
    </row>
    <row r="101" spans="2:37" s="319" customFormat="1" ht="12" customHeight="1">
      <c r="B101" s="734" t="s">
        <v>1966</v>
      </c>
      <c r="C101" s="320"/>
      <c r="D101" s="320"/>
      <c r="E101" s="320"/>
      <c r="F101" s="320"/>
      <c r="G101" s="320"/>
      <c r="H101" s="320"/>
      <c r="I101" s="320"/>
      <c r="J101" s="320"/>
      <c r="K101" s="320"/>
      <c r="L101" s="320"/>
      <c r="M101" s="320"/>
      <c r="N101" s="320"/>
      <c r="O101" s="320"/>
      <c r="P101" s="320"/>
      <c r="Q101" s="320"/>
      <c r="R101" s="320"/>
      <c r="S101" s="320"/>
      <c r="T101" s="320"/>
      <c r="U101" s="320"/>
      <c r="V101" s="320"/>
      <c r="W101" s="320"/>
      <c r="X101" s="320"/>
      <c r="Y101" s="320"/>
      <c r="Z101" s="320"/>
      <c r="AA101" s="320"/>
      <c r="AB101" s="320"/>
      <c r="AC101" s="320"/>
      <c r="AD101" s="320"/>
      <c r="AE101" s="320"/>
      <c r="AF101" s="320"/>
      <c r="AG101" s="320"/>
      <c r="AH101" s="320"/>
      <c r="AI101" s="320"/>
      <c r="AJ101" s="320"/>
      <c r="AK101" s="735"/>
    </row>
    <row r="102" spans="2:37" s="319" customFormat="1" ht="13.5" customHeight="1">
      <c r="B102" s="734" t="s">
        <v>1967</v>
      </c>
      <c r="C102" s="320"/>
      <c r="D102" s="320"/>
      <c r="E102" s="320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320"/>
      <c r="AE102" s="320"/>
      <c r="AF102" s="320"/>
      <c r="AG102" s="320"/>
      <c r="AH102" s="320"/>
      <c r="AI102" s="320"/>
      <c r="AJ102" s="320"/>
      <c r="AK102" s="735"/>
    </row>
    <row r="103" spans="2:37" s="319" customFormat="1" ht="13.5" customHeight="1">
      <c r="B103" s="734" t="s">
        <v>882</v>
      </c>
      <c r="C103" s="320"/>
      <c r="D103" s="320"/>
      <c r="E103" s="320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0"/>
      <c r="W103" s="320"/>
      <c r="X103" s="320"/>
      <c r="Y103" s="320"/>
      <c r="Z103" s="320"/>
      <c r="AA103" s="320"/>
      <c r="AB103" s="320"/>
      <c r="AC103" s="320"/>
      <c r="AD103" s="320"/>
      <c r="AE103" s="320"/>
      <c r="AF103" s="320"/>
      <c r="AG103" s="320"/>
      <c r="AH103" s="320"/>
      <c r="AI103" s="320"/>
      <c r="AJ103" s="320"/>
      <c r="AK103" s="735"/>
    </row>
    <row r="104" spans="2:37" s="319" customFormat="1" ht="16.5" customHeight="1">
      <c r="B104" s="736" t="s">
        <v>883</v>
      </c>
      <c r="C104" s="712"/>
      <c r="D104" s="712"/>
      <c r="E104" s="712"/>
      <c r="F104" s="712"/>
      <c r="G104" s="712"/>
      <c r="H104" s="712"/>
      <c r="I104" s="712"/>
      <c r="J104" s="712"/>
      <c r="K104" s="712"/>
      <c r="L104" s="712"/>
      <c r="M104" s="712"/>
      <c r="N104" s="712"/>
      <c r="O104" s="712"/>
      <c r="P104" s="712"/>
      <c r="Q104" s="712"/>
      <c r="R104" s="712"/>
      <c r="S104" s="712"/>
      <c r="T104" s="712"/>
      <c r="U104" s="712"/>
      <c r="V104" s="712"/>
      <c r="W104" s="712"/>
      <c r="X104" s="712"/>
      <c r="Y104" s="712"/>
      <c r="Z104" s="712"/>
      <c r="AA104" s="712"/>
      <c r="AB104" s="712"/>
      <c r="AC104" s="712"/>
      <c r="AD104" s="712"/>
      <c r="AE104" s="712"/>
      <c r="AF104" s="712"/>
      <c r="AG104" s="712"/>
      <c r="AH104" s="712"/>
      <c r="AI104" s="712"/>
      <c r="AJ104" s="712"/>
      <c r="AK104" s="737"/>
    </row>
  </sheetData>
  <mergeCells count="125">
    <mergeCell ref="Z66:AE66"/>
    <mergeCell ref="AF66:AK66"/>
    <mergeCell ref="C65:M65"/>
    <mergeCell ref="N65:S65"/>
    <mergeCell ref="T65:Y65"/>
    <mergeCell ref="Z65:AE65"/>
    <mergeCell ref="F85:N85"/>
    <mergeCell ref="Z87:AJ87"/>
    <mergeCell ref="B8:AK8"/>
    <mergeCell ref="B9:AK9"/>
    <mergeCell ref="B11:AK11"/>
    <mergeCell ref="B12:AK12"/>
    <mergeCell ref="AF65:AK65"/>
    <mergeCell ref="C66:M66"/>
    <mergeCell ref="N66:S66"/>
    <mergeCell ref="T66:Y66"/>
    <mergeCell ref="AF63:AK63"/>
    <mergeCell ref="C64:M64"/>
    <mergeCell ref="N64:S64"/>
    <mergeCell ref="T64:Y64"/>
    <mergeCell ref="Z64:AE64"/>
    <mergeCell ref="AF64:AK64"/>
    <mergeCell ref="C63:M63"/>
    <mergeCell ref="N63:S63"/>
    <mergeCell ref="T63:Y63"/>
    <mergeCell ref="Z63:AE63"/>
    <mergeCell ref="AF61:AK61"/>
    <mergeCell ref="C62:M62"/>
    <mergeCell ref="N62:S62"/>
    <mergeCell ref="T62:Y62"/>
    <mergeCell ref="Z62:AE62"/>
    <mergeCell ref="AF62:AK62"/>
    <mergeCell ref="C61:M61"/>
    <mergeCell ref="N61:S61"/>
    <mergeCell ref="T61:Y61"/>
    <mergeCell ref="Z61:AE61"/>
    <mergeCell ref="AF59:AK59"/>
    <mergeCell ref="C60:M60"/>
    <mergeCell ref="N60:S60"/>
    <mergeCell ref="T60:Y60"/>
    <mergeCell ref="Z60:AE60"/>
    <mergeCell ref="AF60:AK60"/>
    <mergeCell ref="C59:M59"/>
    <mergeCell ref="N59:S59"/>
    <mergeCell ref="T59:Y59"/>
    <mergeCell ref="Z59:AE59"/>
    <mergeCell ref="N58:S58"/>
    <mergeCell ref="T58:Y58"/>
    <mergeCell ref="Z58:AE58"/>
    <mergeCell ref="N56:S56"/>
    <mergeCell ref="T56:Y56"/>
    <mergeCell ref="Z56:AE56"/>
    <mergeCell ref="AF58:AK58"/>
    <mergeCell ref="N57:S57"/>
    <mergeCell ref="T57:Y57"/>
    <mergeCell ref="Z57:AE57"/>
    <mergeCell ref="AF57:AK57"/>
    <mergeCell ref="AF56:AK56"/>
    <mergeCell ref="AF49:AK49"/>
    <mergeCell ref="C50:M50"/>
    <mergeCell ref="N50:S50"/>
    <mergeCell ref="T50:Y50"/>
    <mergeCell ref="Z50:AE50"/>
    <mergeCell ref="AF50:AK50"/>
    <mergeCell ref="C49:M49"/>
    <mergeCell ref="N49:S49"/>
    <mergeCell ref="T49:Y49"/>
    <mergeCell ref="Z49:AE49"/>
    <mergeCell ref="AF47:AK47"/>
    <mergeCell ref="C48:M48"/>
    <mergeCell ref="N48:S48"/>
    <mergeCell ref="T48:Y48"/>
    <mergeCell ref="Z48:AE48"/>
    <mergeCell ref="AF48:AK48"/>
    <mergeCell ref="C47:M47"/>
    <mergeCell ref="N47:S47"/>
    <mergeCell ref="T47:Y47"/>
    <mergeCell ref="Z47:AE47"/>
    <mergeCell ref="C44:M44"/>
    <mergeCell ref="N44:S44"/>
    <mergeCell ref="T44:Y44"/>
    <mergeCell ref="Z44:AE44"/>
    <mergeCell ref="AF44:AK44"/>
    <mergeCell ref="AF45:AK45"/>
    <mergeCell ref="C46:M46"/>
    <mergeCell ref="N46:S46"/>
    <mergeCell ref="T46:Y46"/>
    <mergeCell ref="Z46:AE46"/>
    <mergeCell ref="AF46:AK46"/>
    <mergeCell ref="C45:M45"/>
    <mergeCell ref="N45:S45"/>
    <mergeCell ref="T45:Y45"/>
    <mergeCell ref="Z45:AE45"/>
    <mergeCell ref="Z42:AE42"/>
    <mergeCell ref="AF42:AK42"/>
    <mergeCell ref="Z43:AE43"/>
    <mergeCell ref="H34:S34"/>
    <mergeCell ref="Z34:AK34"/>
    <mergeCell ref="N41:S41"/>
    <mergeCell ref="T41:Y41"/>
    <mergeCell ref="Z41:AE41"/>
    <mergeCell ref="AF41:AK41"/>
    <mergeCell ref="N40:S40"/>
    <mergeCell ref="C42:M42"/>
    <mergeCell ref="C43:M43"/>
    <mergeCell ref="N43:S43"/>
    <mergeCell ref="T43:Y43"/>
    <mergeCell ref="N42:S42"/>
    <mergeCell ref="T42:Y42"/>
    <mergeCell ref="AF43:AK43"/>
    <mergeCell ref="N39:S39"/>
    <mergeCell ref="T39:Y39"/>
    <mergeCell ref="Z39:AE39"/>
    <mergeCell ref="B5:O5"/>
    <mergeCell ref="X23:AK23"/>
    <mergeCell ref="W33:AK33"/>
    <mergeCell ref="Z25:AK25"/>
    <mergeCell ref="H25:S25"/>
    <mergeCell ref="M19:AK19"/>
    <mergeCell ref="M29:AK29"/>
    <mergeCell ref="W24:AK24"/>
    <mergeCell ref="T40:Y40"/>
    <mergeCell ref="Z40:AE40"/>
    <mergeCell ref="AF40:AK40"/>
    <mergeCell ref="AF39:AK39"/>
  </mergeCells>
  <phoneticPr fontId="60" type="noConversion"/>
  <pageMargins left="0.54" right="0.28999999999999998" top="0.59" bottom="0.57999999999999996" header="0.36" footer="0.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82</vt:i4>
      </vt:variant>
    </vt:vector>
  </HeadingPairs>
  <TitlesOfParts>
    <vt:vector size="119" baseType="lpstr">
      <vt:lpstr>GK</vt:lpstr>
      <vt:lpstr>MP</vt:lpstr>
      <vt:lpstr>unos</vt:lpstr>
      <vt:lpstr>UNOS_POREZNI BILANS</vt:lpstr>
      <vt:lpstr>UNOS1</vt:lpstr>
      <vt:lpstr>UNOS-INV01</vt:lpstr>
      <vt:lpstr>biljeske</vt:lpstr>
      <vt:lpstr>bilans-stanja</vt:lpstr>
      <vt:lpstr>bilans-uspjeha</vt:lpstr>
      <vt:lpstr>PROM.KAP1.</vt:lpstr>
      <vt:lpstr>PROM.KAP2.</vt:lpstr>
      <vt:lpstr>got.tok_ind</vt:lpstr>
      <vt:lpstr>pos.podaci</vt:lpstr>
      <vt:lpstr>STAT.ANEX 1</vt:lpstr>
      <vt:lpstr>Obrazac_ANEKS</vt:lpstr>
      <vt:lpstr>INV01-A</vt:lpstr>
      <vt:lpstr>INV01-B</vt:lpstr>
      <vt:lpstr>INV01-C</vt:lpstr>
      <vt:lpstr>obr.tz-2</vt:lpstr>
      <vt:lpstr>Obrazac_ZS</vt:lpstr>
      <vt:lpstr>obr.OVN</vt:lpstr>
      <vt:lpstr>obr.DOP.KOMORAMA</vt:lpstr>
      <vt:lpstr>obrazac.ONŠ</vt:lpstr>
      <vt:lpstr>Porezna prijava</vt:lpstr>
      <vt:lpstr>porezni bilans</vt:lpstr>
      <vt:lpstr>IZJAVA</vt:lpstr>
      <vt:lpstr>Obrazac GU-DOB</vt:lpstr>
      <vt:lpstr>Obrazac IZ-DOB</vt:lpstr>
      <vt:lpstr>PREGLED</vt:lpstr>
      <vt:lpstr>PRIJAVA ULOGA</vt:lpstr>
      <vt:lpstr>OBR.RAZVRSTAVANJA</vt:lpstr>
      <vt:lpstr>odl.rasp.dobiti</vt:lpstr>
      <vt:lpstr>odl.pokr.gubitka</vt:lpstr>
      <vt:lpstr>god.iz.posl</vt:lpstr>
      <vt:lpstr>odl.utvr.izvj</vt:lpstr>
      <vt:lpstr>DOPIS</vt:lpstr>
      <vt:lpstr>Obr.From P-OD</vt:lpstr>
      <vt:lpstr>AOPBB</vt:lpstr>
      <vt:lpstr>AOPZ5</vt:lpstr>
      <vt:lpstr>AOPZ5SK</vt:lpstr>
      <vt:lpstr>AOPZ6</vt:lpstr>
      <vt:lpstr>AOPZ6SK</vt:lpstr>
      <vt:lpstr>BrutoBilans</vt:lpstr>
      <vt:lpstr>BrutoBilansSK</vt:lpstr>
      <vt:lpstr>Duguje</vt:lpstr>
      <vt:lpstr>DugujePS</vt:lpstr>
      <vt:lpstr>DugujeSk</vt:lpstr>
      <vt:lpstr>DugujeSkPS</vt:lpstr>
      <vt:lpstr>DugujeSkTP</vt:lpstr>
      <vt:lpstr>DugujeTP</vt:lpstr>
      <vt:lpstr>DugujeZ5</vt:lpstr>
      <vt:lpstr>DugujeZ5SK</vt:lpstr>
      <vt:lpstr>DugujeZ6</vt:lpstr>
      <vt:lpstr>DugujeZ6SK</vt:lpstr>
      <vt:lpstr>FirmaAdresa</vt:lpstr>
      <vt:lpstr>FirmaBanka1</vt:lpstr>
      <vt:lpstr>FirmaBanka2</vt:lpstr>
      <vt:lpstr>FirmaBanka3</vt:lpstr>
      <vt:lpstr>FirmaDirekor</vt:lpstr>
      <vt:lpstr>FirmaDjeNaziv</vt:lpstr>
      <vt:lpstr>FirmaDjeSifra</vt:lpstr>
      <vt:lpstr>FirmaFax</vt:lpstr>
      <vt:lpstr>FirmaID</vt:lpstr>
      <vt:lpstr>FirmaJMBG</vt:lpstr>
      <vt:lpstr>FirmaNaziv</vt:lpstr>
      <vt:lpstr>FirmaOpcina</vt:lpstr>
      <vt:lpstr>FirmaPDV</vt:lpstr>
      <vt:lpstr>FirmaPTT</vt:lpstr>
      <vt:lpstr>FirmaRacun1</vt:lpstr>
      <vt:lpstr>FirmaRacun2</vt:lpstr>
      <vt:lpstr>FirmaRacun3</vt:lpstr>
      <vt:lpstr>FirmaRegistracija</vt:lpstr>
      <vt:lpstr>FirmaRegistracijaSud</vt:lpstr>
      <vt:lpstr>FirmaSjediste</vt:lpstr>
      <vt:lpstr>FirmaTelefon</vt:lpstr>
      <vt:lpstr>FirmaZastupnik</vt:lpstr>
      <vt:lpstr>FirmaZastupnikAdresa</vt:lpstr>
      <vt:lpstr>Grupa1</vt:lpstr>
      <vt:lpstr>Grupa2</vt:lpstr>
      <vt:lpstr>Grupa3</vt:lpstr>
      <vt:lpstr>Grupa4</vt:lpstr>
      <vt:lpstr>KontoSk</vt:lpstr>
      <vt:lpstr>KontoZ5</vt:lpstr>
      <vt:lpstr>KontoZ5SK</vt:lpstr>
      <vt:lpstr>KontoZ6</vt:lpstr>
      <vt:lpstr>KontoZ6SK</vt:lpstr>
      <vt:lpstr>Nalog5</vt:lpstr>
      <vt:lpstr>Nalog5SK</vt:lpstr>
      <vt:lpstr>Nalog6</vt:lpstr>
      <vt:lpstr>Nalog6SK</vt:lpstr>
      <vt:lpstr>ObracunDoDatuma</vt:lpstr>
      <vt:lpstr>ObracunGodina</vt:lpstr>
      <vt:lpstr>ObracunOdDatuma</vt:lpstr>
      <vt:lpstr>ObracunPredaja</vt:lpstr>
      <vt:lpstr>Potrazuje</vt:lpstr>
      <vt:lpstr>PotrazujePS</vt:lpstr>
      <vt:lpstr>PotrazujeSk</vt:lpstr>
      <vt:lpstr>PotrazujeSkPS</vt:lpstr>
      <vt:lpstr>PotrazujeSkTP</vt:lpstr>
      <vt:lpstr>PotrazujeTP</vt:lpstr>
      <vt:lpstr>PotrazujeZ5</vt:lpstr>
      <vt:lpstr>PotrazujeZ5SK</vt:lpstr>
      <vt:lpstr>PotrazujeZ6</vt:lpstr>
      <vt:lpstr>PotrazujeZ6SK</vt:lpstr>
      <vt:lpstr>RacunovodjaAdresa</vt:lpstr>
      <vt:lpstr>RacunovodjaID</vt:lpstr>
      <vt:lpstr>RacunovodjaIme</vt:lpstr>
      <vt:lpstr>RacunovodjaLicenca</vt:lpstr>
      <vt:lpstr>RacunovodjaTelefon</vt:lpstr>
      <vt:lpstr>Saldo</vt:lpstr>
      <vt:lpstr>SaldoPS</vt:lpstr>
      <vt:lpstr>SaldoSk</vt:lpstr>
      <vt:lpstr>SaldoSkPS</vt:lpstr>
      <vt:lpstr>SaldoSkTP</vt:lpstr>
      <vt:lpstr>SaldoTP</vt:lpstr>
      <vt:lpstr>SaldoZ5</vt:lpstr>
      <vt:lpstr>SaldoZ5SK</vt:lpstr>
      <vt:lpstr>SaldoZ6</vt:lpstr>
      <vt:lpstr>SaldoZ6SK</vt:lpstr>
    </vt:vector>
  </TitlesOfParts>
  <Company>AOP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 Cohodar</dc:creator>
  <cp:lastModifiedBy>Enes</cp:lastModifiedBy>
  <cp:lastPrinted>2012-01-29T09:11:37Z</cp:lastPrinted>
  <dcterms:created xsi:type="dcterms:W3CDTF">2001-05-05T07:45:36Z</dcterms:created>
  <dcterms:modified xsi:type="dcterms:W3CDTF">2012-02-11T10:18:11Z</dcterms:modified>
</cp:coreProperties>
</file>