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ion.ptservidor.net:2078/"/>
    </mc:Choice>
  </mc:AlternateContent>
  <xr:revisionPtr revIDLastSave="0" documentId="8_{6755204D-D720-49A3-AEB4-F97F53329C01}" xr6:coauthVersionLast="45" xr6:coauthVersionMax="45" xr10:uidLastSave="{00000000-0000-0000-0000-000000000000}"/>
  <bookViews>
    <workbookView xWindow="-120" yWindow="-120" windowWidth="29040" windowHeight="15840" activeTab="4" xr2:uid="{A473F569-FA49-443E-81A3-0D3B431CC529}"/>
  </bookViews>
  <sheets>
    <sheet name="Folha2 (2)" sheetId="5" r:id="rId1"/>
    <sheet name="Folha1" sheetId="1" r:id="rId2"/>
    <sheet name="Folha2" sheetId="2" r:id="rId3"/>
    <sheet name="Folha3" sheetId="3" r:id="rId4"/>
    <sheet name="Folha4" sheetId="4" r:id="rId5"/>
    <sheet name="Folha5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3" i="5" l="1"/>
  <c r="E39" i="5"/>
  <c r="M27" i="5"/>
  <c r="H10" i="5"/>
  <c r="H27" i="5" s="1"/>
  <c r="D10" i="5"/>
  <c r="D24" i="5" s="1"/>
  <c r="E14" i="5"/>
  <c r="M33" i="5"/>
  <c r="M32" i="5"/>
  <c r="M31" i="5"/>
  <c r="B28" i="5"/>
  <c r="B21" i="5"/>
  <c r="M20" i="5"/>
  <c r="M19" i="5"/>
  <c r="M18" i="5"/>
  <c r="M17" i="5"/>
  <c r="M16" i="5"/>
  <c r="M15" i="5"/>
  <c r="D7" i="5"/>
  <c r="B6" i="5"/>
  <c r="I5" i="5"/>
  <c r="I8" i="5" s="1"/>
  <c r="H5" i="5"/>
  <c r="H8" i="5" s="1"/>
  <c r="G5" i="5"/>
  <c r="F5" i="5"/>
  <c r="F8" i="5" s="1"/>
  <c r="E5" i="5"/>
  <c r="E8" i="5" s="1"/>
  <c r="D5" i="5"/>
  <c r="D6" i="5" s="1"/>
  <c r="G4" i="5"/>
  <c r="F4" i="5"/>
  <c r="F10" i="5" s="1"/>
  <c r="E4" i="5"/>
  <c r="E10" i="5" s="1"/>
  <c r="J3" i="5"/>
  <c r="E33" i="5" l="1"/>
  <c r="E23" i="5"/>
  <c r="E18" i="5"/>
  <c r="E27" i="5"/>
  <c r="E26" i="5"/>
  <c r="E19" i="5"/>
  <c r="E32" i="5"/>
  <c r="E25" i="5"/>
  <c r="E31" i="5"/>
  <c r="E24" i="5"/>
  <c r="E16" i="5"/>
  <c r="E20" i="5"/>
  <c r="E17" i="5"/>
  <c r="F32" i="5"/>
  <c r="F25" i="5"/>
  <c r="F17" i="5"/>
  <c r="F31" i="5"/>
  <c r="F20" i="5"/>
  <c r="F33" i="5"/>
  <c r="F23" i="5"/>
  <c r="F18" i="5"/>
  <c r="F16" i="5"/>
  <c r="F27" i="5"/>
  <c r="F26" i="5"/>
  <c r="F19" i="5"/>
  <c r="F24" i="5"/>
  <c r="H18" i="5"/>
  <c r="D17" i="5"/>
  <c r="H17" i="5"/>
  <c r="H25" i="5"/>
  <c r="D26" i="5"/>
  <c r="D27" i="5"/>
  <c r="D32" i="5"/>
  <c r="H32" i="5"/>
  <c r="D18" i="5"/>
  <c r="H23" i="5"/>
  <c r="D31" i="5"/>
  <c r="E15" i="5"/>
  <c r="D16" i="5"/>
  <c r="H20" i="5"/>
  <c r="H16" i="5"/>
  <c r="D23" i="5"/>
  <c r="H24" i="5"/>
  <c r="D25" i="5"/>
  <c r="D33" i="5"/>
  <c r="H31" i="5"/>
  <c r="H33" i="5"/>
  <c r="F15" i="5"/>
  <c r="D19" i="5"/>
  <c r="D20" i="5"/>
  <c r="H19" i="5"/>
  <c r="H26" i="5"/>
  <c r="I10" i="5"/>
  <c r="D15" i="5"/>
  <c r="F6" i="5"/>
  <c r="F7" i="5"/>
  <c r="G8" i="5"/>
  <c r="F14" i="5"/>
  <c r="I7" i="5"/>
  <c r="H7" i="5"/>
  <c r="E7" i="5"/>
  <c r="H15" i="5"/>
  <c r="H14" i="5"/>
  <c r="G7" i="5"/>
  <c r="G6" i="5"/>
  <c r="G10" i="5" s="1"/>
  <c r="D8" i="5"/>
  <c r="J5" i="5"/>
  <c r="H6" i="5"/>
  <c r="E6" i="5"/>
  <c r="I6" i="5"/>
  <c r="J4" i="5"/>
  <c r="L28" i="3"/>
  <c r="I36" i="3"/>
  <c r="J32" i="3" s="1"/>
  <c r="K32" i="3" s="1"/>
  <c r="L32" i="3" s="1"/>
  <c r="M27" i="2"/>
  <c r="M33" i="2"/>
  <c r="M32" i="2"/>
  <c r="M31" i="2"/>
  <c r="M20" i="2"/>
  <c r="M19" i="2"/>
  <c r="M18" i="2"/>
  <c r="M17" i="2"/>
  <c r="M16" i="2"/>
  <c r="M15" i="2"/>
  <c r="J33" i="3" l="1"/>
  <c r="K33" i="3" s="1"/>
  <c r="L33" i="3" s="1"/>
  <c r="J35" i="3"/>
  <c r="K35" i="3" s="1"/>
  <c r="J31" i="3"/>
  <c r="J34" i="3"/>
  <c r="K34" i="3" s="1"/>
  <c r="L34" i="3" s="1"/>
  <c r="J30" i="3"/>
  <c r="K30" i="3" s="1"/>
  <c r="L30" i="3" s="1"/>
  <c r="J29" i="3"/>
  <c r="K29" i="3" s="1"/>
  <c r="L29" i="3" s="1"/>
  <c r="G31" i="5"/>
  <c r="G24" i="5"/>
  <c r="G16" i="5"/>
  <c r="G20" i="5"/>
  <c r="G26" i="5"/>
  <c r="G32" i="5"/>
  <c r="G25" i="5"/>
  <c r="G17" i="5"/>
  <c r="G27" i="5"/>
  <c r="J27" i="5" s="1"/>
  <c r="G19" i="5"/>
  <c r="G33" i="5"/>
  <c r="G23" i="5"/>
  <c r="G18" i="5"/>
  <c r="I33" i="5"/>
  <c r="I23" i="5"/>
  <c r="I18" i="5"/>
  <c r="J18" i="5" s="1"/>
  <c r="N18" i="5" s="1"/>
  <c r="I25" i="5"/>
  <c r="I27" i="5"/>
  <c r="I26" i="5"/>
  <c r="I19" i="5"/>
  <c r="I17" i="5"/>
  <c r="I31" i="5"/>
  <c r="I24" i="5"/>
  <c r="I16" i="5"/>
  <c r="I20" i="5"/>
  <c r="I32" i="5"/>
  <c r="I15" i="5"/>
  <c r="J10" i="5"/>
  <c r="K10" i="5" s="1"/>
  <c r="G15" i="5"/>
  <c r="I14" i="5"/>
  <c r="J6" i="5"/>
  <c r="K6" i="5" s="1"/>
  <c r="G14" i="5"/>
  <c r="J33" i="5"/>
  <c r="N33" i="5" s="1"/>
  <c r="D14" i="5"/>
  <c r="K31" i="3"/>
  <c r="L31" i="3" s="1"/>
  <c r="J23" i="5" l="1"/>
  <c r="N23" i="5" s="1"/>
  <c r="J26" i="5"/>
  <c r="J32" i="5"/>
  <c r="N32" i="5" s="1"/>
  <c r="J24" i="5"/>
  <c r="K27" i="5"/>
  <c r="J29" i="5"/>
  <c r="J16" i="5"/>
  <c r="N16" i="5" s="1"/>
  <c r="J25" i="5"/>
  <c r="K25" i="5" s="1"/>
  <c r="J19" i="5"/>
  <c r="J20" i="5"/>
  <c r="J31" i="5"/>
  <c r="N31" i="5" s="1"/>
  <c r="O33" i="5" s="1"/>
  <c r="J15" i="5"/>
  <c r="N15" i="5" s="1"/>
  <c r="N27" i="5"/>
  <c r="J17" i="5"/>
  <c r="N26" i="5"/>
  <c r="K26" i="5"/>
  <c r="N20" i="5" l="1"/>
  <c r="P20" i="5"/>
  <c r="N19" i="5"/>
  <c r="P19" i="5"/>
  <c r="Q20" i="5" s="1"/>
  <c r="R20" i="5" s="1"/>
  <c r="R21" i="5" s="1"/>
  <c r="K24" i="5"/>
  <c r="N24" i="5"/>
  <c r="N25" i="5"/>
  <c r="O27" i="5" s="1"/>
  <c r="K17" i="5"/>
  <c r="N17" i="5"/>
  <c r="O20" i="5" l="1"/>
  <c r="P27" i="5" s="1"/>
  <c r="D3" i="3"/>
  <c r="E3" i="3" s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B28" i="2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3" i="3"/>
  <c r="I20" i="3"/>
  <c r="K20" i="3" s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3" i="3"/>
  <c r="D5" i="2" l="1"/>
  <c r="D6" i="2" s="1"/>
  <c r="D10" i="2" s="1"/>
  <c r="F15" i="2"/>
  <c r="F16" i="2"/>
  <c r="F17" i="2"/>
  <c r="F19" i="2"/>
  <c r="B21" i="2"/>
  <c r="F13" i="2"/>
  <c r="H11" i="2"/>
  <c r="F11" i="2"/>
  <c r="E11" i="2"/>
  <c r="F10" i="2"/>
  <c r="E10" i="2"/>
  <c r="E7" i="2"/>
  <c r="I8" i="2"/>
  <c r="D8" i="2"/>
  <c r="D7" i="2"/>
  <c r="B6" i="2"/>
  <c r="E5" i="2"/>
  <c r="E8" i="2" s="1"/>
  <c r="F5" i="2"/>
  <c r="F8" i="2" s="1"/>
  <c r="G5" i="2"/>
  <c r="G11" i="2" s="1"/>
  <c r="H5" i="2"/>
  <c r="H8" i="2" s="1"/>
  <c r="I5" i="2"/>
  <c r="I11" i="2" s="1"/>
  <c r="F4" i="2"/>
  <c r="G4" i="2"/>
  <c r="H4" i="2"/>
  <c r="I4" i="2"/>
  <c r="E4" i="2"/>
  <c r="E6" i="2" s="1"/>
  <c r="J3" i="2"/>
  <c r="D19" i="1"/>
  <c r="E15" i="1"/>
  <c r="P5" i="1"/>
  <c r="M5" i="1"/>
  <c r="J5" i="1"/>
  <c r="I5" i="1"/>
  <c r="G5" i="1"/>
  <c r="H5" i="1" s="1"/>
  <c r="K5" i="1" s="1"/>
  <c r="N5" i="1" s="1"/>
  <c r="Q5" i="1" s="1"/>
  <c r="R5" i="1" s="1"/>
  <c r="S5" i="1" s="1"/>
  <c r="T5" i="1" l="1"/>
  <c r="U5" i="1"/>
  <c r="G8" i="2"/>
  <c r="J4" i="2"/>
  <c r="J6" i="2" s="1"/>
  <c r="K6" i="2" s="1"/>
  <c r="E13" i="2"/>
  <c r="H6" i="2"/>
  <c r="H10" i="2"/>
  <c r="J10" i="2" s="1"/>
  <c r="K10" i="2" s="1"/>
  <c r="F31" i="2"/>
  <c r="F32" i="2"/>
  <c r="F23" i="2"/>
  <c r="F33" i="2"/>
  <c r="F27" i="2"/>
  <c r="F24" i="2"/>
  <c r="F14" i="2"/>
  <c r="F26" i="2"/>
  <c r="F25" i="2"/>
  <c r="F20" i="2"/>
  <c r="G6" i="2"/>
  <c r="G10" i="2" s="1"/>
  <c r="I7" i="2"/>
  <c r="G13" i="2"/>
  <c r="F6" i="2"/>
  <c r="H7" i="2"/>
  <c r="H13" i="2"/>
  <c r="F18" i="2"/>
  <c r="I10" i="2"/>
  <c r="J5" i="2"/>
  <c r="G7" i="2"/>
  <c r="I13" i="2"/>
  <c r="D13" i="2"/>
  <c r="D11" i="2"/>
  <c r="F7" i="2"/>
  <c r="I6" i="2"/>
  <c r="G32" i="2" l="1"/>
  <c r="G33" i="2"/>
  <c r="G31" i="2"/>
  <c r="G27" i="2"/>
  <c r="G14" i="2"/>
  <c r="G26" i="2"/>
  <c r="G24" i="2"/>
  <c r="G25" i="2"/>
  <c r="G23" i="2"/>
  <c r="G16" i="2"/>
  <c r="G18" i="2"/>
  <c r="G17" i="2"/>
  <c r="G19" i="2"/>
  <c r="G15" i="2"/>
  <c r="G20" i="2"/>
  <c r="H32" i="2"/>
  <c r="H31" i="2"/>
  <c r="H33" i="2"/>
  <c r="H25" i="2"/>
  <c r="H26" i="2"/>
  <c r="H27" i="2"/>
  <c r="H14" i="2"/>
  <c r="H24" i="2"/>
  <c r="J24" i="2" s="1"/>
  <c r="H23" i="2"/>
  <c r="H19" i="2"/>
  <c r="H20" i="2"/>
  <c r="H16" i="2"/>
  <c r="H17" i="2"/>
  <c r="H18" i="2"/>
  <c r="H15" i="2"/>
  <c r="I31" i="2"/>
  <c r="I32" i="2"/>
  <c r="I33" i="2"/>
  <c r="I26" i="2"/>
  <c r="I25" i="2"/>
  <c r="I14" i="2"/>
  <c r="I24" i="2"/>
  <c r="I27" i="2"/>
  <c r="I23" i="2"/>
  <c r="I15" i="2"/>
  <c r="I19" i="2"/>
  <c r="I16" i="2"/>
  <c r="I20" i="2"/>
  <c r="I17" i="2"/>
  <c r="I18" i="2"/>
  <c r="D33" i="2"/>
  <c r="D32" i="2"/>
  <c r="D31" i="2"/>
  <c r="J31" i="2" s="1"/>
  <c r="N31" i="2" s="1"/>
  <c r="D14" i="2"/>
  <c r="D23" i="2"/>
  <c r="D26" i="2"/>
  <c r="D24" i="2"/>
  <c r="D27" i="2"/>
  <c r="D25" i="2"/>
  <c r="E31" i="2"/>
  <c r="E33" i="2"/>
  <c r="E32" i="2"/>
  <c r="E24" i="2"/>
  <c r="E27" i="2"/>
  <c r="E25" i="2"/>
  <c r="E26" i="2"/>
  <c r="E14" i="2"/>
  <c r="E23" i="2"/>
  <c r="E18" i="2"/>
  <c r="E20" i="2"/>
  <c r="E15" i="2"/>
  <c r="E17" i="2"/>
  <c r="E19" i="2"/>
  <c r="E16" i="2"/>
  <c r="D16" i="2"/>
  <c r="J16" i="2" s="1"/>
  <c r="D20" i="2"/>
  <c r="J20" i="2" s="1"/>
  <c r="N20" i="2" s="1"/>
  <c r="D17" i="2"/>
  <c r="J17" i="2" s="1"/>
  <c r="D15" i="2"/>
  <c r="D18" i="2"/>
  <c r="D19" i="2"/>
  <c r="J13" i="2"/>
  <c r="N24" i="2" l="1"/>
  <c r="K24" i="2"/>
  <c r="N16" i="2"/>
  <c r="E10" i="3"/>
  <c r="E9" i="3"/>
  <c r="E18" i="3"/>
  <c r="E6" i="3"/>
  <c r="F6" i="3" s="1"/>
  <c r="E7" i="3"/>
  <c r="F7" i="3" s="1"/>
  <c r="E20" i="3"/>
  <c r="E12" i="3"/>
  <c r="E17" i="3"/>
  <c r="E4" i="3"/>
  <c r="F4" i="3" s="1"/>
  <c r="E13" i="3"/>
  <c r="E15" i="3"/>
  <c r="E5" i="3"/>
  <c r="F5" i="3" s="1"/>
  <c r="E16" i="3"/>
  <c r="E19" i="3"/>
  <c r="E11" i="3"/>
  <c r="E8" i="3"/>
  <c r="E14" i="3"/>
  <c r="J25" i="2"/>
  <c r="J27" i="2"/>
  <c r="J19" i="2"/>
  <c r="N19" i="2" s="1"/>
  <c r="J26" i="2"/>
  <c r="J23" i="2"/>
  <c r="N23" i="2" s="1"/>
  <c r="N17" i="2"/>
  <c r="K17" i="2"/>
  <c r="L16" i="3"/>
  <c r="L3" i="3"/>
  <c r="L9" i="3"/>
  <c r="L17" i="3"/>
  <c r="L13" i="3"/>
  <c r="L8" i="3"/>
  <c r="L4" i="3"/>
  <c r="L19" i="3"/>
  <c r="L14" i="3"/>
  <c r="L12" i="3"/>
  <c r="L20" i="3"/>
  <c r="L15" i="3"/>
  <c r="L6" i="3"/>
  <c r="L7" i="3"/>
  <c r="L18" i="3"/>
  <c r="L5" i="3"/>
  <c r="L10" i="3"/>
  <c r="L11" i="3"/>
  <c r="J32" i="2"/>
  <c r="N32" i="2" s="1"/>
  <c r="O33" i="2" s="1"/>
  <c r="J33" i="2"/>
  <c r="N33" i="2" s="1"/>
  <c r="J18" i="2"/>
  <c r="J15" i="2"/>
  <c r="N15" i="2" s="1"/>
  <c r="K13" i="2"/>
  <c r="N25" i="2" l="1"/>
  <c r="K25" i="2"/>
  <c r="J29" i="2"/>
  <c r="N27" i="2"/>
  <c r="K27" i="2"/>
  <c r="O27" i="2"/>
  <c r="N18" i="2"/>
  <c r="O20" i="2" s="1"/>
  <c r="P27" i="2" s="1"/>
  <c r="S15" i="3"/>
  <c r="S10" i="3"/>
  <c r="S4" i="3"/>
  <c r="S7" i="3"/>
  <c r="S22" i="3"/>
  <c r="S9" i="3"/>
  <c r="S6" i="3"/>
  <c r="S19" i="3"/>
  <c r="S13" i="3"/>
  <c r="S5" i="3"/>
  <c r="S11" i="3"/>
  <c r="S14" i="3"/>
  <c r="S16" i="3"/>
  <c r="S26" i="3"/>
  <c r="S21" i="3"/>
  <c r="S17" i="3"/>
  <c r="S25" i="3"/>
  <c r="S23" i="3"/>
  <c r="S12" i="3"/>
  <c r="S20" i="3"/>
  <c r="S8" i="3"/>
  <c r="S18" i="3"/>
  <c r="S24" i="3"/>
  <c r="S3" i="3"/>
  <c r="N26" i="2"/>
  <c r="K26" i="2"/>
</calcChain>
</file>

<file path=xl/sharedStrings.xml><?xml version="1.0" encoding="utf-8"?>
<sst xmlns="http://schemas.openxmlformats.org/spreadsheetml/2006/main" count="331" uniqueCount="193">
  <si>
    <t>Calculo Valor Ementas Grupo</t>
  </si>
  <si>
    <t>Prato 1</t>
  </si>
  <si>
    <t>Prato 2</t>
  </si>
  <si>
    <t>Nome</t>
  </si>
  <si>
    <t>Valor</t>
  </si>
  <si>
    <t>Pessoas:</t>
  </si>
  <si>
    <t>Gisela</t>
  </si>
  <si>
    <t>Black Mamba</t>
  </si>
  <si>
    <t>Anselmo</t>
  </si>
  <si>
    <t>Piçarra</t>
  </si>
  <si>
    <t>Tributo aos XUTOS</t>
  </si>
  <si>
    <t>Bacalhau</t>
  </si>
  <si>
    <t>ALMOÇO</t>
  </si>
  <si>
    <t>JANTAR</t>
  </si>
  <si>
    <t>Sopa</t>
  </si>
  <si>
    <t>Caril</t>
  </si>
  <si>
    <t>Tempo</t>
  </si>
  <si>
    <t>Correcção</t>
  </si>
  <si>
    <t>mesas</t>
  </si>
  <si>
    <t>Bochecha</t>
  </si>
  <si>
    <t>Salada frango</t>
  </si>
  <si>
    <t>Salada Salmão</t>
  </si>
  <si>
    <t>kg</t>
  </si>
  <si>
    <t>Batatas palito (frescas)</t>
  </si>
  <si>
    <t xml:space="preserve">Camarão sem cabeça </t>
  </si>
  <si>
    <t xml:space="preserve">Leite </t>
  </si>
  <si>
    <t>Lt</t>
  </si>
  <si>
    <t>Natas</t>
  </si>
  <si>
    <t xml:space="preserve">Cenoura </t>
  </si>
  <si>
    <t>Cebola</t>
  </si>
  <si>
    <t xml:space="preserve">Maizena </t>
  </si>
  <si>
    <t>Noz moscada</t>
  </si>
  <si>
    <t>Pimenta moída</t>
  </si>
  <si>
    <t>Kg</t>
  </si>
  <si>
    <t>Anchovas</t>
  </si>
  <si>
    <t>Vinho branco</t>
  </si>
  <si>
    <t>Azeite</t>
  </si>
  <si>
    <t>Knorr Marisco</t>
  </si>
  <si>
    <t>Alho</t>
  </si>
  <si>
    <t>Pão centeio</t>
  </si>
  <si>
    <t>Un</t>
  </si>
  <si>
    <t>Pão Broa de milho</t>
  </si>
  <si>
    <t>Sal</t>
  </si>
  <si>
    <t>Bacalhau á Presidente</t>
  </si>
  <si>
    <t>Molho Caril Vermelho da Thailandia</t>
  </si>
  <si>
    <t xml:space="preserve">Cebola Roxa </t>
  </si>
  <si>
    <t>Alhos</t>
  </si>
  <si>
    <t>Pimentos Italianos Vermelhos</t>
  </si>
  <si>
    <t xml:space="preserve">Acafrao da Terra </t>
  </si>
  <si>
    <t>Gemgibre</t>
  </si>
  <si>
    <t xml:space="preserve">Galengal </t>
  </si>
  <si>
    <t>un.</t>
  </si>
  <si>
    <t xml:space="preserve">Cha de caril </t>
  </si>
  <si>
    <t>Pasta de Tomerique</t>
  </si>
  <si>
    <t xml:space="preserve">Coentros Frescos </t>
  </si>
  <si>
    <t xml:space="preserve">Cominhos Sementes </t>
  </si>
  <si>
    <t xml:space="preserve">Coentros Sementes </t>
  </si>
  <si>
    <t xml:space="preserve">Folha de Caril </t>
  </si>
  <si>
    <t>Lime Leaf</t>
  </si>
  <si>
    <t xml:space="preserve">Pimenta da Jamaica </t>
  </si>
  <si>
    <t>Vagem de Baunilha</t>
  </si>
  <si>
    <t xml:space="preserve">Cravinho </t>
  </si>
  <si>
    <t>Alho seco</t>
  </si>
  <si>
    <t>Bochechas Guizadas</t>
  </si>
  <si>
    <t>Bochechas</t>
  </si>
  <si>
    <t>Cebola Roxa</t>
  </si>
  <si>
    <t>Cebola Branca</t>
  </si>
  <si>
    <t>Alho Francês</t>
  </si>
  <si>
    <t>Cenoura</t>
  </si>
  <si>
    <t>Tomate</t>
  </si>
  <si>
    <t>Mostarda</t>
  </si>
  <si>
    <t>Vinagre Balsamico</t>
  </si>
  <si>
    <t>ml</t>
  </si>
  <si>
    <t>Molho Ingles</t>
  </si>
  <si>
    <t>Cravinho</t>
  </si>
  <si>
    <t>un</t>
  </si>
  <si>
    <t>Louro</t>
  </si>
  <si>
    <t>Pimenta em Grão</t>
  </si>
  <si>
    <t>Cominhos</t>
  </si>
  <si>
    <t>Coentros Moidos</t>
  </si>
  <si>
    <t>Korcuma</t>
  </si>
  <si>
    <t>Laranja</t>
  </si>
  <si>
    <t>Limão</t>
  </si>
  <si>
    <t>Vinho Tinto</t>
  </si>
  <si>
    <t>Pimentão Doce</t>
  </si>
  <si>
    <t>Salsa Fresca</t>
  </si>
  <si>
    <t>Coentros Frescos</t>
  </si>
  <si>
    <t>Sumos</t>
  </si>
  <si>
    <t>V.Tinto</t>
  </si>
  <si>
    <t>V.Branco</t>
  </si>
  <si>
    <t>V.Verde</t>
  </si>
  <si>
    <t>Sangria</t>
  </si>
  <si>
    <t>Rosé</t>
  </si>
  <si>
    <t>pão branco</t>
  </si>
  <si>
    <t>pão preto</t>
  </si>
  <si>
    <t>pão amarelo</t>
  </si>
  <si>
    <t>Batata Fritar</t>
  </si>
  <si>
    <t>Alho descascado</t>
  </si>
  <si>
    <t>Salsa</t>
  </si>
  <si>
    <t>Coentro</t>
  </si>
  <si>
    <t>mlh</t>
  </si>
  <si>
    <t>Preços</t>
  </si>
  <si>
    <t>Pratos</t>
  </si>
  <si>
    <t>Caril de Gambas</t>
  </si>
  <si>
    <t>Salada de Salmão</t>
  </si>
  <si>
    <t>Salada de Frango</t>
  </si>
  <si>
    <t>Acompanhamentos</t>
  </si>
  <si>
    <t>Batata Frita Saco Peq.</t>
  </si>
  <si>
    <t>Bola Albarroba</t>
  </si>
  <si>
    <t>Bola Rústica</t>
  </si>
  <si>
    <t>Bebidas</t>
  </si>
  <si>
    <t>Refrigerantes de Lata</t>
  </si>
  <si>
    <t>Agua Natural 33 cl</t>
  </si>
  <si>
    <t>Agua c/ Gás</t>
  </si>
  <si>
    <t>Vinho Tinto Caiado Garrafa</t>
  </si>
  <si>
    <t>Vinho Branco Caiado Garrafa</t>
  </si>
  <si>
    <t>Bochecha de Porco Guizada</t>
  </si>
  <si>
    <t>Baguete Milho e Girassol</t>
  </si>
  <si>
    <t>Sobremesa</t>
  </si>
  <si>
    <t>Mousse de Lima</t>
  </si>
  <si>
    <t>Sumo FV</t>
  </si>
  <si>
    <t>Licor</t>
  </si>
  <si>
    <t>Vinho Rose</t>
  </si>
  <si>
    <t>Caldo Cana</t>
  </si>
  <si>
    <t>Caldo Morango</t>
  </si>
  <si>
    <t>gasosa</t>
  </si>
  <si>
    <t>Hortelã/gelo</t>
  </si>
  <si>
    <t>Sangria Frutos Vermelhos</t>
  </si>
  <si>
    <t>Copo</t>
  </si>
  <si>
    <t>Garrafa</t>
  </si>
  <si>
    <t>Meio Litro</t>
  </si>
  <si>
    <t xml:space="preserve">Copo </t>
  </si>
  <si>
    <t>Vinho Verde  - Cascas</t>
  </si>
  <si>
    <t>Vinho Tinto - Cascas</t>
  </si>
  <si>
    <t>Vinho Branco - Cascas</t>
  </si>
  <si>
    <t xml:space="preserve">Broa </t>
  </si>
  <si>
    <t>Salada</t>
  </si>
  <si>
    <t>Pão Rustico</t>
  </si>
  <si>
    <t>Pão Amarelo</t>
  </si>
  <si>
    <t>Pão Preto</t>
  </si>
  <si>
    <t>"Cruton"</t>
  </si>
  <si>
    <t>Arroz Branco</t>
  </si>
  <si>
    <t>Arroz Selvagem</t>
  </si>
  <si>
    <t>Gasoso</t>
  </si>
  <si>
    <t>Açucar Cana</t>
  </si>
  <si>
    <t>Xaropa Morango</t>
  </si>
  <si>
    <t>Camarão</t>
  </si>
  <si>
    <t>Frango</t>
  </si>
  <si>
    <t>Salmão</t>
  </si>
  <si>
    <t>7 up</t>
  </si>
  <si>
    <t>Palitos</t>
  </si>
  <si>
    <t>Lima</t>
  </si>
  <si>
    <t>Makro</t>
  </si>
  <si>
    <t>Padeira</t>
  </si>
  <si>
    <t>Garcias</t>
  </si>
  <si>
    <t>PD</t>
  </si>
  <si>
    <t>Friguarda</t>
  </si>
  <si>
    <t>Sumo Frutos Vermelhos</t>
  </si>
  <si>
    <t>inter</t>
  </si>
  <si>
    <t>todos</t>
  </si>
  <si>
    <t>un 3kg</t>
  </si>
  <si>
    <t>un 0,5kg</t>
  </si>
  <si>
    <t>2l</t>
  </si>
  <si>
    <t>1,5 l</t>
  </si>
  <si>
    <t>Rolo de Papel</t>
  </si>
  <si>
    <t>Frigo</t>
  </si>
  <si>
    <t>Sxt, Sab, Dom</t>
  </si>
  <si>
    <t>Seg, Ter, Qua</t>
  </si>
  <si>
    <t>faltam 2 packs 12</t>
  </si>
  <si>
    <t>Chouriço</t>
  </si>
  <si>
    <t>Caldo Verde</t>
  </si>
  <si>
    <t>Luvas M</t>
  </si>
  <si>
    <t>Luvas L</t>
  </si>
  <si>
    <t>Frutos Vermelhos Cong</t>
  </si>
  <si>
    <t>GELO</t>
  </si>
  <si>
    <t>PD/Inter/ Makro</t>
  </si>
  <si>
    <t>faltam2</t>
  </si>
  <si>
    <t>falta 1</t>
  </si>
  <si>
    <t>comprar 10</t>
  </si>
  <si>
    <t>comprar 7</t>
  </si>
  <si>
    <t>cx</t>
  </si>
  <si>
    <t>compra 1</t>
  </si>
  <si>
    <t>compra 1 e depois sexta</t>
  </si>
  <si>
    <t>ver</t>
  </si>
  <si>
    <t>10 por dia</t>
  </si>
  <si>
    <t>20/40 dia</t>
  </si>
  <si>
    <t>JS</t>
  </si>
  <si>
    <t>falta 4</t>
  </si>
  <si>
    <t>falta 20</t>
  </si>
  <si>
    <t>Produtos Limpeza e higiene</t>
  </si>
  <si>
    <t>Frutos secos</t>
  </si>
  <si>
    <t>Nozes</t>
  </si>
  <si>
    <t>compra 1 cx para pesto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</si>
</sst>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\ dddd&quot;-&quot;dd\ mmm"/>
    <numFmt numFmtId="166" formatCode="_-* #,##0.000\ _€_-;\-* #,##0.000\ _€_-;_-* &quot;-&quot;??\ _€_-;_-@_-"/>
    <numFmt numFmtId="167" formatCode="_-* #,##0.000000\ _€_-;\-* #,##0.0000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  <xf numFmtId="2" fontId="0" fillId="0" borderId="1" xfId="0" applyNumberFormat="1" applyBorder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0" fillId="0" borderId="9" xfId="0" applyBorder="1"/>
    <xf numFmtId="0" fontId="2" fillId="0" borderId="9" xfId="0" applyFont="1" applyBorder="1" applyAlignment="1">
      <alignment vertical="center"/>
    </xf>
    <xf numFmtId="166" fontId="2" fillId="0" borderId="9" xfId="1" applyNumberFormat="1" applyFont="1" applyBorder="1" applyAlignment="1">
      <alignment horizontal="right" vertical="center"/>
    </xf>
    <xf numFmtId="0" fontId="3" fillId="0" borderId="9" xfId="0" applyFont="1" applyBorder="1" applyAlignment="1">
      <alignment vertical="center"/>
    </xf>
    <xf numFmtId="167" fontId="0" fillId="0" borderId="9" xfId="1" applyNumberFormat="1" applyFont="1" applyBorder="1"/>
    <xf numFmtId="0" fontId="0" fillId="4" borderId="9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9" xfId="0" applyFill="1" applyBorder="1"/>
    <xf numFmtId="0" fontId="2" fillId="7" borderId="9" xfId="0" applyFont="1" applyFill="1" applyBorder="1" applyAlignment="1">
      <alignment vertical="center"/>
    </xf>
    <xf numFmtId="0" fontId="0" fillId="8" borderId="9" xfId="0" applyFill="1" applyBorder="1"/>
    <xf numFmtId="0" fontId="2" fillId="8" borderId="9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9" borderId="9" xfId="0" applyFont="1" applyFill="1" applyBorder="1" applyAlignment="1">
      <alignment vertical="center"/>
    </xf>
    <xf numFmtId="0" fontId="0" fillId="9" borderId="9" xfId="0" applyFill="1" applyBorder="1"/>
    <xf numFmtId="0" fontId="2" fillId="10" borderId="9" xfId="0" applyFont="1" applyFill="1" applyBorder="1" applyAlignment="1">
      <alignment vertical="center"/>
    </xf>
    <xf numFmtId="0" fontId="0" fillId="10" borderId="9" xfId="0" applyFill="1" applyBorder="1"/>
    <xf numFmtId="0" fontId="2" fillId="11" borderId="9" xfId="0" applyFont="1" applyFill="1" applyBorder="1" applyAlignment="1">
      <alignment vertical="center"/>
    </xf>
    <xf numFmtId="0" fontId="0" fillId="11" borderId="9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1" fontId="0" fillId="0" borderId="0" xfId="0" applyNumberFormat="1"/>
    <xf numFmtId="0" fontId="0" fillId="0" borderId="9" xfId="0" applyFill="1" applyBorder="1"/>
    <xf numFmtId="44" fontId="0" fillId="0" borderId="0" xfId="0" applyNumberFormat="1"/>
    <xf numFmtId="44" fontId="0" fillId="0" borderId="9" xfId="2" applyFont="1" applyBorder="1"/>
    <xf numFmtId="0" fontId="0" fillId="14" borderId="9" xfId="0" applyFill="1" applyBorder="1"/>
    <xf numFmtId="44" fontId="0" fillId="0" borderId="0" xfId="2" applyFont="1"/>
    <xf numFmtId="9" fontId="0" fillId="0" borderId="0" xfId="3" applyFont="1"/>
    <xf numFmtId="0" fontId="0" fillId="0" borderId="9" xfId="0" applyBorder="1" applyAlignment="1">
      <alignment horizontal="center"/>
    </xf>
    <xf numFmtId="0" fontId="0" fillId="12" borderId="2" xfId="0" applyFill="1" applyBorder="1"/>
    <xf numFmtId="0" fontId="0" fillId="15" borderId="9" xfId="0" applyFill="1" applyBorder="1"/>
    <xf numFmtId="44" fontId="0" fillId="0" borderId="9" xfId="2" applyFont="1" applyBorder="1" applyAlignment="1">
      <alignment vertical="center"/>
    </xf>
    <xf numFmtId="44" fontId="0" fillId="0" borderId="9" xfId="2" applyFont="1" applyBorder="1" applyAlignment="1">
      <alignment horizontal="center" vertical="center"/>
    </xf>
    <xf numFmtId="44" fontId="0" fillId="0" borderId="9" xfId="2" applyFont="1" applyBorder="1" applyAlignment="1">
      <alignment horizontal="center"/>
    </xf>
    <xf numFmtId="0" fontId="0" fillId="0" borderId="9" xfId="0" applyBorder="1" applyAlignment="1">
      <alignment horizontal="center"/>
    </xf>
  </cellXfs>
  <cellStyles count="4">
    <cellStyle name="Moeda" xfId="2" builtinId="4"/>
    <cellStyle name="Normal" xfId="0" builtinId="0"/>
    <cellStyle name="Percentagem" xfId="3" builtinId="5"/>
    <cellStyle name="Vírgula" xfId="1" builtinId="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B517A-C691-4A3D-B8A5-3233A58A8803}">
  <dimension ref="A1:S68"/>
  <sheetViews>
    <sheetView showGridLines="0" workbookViewId="0">
      <selection activeCell="C41" sqref="C41"/>
    </sheetView>
  </sheetViews>
  <sheetFormatPr defaultRowHeight="15" x14ac:dyDescent="0.25"/>
  <cols>
    <col min="3" max="3" width="26" bestFit="1" customWidth="1"/>
    <col min="4" max="4" width="21.5703125" bestFit="1" customWidth="1"/>
    <col min="5" max="5" width="14.140625" bestFit="1" customWidth="1"/>
    <col min="6" max="6" width="15.7109375" bestFit="1" customWidth="1"/>
    <col min="7" max="7" width="24.28515625" bestFit="1" customWidth="1"/>
    <col min="8" max="8" width="21.140625" bestFit="1" customWidth="1"/>
    <col min="9" max="9" width="22.5703125" bestFit="1" customWidth="1"/>
    <col min="14" max="14" width="11" bestFit="1" customWidth="1"/>
    <col min="15" max="16" width="11.85546875" bestFit="1" customWidth="1"/>
  </cols>
  <sheetData>
    <row r="1" spans="1:15" x14ac:dyDescent="0.25">
      <c r="D1" s="2" t="s">
        <v>6</v>
      </c>
      <c r="E1" s="2" t="s">
        <v>7</v>
      </c>
      <c r="F1" s="2" t="s">
        <v>8</v>
      </c>
      <c r="G1" s="2" t="s">
        <v>11</v>
      </c>
      <c r="H1" s="2" t="s">
        <v>9</v>
      </c>
      <c r="I1" s="2" t="s">
        <v>10</v>
      </c>
      <c r="J1" s="2"/>
    </row>
    <row r="2" spans="1:15" x14ac:dyDescent="0.25">
      <c r="D2" s="1">
        <v>43322</v>
      </c>
      <c r="E2" s="1">
        <v>43323</v>
      </c>
      <c r="F2" s="1">
        <v>43324</v>
      </c>
      <c r="G2" s="1">
        <v>43325</v>
      </c>
      <c r="H2" s="1">
        <v>43326</v>
      </c>
      <c r="I2" s="1">
        <v>43327</v>
      </c>
    </row>
    <row r="3" spans="1:15" ht="15.75" thickBot="1" x14ac:dyDescent="0.3">
      <c r="D3">
        <v>4000</v>
      </c>
      <c r="E3">
        <v>6000</v>
      </c>
      <c r="F3">
        <v>9000</v>
      </c>
      <c r="G3">
        <v>4000</v>
      </c>
      <c r="H3">
        <v>10000</v>
      </c>
      <c r="I3">
        <v>2500</v>
      </c>
      <c r="J3">
        <f>+AVERAGE(D3:I3)</f>
        <v>5916.666666666667</v>
      </c>
    </row>
    <row r="4" spans="1:15" x14ac:dyDescent="0.25">
      <c r="A4">
        <v>0.08</v>
      </c>
      <c r="B4" s="11">
        <v>0.25</v>
      </c>
      <c r="C4" s="4" t="s">
        <v>12</v>
      </c>
      <c r="D4" s="4"/>
      <c r="E4" s="4">
        <f>+E3*$A$4*$B$4</f>
        <v>120</v>
      </c>
      <c r="F4" s="4">
        <f t="shared" ref="F4:G4" si="0">+F3*$A$4*$B$4</f>
        <v>180</v>
      </c>
      <c r="G4" s="4">
        <f t="shared" si="0"/>
        <v>80</v>
      </c>
      <c r="H4" s="51">
        <v>80</v>
      </c>
      <c r="I4" s="51">
        <v>120</v>
      </c>
      <c r="J4" s="6">
        <f>SUM(D4:I4)</f>
        <v>580</v>
      </c>
    </row>
    <row r="5" spans="1:15" x14ac:dyDescent="0.25">
      <c r="A5">
        <v>0.08</v>
      </c>
      <c r="B5" s="12">
        <v>0.75</v>
      </c>
      <c r="C5" s="13" t="s">
        <v>13</v>
      </c>
      <c r="D5" s="13">
        <f>+D3*$A$5</f>
        <v>320</v>
      </c>
      <c r="E5" s="13">
        <f t="shared" ref="E5:I5" si="1">+E3*$A$5*$B$5</f>
        <v>360</v>
      </c>
      <c r="F5" s="13">
        <f t="shared" si="1"/>
        <v>540</v>
      </c>
      <c r="G5" s="13">
        <f t="shared" si="1"/>
        <v>240</v>
      </c>
      <c r="H5" s="13">
        <f t="shared" si="1"/>
        <v>600</v>
      </c>
      <c r="I5" s="13">
        <f t="shared" si="1"/>
        <v>150</v>
      </c>
      <c r="J5" s="14">
        <f>SUM(D5:I5)</f>
        <v>2210</v>
      </c>
    </row>
    <row r="6" spans="1:15" ht="15.75" thickBot="1" x14ac:dyDescent="0.3">
      <c r="B6" s="15">
        <f>SUM(B4:B5)</f>
        <v>1</v>
      </c>
      <c r="C6" s="16"/>
      <c r="D6" s="16">
        <f>SUM(D4:D5)</f>
        <v>320</v>
      </c>
      <c r="E6" s="16">
        <f t="shared" ref="E6:J6" si="2">SUM(E4:E5)</f>
        <v>480</v>
      </c>
      <c r="F6" s="16">
        <f t="shared" si="2"/>
        <v>720</v>
      </c>
      <c r="G6" s="16">
        <f t="shared" si="2"/>
        <v>320</v>
      </c>
      <c r="H6" s="16">
        <f t="shared" si="2"/>
        <v>680</v>
      </c>
      <c r="I6" s="16">
        <f t="shared" si="2"/>
        <v>270</v>
      </c>
      <c r="J6" s="17">
        <f t="shared" si="2"/>
        <v>2790</v>
      </c>
      <c r="K6" s="18">
        <f>+J6*6</f>
        <v>16740</v>
      </c>
    </row>
    <row r="7" spans="1:15" x14ac:dyDescent="0.25">
      <c r="B7" s="3">
        <v>1</v>
      </c>
      <c r="C7" s="4" t="s">
        <v>16</v>
      </c>
      <c r="D7" s="5">
        <f>+(D4*$B$7)/60</f>
        <v>0</v>
      </c>
      <c r="E7" s="5">
        <f t="shared" ref="E7:I8" si="3">+(E4*$B$7)/60</f>
        <v>2</v>
      </c>
      <c r="F7" s="5">
        <f t="shared" si="3"/>
        <v>3</v>
      </c>
      <c r="G7" s="5">
        <f t="shared" si="3"/>
        <v>1.3333333333333333</v>
      </c>
      <c r="H7" s="5">
        <f t="shared" si="3"/>
        <v>1.3333333333333333</v>
      </c>
      <c r="I7" s="5">
        <f t="shared" si="3"/>
        <v>2</v>
      </c>
      <c r="J7" s="6"/>
    </row>
    <row r="8" spans="1:15" ht="15.75" thickBot="1" x14ac:dyDescent="0.3">
      <c r="B8" s="7"/>
      <c r="C8" s="8"/>
      <c r="D8" s="9">
        <f>+(D5*$B$7)/60</f>
        <v>5.333333333333333</v>
      </c>
      <c r="E8" s="9">
        <f t="shared" si="3"/>
        <v>6</v>
      </c>
      <c r="F8" s="9">
        <f t="shared" si="3"/>
        <v>9</v>
      </c>
      <c r="G8" s="9">
        <f t="shared" si="3"/>
        <v>4</v>
      </c>
      <c r="H8" s="9">
        <f t="shared" si="3"/>
        <v>10</v>
      </c>
      <c r="I8" s="9">
        <f t="shared" si="3"/>
        <v>2.5</v>
      </c>
      <c r="J8" s="10"/>
    </row>
    <row r="9" spans="1:15" x14ac:dyDescent="0.25">
      <c r="B9" t="s">
        <v>17</v>
      </c>
      <c r="C9" s="20" t="s">
        <v>16</v>
      </c>
      <c r="D9" s="19">
        <v>300</v>
      </c>
      <c r="E9" s="19">
        <v>300</v>
      </c>
      <c r="F9" s="19">
        <v>300</v>
      </c>
      <c r="H9" s="19">
        <v>300</v>
      </c>
    </row>
    <row r="10" spans="1:15" x14ac:dyDescent="0.25">
      <c r="D10">
        <f>+D9</f>
        <v>300</v>
      </c>
      <c r="E10">
        <f>+E4+E9</f>
        <v>420</v>
      </c>
      <c r="F10">
        <f>+F9+F4</f>
        <v>480</v>
      </c>
      <c r="G10">
        <f>+G6</f>
        <v>320</v>
      </c>
      <c r="H10">
        <f>+H4+H9</f>
        <v>380</v>
      </c>
      <c r="I10">
        <f>+I4+I5</f>
        <v>270</v>
      </c>
      <c r="J10">
        <f>SUM(D10:I10)</f>
        <v>2170</v>
      </c>
      <c r="K10">
        <f>+J10*6</f>
        <v>13020</v>
      </c>
    </row>
    <row r="14" spans="1:15" x14ac:dyDescent="0.25">
      <c r="B14" s="40"/>
      <c r="C14" s="40"/>
      <c r="D14" s="40">
        <f>+D13*6</f>
        <v>0</v>
      </c>
      <c r="E14" s="40">
        <f>+E13*6</f>
        <v>0</v>
      </c>
      <c r="F14" s="40">
        <f t="shared" ref="F14:I14" si="4">+F13*6</f>
        <v>0</v>
      </c>
      <c r="G14" s="40">
        <f t="shared" si="4"/>
        <v>0</v>
      </c>
      <c r="H14" s="40">
        <f t="shared" si="4"/>
        <v>0</v>
      </c>
      <c r="I14" s="40">
        <f t="shared" si="4"/>
        <v>0</v>
      </c>
      <c r="J14" s="40"/>
    </row>
    <row r="15" spans="1:15" x14ac:dyDescent="0.25">
      <c r="B15">
        <v>0.2</v>
      </c>
      <c r="C15" t="s">
        <v>14</v>
      </c>
      <c r="D15">
        <f t="shared" ref="D15:I15" si="5">+$B15*D$10</f>
        <v>60</v>
      </c>
      <c r="E15">
        <f t="shared" si="5"/>
        <v>84</v>
      </c>
      <c r="F15">
        <f t="shared" si="5"/>
        <v>96</v>
      </c>
      <c r="G15">
        <f t="shared" si="5"/>
        <v>64</v>
      </c>
      <c r="H15">
        <f t="shared" si="5"/>
        <v>76</v>
      </c>
      <c r="I15" s="43">
        <f t="shared" si="5"/>
        <v>54</v>
      </c>
      <c r="J15" s="43">
        <f>SUM(D15:I15)</f>
        <v>434</v>
      </c>
      <c r="M15" s="45">
        <f>+Folha4!C5</f>
        <v>1.5</v>
      </c>
      <c r="N15" s="48">
        <f>+M15*J15</f>
        <v>651</v>
      </c>
      <c r="O15" s="48"/>
    </row>
    <row r="16" spans="1:15" x14ac:dyDescent="0.25">
      <c r="B16" s="41">
        <v>0.25</v>
      </c>
      <c r="C16" t="s">
        <v>11</v>
      </c>
      <c r="D16">
        <f t="shared" ref="D16:I20" si="6">+$B16*D$10</f>
        <v>75</v>
      </c>
      <c r="E16">
        <f t="shared" si="6"/>
        <v>105</v>
      </c>
      <c r="F16">
        <f t="shared" si="6"/>
        <v>120</v>
      </c>
      <c r="G16">
        <f t="shared" si="6"/>
        <v>80</v>
      </c>
      <c r="H16">
        <f t="shared" si="6"/>
        <v>95</v>
      </c>
      <c r="I16" s="43">
        <f t="shared" si="6"/>
        <v>67.5</v>
      </c>
      <c r="J16" s="43">
        <f t="shared" ref="J16:J20" si="7">SUM(D16:I16)</f>
        <v>542.5</v>
      </c>
      <c r="K16">
        <v>400</v>
      </c>
      <c r="M16" s="45">
        <f>+Folha4!C6</f>
        <v>5.8</v>
      </c>
      <c r="N16" s="48">
        <f t="shared" ref="N16:N20" si="8">+M16*J16</f>
        <v>3146.5</v>
      </c>
      <c r="O16" s="48"/>
    </row>
    <row r="17" spans="2:19" x14ac:dyDescent="0.25">
      <c r="B17" s="41">
        <v>0.25</v>
      </c>
      <c r="C17" t="s">
        <v>15</v>
      </c>
      <c r="D17">
        <f t="shared" si="6"/>
        <v>75</v>
      </c>
      <c r="E17">
        <f t="shared" si="6"/>
        <v>105</v>
      </c>
      <c r="F17">
        <f t="shared" si="6"/>
        <v>120</v>
      </c>
      <c r="G17">
        <f t="shared" si="6"/>
        <v>80</v>
      </c>
      <c r="H17">
        <f t="shared" si="6"/>
        <v>95</v>
      </c>
      <c r="I17" s="43">
        <f t="shared" si="6"/>
        <v>67.5</v>
      </c>
      <c r="J17" s="43">
        <f t="shared" si="7"/>
        <v>542.5</v>
      </c>
      <c r="K17">
        <f>+J17*0.07</f>
        <v>37.975000000000001</v>
      </c>
      <c r="M17" s="45">
        <f>+Folha4!C7</f>
        <v>6.6</v>
      </c>
      <c r="N17" s="48">
        <f t="shared" si="8"/>
        <v>3580.5</v>
      </c>
      <c r="O17" s="48"/>
    </row>
    <row r="18" spans="2:19" x14ac:dyDescent="0.25">
      <c r="B18" s="41">
        <v>0.2</v>
      </c>
      <c r="C18" t="s">
        <v>19</v>
      </c>
      <c r="D18">
        <f t="shared" si="6"/>
        <v>60</v>
      </c>
      <c r="E18">
        <f t="shared" si="6"/>
        <v>84</v>
      </c>
      <c r="F18">
        <f t="shared" si="6"/>
        <v>96</v>
      </c>
      <c r="G18">
        <f t="shared" si="6"/>
        <v>64</v>
      </c>
      <c r="H18">
        <f t="shared" si="6"/>
        <v>76</v>
      </c>
      <c r="I18" s="43">
        <f t="shared" si="6"/>
        <v>54</v>
      </c>
      <c r="J18" s="43">
        <f t="shared" si="7"/>
        <v>434</v>
      </c>
      <c r="K18">
        <v>350</v>
      </c>
      <c r="M18" s="45">
        <f>+Folha4!C8</f>
        <v>5.6</v>
      </c>
      <c r="N18" s="48">
        <f t="shared" si="8"/>
        <v>2430.3999999999996</v>
      </c>
      <c r="O18" s="48"/>
    </row>
    <row r="19" spans="2:19" x14ac:dyDescent="0.25">
      <c r="B19" s="41">
        <v>0.15</v>
      </c>
      <c r="C19" t="s">
        <v>20</v>
      </c>
      <c r="D19">
        <f t="shared" si="6"/>
        <v>45</v>
      </c>
      <c r="E19">
        <f t="shared" si="6"/>
        <v>63</v>
      </c>
      <c r="F19">
        <f t="shared" si="6"/>
        <v>72</v>
      </c>
      <c r="G19">
        <f t="shared" si="6"/>
        <v>48</v>
      </c>
      <c r="H19">
        <f t="shared" si="6"/>
        <v>57</v>
      </c>
      <c r="I19" s="43">
        <f t="shared" si="6"/>
        <v>40.5</v>
      </c>
      <c r="J19" s="43">
        <f t="shared" si="7"/>
        <v>325.5</v>
      </c>
      <c r="M19" s="45">
        <f>+Folha4!C10</f>
        <v>4.5</v>
      </c>
      <c r="N19" s="48">
        <f t="shared" si="8"/>
        <v>1464.75</v>
      </c>
      <c r="O19" s="48"/>
      <c r="P19">
        <f>+J19*0.075</f>
        <v>24.412499999999998</v>
      </c>
    </row>
    <row r="20" spans="2:19" x14ac:dyDescent="0.25">
      <c r="B20" s="41">
        <v>0.15</v>
      </c>
      <c r="C20" t="s">
        <v>21</v>
      </c>
      <c r="D20">
        <f>+$B20*D$10</f>
        <v>45</v>
      </c>
      <c r="E20">
        <f t="shared" si="6"/>
        <v>63</v>
      </c>
      <c r="F20">
        <f t="shared" si="6"/>
        <v>72</v>
      </c>
      <c r="G20">
        <f t="shared" si="6"/>
        <v>48</v>
      </c>
      <c r="H20">
        <f t="shared" si="6"/>
        <v>57</v>
      </c>
      <c r="I20" s="43">
        <f t="shared" si="6"/>
        <v>40.5</v>
      </c>
      <c r="J20" s="43">
        <f t="shared" si="7"/>
        <v>325.5</v>
      </c>
      <c r="M20" s="45">
        <f>+Folha4!C9</f>
        <v>4.5</v>
      </c>
      <c r="N20" s="48">
        <f t="shared" si="8"/>
        <v>1464.75</v>
      </c>
      <c r="O20" s="48">
        <f>SUM(N15:N20)</f>
        <v>12737.9</v>
      </c>
      <c r="P20">
        <f>+J20*0.075</f>
        <v>24.412499999999998</v>
      </c>
      <c r="Q20">
        <f>SUM(P19:P20)</f>
        <v>48.824999999999996</v>
      </c>
      <c r="R20">
        <f>+Q20/2</f>
        <v>24.412499999999998</v>
      </c>
      <c r="S20">
        <v>1</v>
      </c>
    </row>
    <row r="21" spans="2:19" x14ac:dyDescent="0.25">
      <c r="B21" s="42">
        <f>SUM(B16:B20)</f>
        <v>1</v>
      </c>
      <c r="R21">
        <f>+R20*4</f>
        <v>97.649999999999991</v>
      </c>
    </row>
    <row r="23" spans="2:19" x14ac:dyDescent="0.25">
      <c r="B23">
        <v>0.3</v>
      </c>
      <c r="C23" t="s">
        <v>87</v>
      </c>
      <c r="D23" s="43">
        <f>+D$10*$B$23</f>
        <v>90</v>
      </c>
      <c r="E23" s="43">
        <f>+E$10*$B$23</f>
        <v>126</v>
      </c>
      <c r="F23" s="43">
        <f t="shared" ref="F23:H23" si="9">+F$10*$B$23</f>
        <v>144</v>
      </c>
      <c r="G23" s="43">
        <f t="shared" si="9"/>
        <v>96</v>
      </c>
      <c r="H23" s="43">
        <f t="shared" si="9"/>
        <v>114</v>
      </c>
      <c r="I23" s="43">
        <f>+I$10*$B$23</f>
        <v>81</v>
      </c>
      <c r="J23">
        <f>SUM(D23:I23)</f>
        <v>651</v>
      </c>
      <c r="M23">
        <v>1.5</v>
      </c>
      <c r="N23" s="48">
        <f>+M23*J23</f>
        <v>976.5</v>
      </c>
      <c r="O23" s="48"/>
      <c r="P23" s="48"/>
    </row>
    <row r="24" spans="2:19" x14ac:dyDescent="0.25">
      <c r="B24">
        <v>0.2</v>
      </c>
      <c r="C24" t="s">
        <v>88</v>
      </c>
      <c r="D24" s="43">
        <f>+(D$10*$B$24)*220/750</f>
        <v>17.600000000000001</v>
      </c>
      <c r="E24" s="43">
        <f t="shared" ref="E24:I24" si="10">+(E$10*$B$24)*210/750</f>
        <v>23.52</v>
      </c>
      <c r="F24" s="43">
        <f t="shared" si="10"/>
        <v>26.88</v>
      </c>
      <c r="G24" s="43">
        <f t="shared" si="10"/>
        <v>17.920000000000002</v>
      </c>
      <c r="H24" s="43">
        <f t="shared" si="10"/>
        <v>21.28</v>
      </c>
      <c r="I24" s="43">
        <f t="shared" si="10"/>
        <v>15.12</v>
      </c>
      <c r="J24" s="43">
        <f>SUM(D24:I24)</f>
        <v>122.32000000000001</v>
      </c>
      <c r="K24" s="43">
        <f>+J24/6</f>
        <v>20.386666666666667</v>
      </c>
      <c r="M24">
        <v>8</v>
      </c>
      <c r="N24" s="48">
        <f>+M24*J24</f>
        <v>978.56000000000006</v>
      </c>
      <c r="O24" s="48"/>
      <c r="P24" s="48"/>
    </row>
    <row r="25" spans="2:19" x14ac:dyDescent="0.25">
      <c r="B25">
        <v>0.15</v>
      </c>
      <c r="C25" t="s">
        <v>89</v>
      </c>
      <c r="D25" s="43">
        <f>+D$10*$B$25*220/750</f>
        <v>13.2</v>
      </c>
      <c r="E25" s="43">
        <f t="shared" ref="E25:I25" si="11">+E$10*$B$25*220/750</f>
        <v>18.48</v>
      </c>
      <c r="F25" s="43">
        <f t="shared" si="11"/>
        <v>21.12</v>
      </c>
      <c r="G25" s="43">
        <f t="shared" si="11"/>
        <v>14.08</v>
      </c>
      <c r="H25" s="43">
        <f t="shared" si="11"/>
        <v>16.72</v>
      </c>
      <c r="I25" s="43">
        <f t="shared" si="11"/>
        <v>11.88</v>
      </c>
      <c r="J25" s="43">
        <f t="shared" ref="J25:J27" si="12">SUM(D25:I25)</f>
        <v>95.47999999999999</v>
      </c>
      <c r="K25" s="43">
        <f t="shared" ref="K25:K26" si="13">+J25/6</f>
        <v>15.913333333333332</v>
      </c>
      <c r="M25">
        <v>8</v>
      </c>
      <c r="N25" s="48">
        <f>+M25*J25</f>
        <v>763.83999999999992</v>
      </c>
      <c r="O25" s="48"/>
      <c r="P25" s="48"/>
    </row>
    <row r="26" spans="2:19" x14ac:dyDescent="0.25">
      <c r="B26">
        <v>0.1</v>
      </c>
      <c r="C26" t="s">
        <v>90</v>
      </c>
      <c r="D26" s="43">
        <f>+D$10*$B$26*220/750</f>
        <v>8.8000000000000007</v>
      </c>
      <c r="E26" s="43">
        <f t="shared" ref="E26:I26" si="14">+E$10*$B$26*220/750</f>
        <v>12.32</v>
      </c>
      <c r="F26" s="43">
        <f t="shared" si="14"/>
        <v>14.08</v>
      </c>
      <c r="G26" s="43">
        <f t="shared" si="14"/>
        <v>9.3866666666666667</v>
      </c>
      <c r="H26" s="43">
        <f t="shared" si="14"/>
        <v>11.146666666666667</v>
      </c>
      <c r="I26" s="43">
        <f t="shared" si="14"/>
        <v>7.92</v>
      </c>
      <c r="J26" s="43">
        <f t="shared" si="12"/>
        <v>63.653333333333343</v>
      </c>
      <c r="K26" s="43">
        <f t="shared" si="13"/>
        <v>10.60888888888889</v>
      </c>
      <c r="M26">
        <v>8</v>
      </c>
      <c r="N26" s="48">
        <f t="shared" ref="N26" si="15">+M26*J26</f>
        <v>509.22666666666674</v>
      </c>
      <c r="O26" s="48"/>
      <c r="P26" s="48"/>
    </row>
    <row r="27" spans="2:19" x14ac:dyDescent="0.25">
      <c r="B27">
        <v>0.25</v>
      </c>
      <c r="C27" t="s">
        <v>91</v>
      </c>
      <c r="D27" s="43">
        <f>+D$10*$B$23*0.3</f>
        <v>27</v>
      </c>
      <c r="E27" s="43">
        <f t="shared" ref="E27:I27" si="16">+E$10*$B$23*0.3</f>
        <v>37.799999999999997</v>
      </c>
      <c r="F27" s="43">
        <f t="shared" si="16"/>
        <v>43.199999999999996</v>
      </c>
      <c r="G27" s="43">
        <f t="shared" si="16"/>
        <v>28.799999999999997</v>
      </c>
      <c r="H27" s="43">
        <f t="shared" si="16"/>
        <v>34.199999999999996</v>
      </c>
      <c r="I27" s="43">
        <f t="shared" si="16"/>
        <v>24.3</v>
      </c>
      <c r="J27" s="43">
        <f t="shared" si="12"/>
        <v>195.3</v>
      </c>
      <c r="K27" s="43">
        <f>+J27/0.25</f>
        <v>781.2</v>
      </c>
      <c r="M27" s="48">
        <f>+(2+3.3)/2</f>
        <v>2.65</v>
      </c>
      <c r="N27" s="48">
        <f>+M27*(J27/((0.25+0.5)/2))</f>
        <v>1380.1200000000001</v>
      </c>
      <c r="O27" s="48">
        <f>SUM(N23:N27)</f>
        <v>4608.2466666666669</v>
      </c>
      <c r="P27" s="48">
        <f>+O27+O20</f>
        <v>17346.146666666667</v>
      </c>
    </row>
    <row r="28" spans="2:19" x14ac:dyDescent="0.25">
      <c r="B28">
        <f>SUM(B23:B27)</f>
        <v>1</v>
      </c>
    </row>
    <row r="29" spans="2:19" x14ac:dyDescent="0.25">
      <c r="I29" t="s">
        <v>92</v>
      </c>
      <c r="J29" s="43">
        <f>+J27/0.75/3</f>
        <v>86.800000000000011</v>
      </c>
    </row>
    <row r="31" spans="2:19" x14ac:dyDescent="0.25">
      <c r="B31">
        <v>0.33</v>
      </c>
      <c r="C31" t="s">
        <v>93</v>
      </c>
      <c r="D31" s="43">
        <f>+D$10/3*$B$31</f>
        <v>33</v>
      </c>
      <c r="E31" s="43">
        <f t="shared" ref="E31:I31" si="17">+E$10/3*$B$31</f>
        <v>46.2</v>
      </c>
      <c r="F31" s="43">
        <f t="shared" si="17"/>
        <v>52.800000000000004</v>
      </c>
      <c r="G31" s="43">
        <f t="shared" si="17"/>
        <v>35.200000000000003</v>
      </c>
      <c r="H31" s="43">
        <f t="shared" si="17"/>
        <v>41.800000000000004</v>
      </c>
      <c r="I31" s="43">
        <f t="shared" si="17"/>
        <v>29.700000000000003</v>
      </c>
      <c r="J31" s="43">
        <f>SUM(D31:I31)</f>
        <v>238.7</v>
      </c>
      <c r="M31" s="45">
        <f>+Folha4!C15</f>
        <v>0.6</v>
      </c>
      <c r="N31">
        <f>+M31*J31</f>
        <v>143.22</v>
      </c>
    </row>
    <row r="32" spans="2:19" x14ac:dyDescent="0.25">
      <c r="B32">
        <v>0.33</v>
      </c>
      <c r="C32" t="s">
        <v>94</v>
      </c>
      <c r="D32" s="43">
        <f>+D$10/3*$B$32</f>
        <v>33</v>
      </c>
      <c r="E32" s="43">
        <f t="shared" ref="E32:I32" si="18">+E$10/3*$B$32</f>
        <v>46.2</v>
      </c>
      <c r="F32" s="43">
        <f t="shared" si="18"/>
        <v>52.800000000000004</v>
      </c>
      <c r="G32" s="43">
        <f t="shared" si="18"/>
        <v>35.200000000000003</v>
      </c>
      <c r="H32" s="43">
        <f t="shared" si="18"/>
        <v>41.800000000000004</v>
      </c>
      <c r="I32" s="43">
        <f t="shared" si="18"/>
        <v>29.700000000000003</v>
      </c>
      <c r="J32" s="43">
        <f t="shared" ref="J32:J33" si="19">SUM(D32:I32)</f>
        <v>238.7</v>
      </c>
      <c r="M32" s="45">
        <f>+Folha4!C17</f>
        <v>0.7</v>
      </c>
      <c r="N32">
        <f t="shared" ref="N32:N33" si="20">+M32*J32</f>
        <v>167.08999999999997</v>
      </c>
    </row>
    <row r="33" spans="2:15" x14ac:dyDescent="0.25">
      <c r="B33">
        <v>0.33</v>
      </c>
      <c r="C33" t="s">
        <v>95</v>
      </c>
      <c r="D33" s="43">
        <f>+D$10/3*$B$33</f>
        <v>33</v>
      </c>
      <c r="E33" s="43">
        <f t="shared" ref="E33:I33" si="21">+E$10/3*$B$33</f>
        <v>46.2</v>
      </c>
      <c r="F33" s="43">
        <f t="shared" si="21"/>
        <v>52.800000000000004</v>
      </c>
      <c r="G33" s="43">
        <f t="shared" si="21"/>
        <v>35.200000000000003</v>
      </c>
      <c r="H33" s="43">
        <f t="shared" si="21"/>
        <v>41.800000000000004</v>
      </c>
      <c r="I33" s="43">
        <f t="shared" si="21"/>
        <v>29.700000000000003</v>
      </c>
      <c r="J33" s="43">
        <f t="shared" si="19"/>
        <v>238.7</v>
      </c>
      <c r="M33" s="45">
        <f>+Folha4!C16</f>
        <v>0.8</v>
      </c>
      <c r="N33">
        <f t="shared" si="20"/>
        <v>190.96</v>
      </c>
      <c r="O33">
        <f>SUM(N31:N33)</f>
        <v>501.27</v>
      </c>
    </row>
    <row r="38" spans="2:15" x14ac:dyDescent="0.25">
      <c r="C38" s="52"/>
      <c r="D38" s="52" t="s">
        <v>159</v>
      </c>
      <c r="E38" s="52"/>
      <c r="F38" s="52"/>
      <c r="G38" s="52" t="s">
        <v>166</v>
      </c>
      <c r="H38" s="52" t="s">
        <v>167</v>
      </c>
    </row>
    <row r="39" spans="2:15" x14ac:dyDescent="0.25">
      <c r="C39" s="21" t="s">
        <v>136</v>
      </c>
      <c r="D39" s="21" t="s">
        <v>152</v>
      </c>
      <c r="E39" s="21">
        <f>650*0.1</f>
        <v>65</v>
      </c>
      <c r="F39" s="21" t="s">
        <v>22</v>
      </c>
      <c r="G39" s="21" t="s">
        <v>182</v>
      </c>
      <c r="H39" s="21"/>
    </row>
    <row r="40" spans="2:15" x14ac:dyDescent="0.25">
      <c r="C40" s="21" t="s">
        <v>190</v>
      </c>
      <c r="D40" s="21" t="s">
        <v>152</v>
      </c>
      <c r="E40" s="21"/>
      <c r="F40" s="21"/>
      <c r="G40" s="21"/>
      <c r="H40" s="21" t="s">
        <v>183</v>
      </c>
    </row>
    <row r="41" spans="2:15" x14ac:dyDescent="0.25">
      <c r="C41" s="21" t="s">
        <v>191</v>
      </c>
      <c r="D41" s="21" t="s">
        <v>152</v>
      </c>
      <c r="E41" s="21"/>
      <c r="F41" s="21"/>
      <c r="G41" s="21" t="s">
        <v>192</v>
      </c>
      <c r="H41" s="21"/>
    </row>
    <row r="42" spans="2:15" x14ac:dyDescent="0.25">
      <c r="C42" s="21" t="s">
        <v>140</v>
      </c>
      <c r="D42" s="21" t="s">
        <v>152</v>
      </c>
      <c r="E42" s="21">
        <v>6.5</v>
      </c>
      <c r="F42" s="21" t="s">
        <v>22</v>
      </c>
      <c r="G42" s="21" t="s">
        <v>183</v>
      </c>
      <c r="H42" s="21"/>
    </row>
    <row r="43" spans="2:15" x14ac:dyDescent="0.25">
      <c r="C43" s="21" t="s">
        <v>135</v>
      </c>
      <c r="D43" s="21" t="s">
        <v>153</v>
      </c>
      <c r="E43" s="21">
        <v>45</v>
      </c>
      <c r="F43" s="21" t="s">
        <v>75</v>
      </c>
      <c r="G43" s="21" t="s">
        <v>184</v>
      </c>
      <c r="H43" s="21"/>
    </row>
    <row r="44" spans="2:15" x14ac:dyDescent="0.25">
      <c r="C44" s="21" t="s">
        <v>137</v>
      </c>
      <c r="D44" s="21" t="s">
        <v>153</v>
      </c>
      <c r="E44" s="21">
        <v>250</v>
      </c>
      <c r="F44" s="21" t="s">
        <v>75</v>
      </c>
      <c r="G44" s="21" t="s">
        <v>185</v>
      </c>
      <c r="H44" s="21"/>
    </row>
    <row r="45" spans="2:15" x14ac:dyDescent="0.25">
      <c r="C45" s="21" t="s">
        <v>138</v>
      </c>
      <c r="D45" s="21" t="s">
        <v>154</v>
      </c>
      <c r="E45" s="21">
        <v>200</v>
      </c>
      <c r="F45" s="21" t="s">
        <v>75</v>
      </c>
      <c r="G45" s="21" t="s">
        <v>186</v>
      </c>
      <c r="H45" s="21"/>
    </row>
    <row r="46" spans="2:15" x14ac:dyDescent="0.25">
      <c r="C46" s="21" t="s">
        <v>139</v>
      </c>
      <c r="D46" s="21" t="s">
        <v>154</v>
      </c>
      <c r="E46" s="21">
        <v>200</v>
      </c>
      <c r="F46" s="21" t="s">
        <v>75</v>
      </c>
      <c r="G46" s="21" t="s">
        <v>186</v>
      </c>
      <c r="H46" s="21"/>
    </row>
    <row r="47" spans="2:15" x14ac:dyDescent="0.25">
      <c r="C47" s="21" t="s">
        <v>141</v>
      </c>
      <c r="D47" s="21" t="s">
        <v>155</v>
      </c>
      <c r="E47" s="21">
        <v>6</v>
      </c>
      <c r="F47" s="21" t="s">
        <v>160</v>
      </c>
      <c r="G47" s="21" t="s">
        <v>187</v>
      </c>
      <c r="H47" s="21"/>
    </row>
    <row r="48" spans="2:15" x14ac:dyDescent="0.25">
      <c r="C48" s="21" t="s">
        <v>142</v>
      </c>
      <c r="D48" s="21" t="s">
        <v>155</v>
      </c>
      <c r="E48" s="21">
        <v>40</v>
      </c>
      <c r="F48" s="21" t="s">
        <v>161</v>
      </c>
      <c r="G48" s="21" t="s">
        <v>188</v>
      </c>
      <c r="H48" s="21"/>
    </row>
    <row r="49" spans="3:8" x14ac:dyDescent="0.25">
      <c r="C49" s="21" t="s">
        <v>143</v>
      </c>
      <c r="D49" s="21" t="s">
        <v>152</v>
      </c>
      <c r="E49" s="21">
        <v>27</v>
      </c>
      <c r="F49" s="21" t="s">
        <v>162</v>
      </c>
      <c r="G49" s="21" t="s">
        <v>168</v>
      </c>
      <c r="H49" s="21"/>
    </row>
    <row r="50" spans="3:8" x14ac:dyDescent="0.25">
      <c r="C50" s="21" t="s">
        <v>144</v>
      </c>
      <c r="D50" s="21" t="s">
        <v>152</v>
      </c>
      <c r="E50" s="21">
        <v>4</v>
      </c>
      <c r="F50" s="21"/>
      <c r="G50" s="21" t="s">
        <v>176</v>
      </c>
      <c r="H50" s="21"/>
    </row>
    <row r="51" spans="3:8" x14ac:dyDescent="0.25">
      <c r="C51" s="21" t="s">
        <v>145</v>
      </c>
      <c r="D51" s="21" t="s">
        <v>152</v>
      </c>
      <c r="E51" s="21">
        <v>2</v>
      </c>
      <c r="F51" s="21"/>
      <c r="G51" s="21" t="s">
        <v>177</v>
      </c>
      <c r="H51" s="21"/>
    </row>
    <row r="52" spans="3:8" x14ac:dyDescent="0.25">
      <c r="C52" s="21" t="s">
        <v>157</v>
      </c>
      <c r="D52" s="21" t="s">
        <v>158</v>
      </c>
      <c r="E52" s="21">
        <v>15</v>
      </c>
      <c r="F52" s="21" t="s">
        <v>163</v>
      </c>
      <c r="G52" s="21" t="s">
        <v>178</v>
      </c>
      <c r="H52" s="21"/>
    </row>
    <row r="53" spans="3:8" x14ac:dyDescent="0.25">
      <c r="C53" s="21" t="s">
        <v>173</v>
      </c>
      <c r="D53" s="21" t="s">
        <v>152</v>
      </c>
      <c r="E53" s="21">
        <f>200*0.075</f>
        <v>15</v>
      </c>
      <c r="F53" s="21" t="s">
        <v>22</v>
      </c>
      <c r="G53" s="21" t="s">
        <v>179</v>
      </c>
      <c r="H53" s="21"/>
    </row>
    <row r="54" spans="3:8" x14ac:dyDescent="0.25">
      <c r="C54" s="21" t="s">
        <v>174</v>
      </c>
      <c r="D54" s="21" t="s">
        <v>175</v>
      </c>
      <c r="E54" s="21">
        <v>100</v>
      </c>
      <c r="F54" s="21" t="s">
        <v>22</v>
      </c>
      <c r="G54" s="21"/>
      <c r="H54" s="21"/>
    </row>
    <row r="55" spans="3:8" x14ac:dyDescent="0.25">
      <c r="C55" s="21" t="s">
        <v>149</v>
      </c>
      <c r="D55" s="21" t="s">
        <v>152</v>
      </c>
      <c r="E55" s="21"/>
      <c r="F55" s="21"/>
      <c r="G55" s="21"/>
      <c r="H55" s="21"/>
    </row>
    <row r="56" spans="3:8" x14ac:dyDescent="0.25">
      <c r="C56" s="21" t="s">
        <v>150</v>
      </c>
      <c r="D56" s="21" t="s">
        <v>152</v>
      </c>
      <c r="E56" s="21"/>
      <c r="F56" s="21"/>
      <c r="G56" s="21"/>
      <c r="H56" s="21"/>
    </row>
    <row r="57" spans="3:8" x14ac:dyDescent="0.25">
      <c r="C57" s="21" t="s">
        <v>151</v>
      </c>
      <c r="D57" s="21" t="s">
        <v>152</v>
      </c>
      <c r="E57" s="21"/>
      <c r="F57" s="21"/>
      <c r="G57" s="21"/>
      <c r="H57" s="21"/>
    </row>
    <row r="58" spans="3:8" x14ac:dyDescent="0.25">
      <c r="C58" s="21" t="s">
        <v>164</v>
      </c>
      <c r="D58" s="21" t="s">
        <v>152</v>
      </c>
      <c r="E58" s="21"/>
      <c r="F58" s="21"/>
      <c r="G58" s="21"/>
      <c r="H58" s="21"/>
    </row>
    <row r="59" spans="3:8" x14ac:dyDescent="0.25">
      <c r="C59" s="21" t="s">
        <v>165</v>
      </c>
      <c r="D59" s="21" t="s">
        <v>152</v>
      </c>
      <c r="E59" s="21"/>
      <c r="F59" s="21"/>
      <c r="G59" s="21"/>
      <c r="H59" s="21"/>
    </row>
    <row r="60" spans="3:8" x14ac:dyDescent="0.25">
      <c r="C60" s="21" t="s">
        <v>170</v>
      </c>
      <c r="D60" s="21" t="s">
        <v>152</v>
      </c>
      <c r="E60" s="21"/>
      <c r="F60" s="21"/>
      <c r="G60" s="21"/>
      <c r="H60" s="21"/>
    </row>
    <row r="61" spans="3:8" x14ac:dyDescent="0.25">
      <c r="C61" s="21" t="s">
        <v>169</v>
      </c>
      <c r="D61" s="21" t="s">
        <v>152</v>
      </c>
      <c r="E61" s="21"/>
      <c r="F61" s="21"/>
      <c r="G61" s="21"/>
      <c r="H61" s="21"/>
    </row>
    <row r="62" spans="3:8" x14ac:dyDescent="0.25">
      <c r="C62" s="21" t="s">
        <v>171</v>
      </c>
      <c r="D62" s="21" t="s">
        <v>152</v>
      </c>
      <c r="E62" s="21">
        <v>1</v>
      </c>
      <c r="F62" s="21" t="s">
        <v>180</v>
      </c>
      <c r="G62" s="21" t="s">
        <v>181</v>
      </c>
      <c r="H62" s="21"/>
    </row>
    <row r="63" spans="3:8" x14ac:dyDescent="0.25">
      <c r="C63" s="21" t="s">
        <v>172</v>
      </c>
      <c r="D63" s="21" t="s">
        <v>152</v>
      </c>
      <c r="E63" s="21">
        <v>1</v>
      </c>
      <c r="F63" s="21" t="s">
        <v>180</v>
      </c>
      <c r="G63" s="21" t="s">
        <v>181</v>
      </c>
      <c r="H63" s="21"/>
    </row>
    <row r="64" spans="3:8" x14ac:dyDescent="0.25">
      <c r="C64" s="21" t="s">
        <v>189</v>
      </c>
      <c r="D64" s="21" t="s">
        <v>152</v>
      </c>
      <c r="E64" s="21" t="s">
        <v>183</v>
      </c>
      <c r="F64" s="21"/>
      <c r="G64" s="21"/>
      <c r="H64" s="21"/>
    </row>
    <row r="65" spans="3:8" x14ac:dyDescent="0.25">
      <c r="C65" s="21" t="s">
        <v>146</v>
      </c>
      <c r="D65" s="21" t="s">
        <v>156</v>
      </c>
      <c r="E65" s="52"/>
      <c r="F65" s="52"/>
      <c r="G65" s="52"/>
      <c r="H65" s="52"/>
    </row>
    <row r="66" spans="3:8" x14ac:dyDescent="0.25">
      <c r="C66" s="21" t="s">
        <v>147</v>
      </c>
      <c r="D66" s="21" t="s">
        <v>156</v>
      </c>
      <c r="E66" s="52"/>
      <c r="F66" s="52"/>
      <c r="G66" s="52"/>
      <c r="H66" s="52"/>
    </row>
    <row r="67" spans="3:8" x14ac:dyDescent="0.25">
      <c r="C67" s="21" t="s">
        <v>19</v>
      </c>
      <c r="D67" s="21" t="s">
        <v>156</v>
      </c>
      <c r="E67" s="52"/>
      <c r="F67" s="52"/>
      <c r="G67" s="52"/>
      <c r="H67" s="52"/>
    </row>
    <row r="68" spans="3:8" x14ac:dyDescent="0.25">
      <c r="C68" s="21" t="s">
        <v>148</v>
      </c>
      <c r="D68" s="21" t="s">
        <v>156</v>
      </c>
      <c r="E68" s="52"/>
      <c r="F68" s="52"/>
      <c r="G68" s="52"/>
      <c r="H68" s="52"/>
    </row>
  </sheetData>
  <conditionalFormatting sqref="D7:I8">
    <cfRule type="cellIs" dxfId="3" priority="2" operator="greaterThan">
      <formula>5</formula>
    </cfRule>
  </conditionalFormatting>
  <conditionalFormatting sqref="D11:I11">
    <cfRule type="cellIs" dxfId="2" priority="1" operator="greaterThan">
      <formula>2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B93FD-A3CA-492E-AAC5-EB08E2D1A60B}">
  <dimension ref="A1:U19"/>
  <sheetViews>
    <sheetView workbookViewId="0">
      <selection activeCell="I13" sqref="I13"/>
    </sheetView>
  </sheetViews>
  <sheetFormatPr defaultRowHeight="15" x14ac:dyDescent="0.25"/>
  <sheetData>
    <row r="1" spans="1:21" x14ac:dyDescent="0.25">
      <c r="A1" t="s">
        <v>0</v>
      </c>
    </row>
    <row r="2" spans="1:21" x14ac:dyDescent="0.25">
      <c r="A2" t="s">
        <v>5</v>
      </c>
    </row>
    <row r="5" spans="1:21" x14ac:dyDescent="0.25">
      <c r="B5" t="s">
        <v>3</v>
      </c>
      <c r="C5" t="s">
        <v>4</v>
      </c>
      <c r="G5">
        <f>11.9+12.5</f>
        <v>24.4</v>
      </c>
      <c r="H5">
        <f>+G5/2</f>
        <v>12.2</v>
      </c>
      <c r="I5">
        <f>1.75+0.75+0.85+3.6</f>
        <v>6.95</v>
      </c>
      <c r="J5">
        <f>+I5/4</f>
        <v>1.7375</v>
      </c>
      <c r="K5">
        <f>+H5+J5</f>
        <v>13.9375</v>
      </c>
      <c r="L5">
        <v>8</v>
      </c>
      <c r="M5">
        <f>+L5/2</f>
        <v>4</v>
      </c>
      <c r="N5">
        <f>+K5+M5</f>
        <v>17.9375</v>
      </c>
      <c r="O5">
        <v>30</v>
      </c>
      <c r="P5">
        <f>+O5/15</f>
        <v>2</v>
      </c>
      <c r="Q5">
        <f>+N5+P5</f>
        <v>19.9375</v>
      </c>
      <c r="R5">
        <f>+Q5+2.85</f>
        <v>22.787500000000001</v>
      </c>
      <c r="S5">
        <f>+R5+0.75</f>
        <v>23.537500000000001</v>
      </c>
      <c r="T5">
        <f>+S5*0.1</f>
        <v>2.3537500000000002</v>
      </c>
      <c r="U5">
        <f>+S5-T5</f>
        <v>21.18375</v>
      </c>
    </row>
    <row r="6" spans="1:21" x14ac:dyDescent="0.25">
      <c r="A6" t="s">
        <v>1</v>
      </c>
      <c r="C6">
        <v>12.5</v>
      </c>
    </row>
    <row r="7" spans="1:21" x14ac:dyDescent="0.25">
      <c r="A7" t="s">
        <v>2</v>
      </c>
      <c r="C7">
        <v>11.9</v>
      </c>
    </row>
    <row r="14" spans="1:21" x14ac:dyDescent="0.25">
      <c r="D14">
        <v>800</v>
      </c>
    </row>
    <row r="15" spans="1:21" x14ac:dyDescent="0.25">
      <c r="D15">
        <v>200</v>
      </c>
      <c r="E15">
        <f>+D14+D15</f>
        <v>1000</v>
      </c>
    </row>
    <row r="17" spans="4:4" x14ac:dyDescent="0.25">
      <c r="D17">
        <v>500</v>
      </c>
    </row>
    <row r="18" spans="4:4" x14ac:dyDescent="0.25">
      <c r="D18">
        <v>550</v>
      </c>
    </row>
    <row r="19" spans="4:4" x14ac:dyDescent="0.25">
      <c r="D19">
        <f>SUM(D17:D18)</f>
        <v>1050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9C33E-B22F-4894-AC86-C7A5BEF3C9D7}">
  <dimension ref="A1:P33"/>
  <sheetViews>
    <sheetView showGridLines="0" workbookViewId="0">
      <selection activeCell="G13" sqref="G13"/>
    </sheetView>
  </sheetViews>
  <sheetFormatPr defaultRowHeight="15" x14ac:dyDescent="0.25"/>
  <cols>
    <col min="3" max="3" width="13.7109375" bestFit="1" customWidth="1"/>
    <col min="4" max="4" width="21.5703125" bestFit="1" customWidth="1"/>
    <col min="5" max="5" width="18.140625" bestFit="1" customWidth="1"/>
    <col min="6" max="6" width="19.7109375" bestFit="1" customWidth="1"/>
    <col min="7" max="7" width="24.28515625" bestFit="1" customWidth="1"/>
    <col min="8" max="8" width="21.140625" bestFit="1" customWidth="1"/>
    <col min="9" max="9" width="22.5703125" bestFit="1" customWidth="1"/>
  </cols>
  <sheetData>
    <row r="1" spans="1:14" x14ac:dyDescent="0.25">
      <c r="D1" s="2" t="s">
        <v>6</v>
      </c>
      <c r="E1" s="2" t="s">
        <v>7</v>
      </c>
      <c r="F1" s="2" t="s">
        <v>8</v>
      </c>
      <c r="G1" s="2" t="s">
        <v>11</v>
      </c>
      <c r="H1" s="2" t="s">
        <v>9</v>
      </c>
      <c r="I1" s="2" t="s">
        <v>10</v>
      </c>
      <c r="J1" s="2"/>
    </row>
    <row r="2" spans="1:14" x14ac:dyDescent="0.25">
      <c r="D2" s="1">
        <v>43322</v>
      </c>
      <c r="E2" s="1">
        <v>43323</v>
      </c>
      <c r="F2" s="1">
        <v>43324</v>
      </c>
      <c r="G2" s="1">
        <v>43325</v>
      </c>
      <c r="H2" s="1">
        <v>43326</v>
      </c>
      <c r="I2" s="1">
        <v>43327</v>
      </c>
    </row>
    <row r="3" spans="1:14" ht="15.75" thickBot="1" x14ac:dyDescent="0.3">
      <c r="D3">
        <v>3500</v>
      </c>
      <c r="E3">
        <v>6000</v>
      </c>
      <c r="F3">
        <v>10000</v>
      </c>
      <c r="G3">
        <v>3500</v>
      </c>
      <c r="H3">
        <v>10000</v>
      </c>
      <c r="I3">
        <v>3500</v>
      </c>
      <c r="J3">
        <f>+AVERAGE(D3:I3)</f>
        <v>6083.333333333333</v>
      </c>
    </row>
    <row r="4" spans="1:14" x14ac:dyDescent="0.25">
      <c r="A4">
        <v>0.08</v>
      </c>
      <c r="B4" s="11">
        <v>0.3</v>
      </c>
      <c r="C4" s="4" t="s">
        <v>12</v>
      </c>
      <c r="D4" s="4"/>
      <c r="E4" s="4">
        <f>+E3*$A$4*$B$4</f>
        <v>144</v>
      </c>
      <c r="F4" s="4">
        <f t="shared" ref="F4:I4" si="0">+F3*$A$4*$B$4</f>
        <v>240</v>
      </c>
      <c r="G4" s="4">
        <f t="shared" si="0"/>
        <v>84</v>
      </c>
      <c r="H4" s="4">
        <f t="shared" si="0"/>
        <v>240</v>
      </c>
      <c r="I4" s="4">
        <f t="shared" si="0"/>
        <v>84</v>
      </c>
      <c r="J4" s="6">
        <f>SUM(D4:I4)</f>
        <v>792</v>
      </c>
    </row>
    <row r="5" spans="1:14" x14ac:dyDescent="0.25">
      <c r="A5">
        <v>0.08</v>
      </c>
      <c r="B5" s="12">
        <v>0.7</v>
      </c>
      <c r="C5" s="13" t="s">
        <v>13</v>
      </c>
      <c r="D5" s="13">
        <f>+D3*$A$5</f>
        <v>280</v>
      </c>
      <c r="E5" s="13">
        <f t="shared" ref="E5:I5" si="1">+E3*$A$5*$B$5</f>
        <v>336</v>
      </c>
      <c r="F5" s="13">
        <f t="shared" si="1"/>
        <v>560</v>
      </c>
      <c r="G5" s="13">
        <f t="shared" si="1"/>
        <v>196</v>
      </c>
      <c r="H5" s="13">
        <f t="shared" si="1"/>
        <v>560</v>
      </c>
      <c r="I5" s="13">
        <f t="shared" si="1"/>
        <v>196</v>
      </c>
      <c r="J5" s="14">
        <f>SUM(D5:I5)</f>
        <v>2128</v>
      </c>
    </row>
    <row r="6" spans="1:14" ht="15.75" thickBot="1" x14ac:dyDescent="0.3">
      <c r="B6" s="15">
        <f>SUM(B4:B5)</f>
        <v>1</v>
      </c>
      <c r="C6" s="16"/>
      <c r="D6" s="16">
        <f>SUM(D4:D5)</f>
        <v>280</v>
      </c>
      <c r="E6" s="16">
        <f t="shared" ref="E6:J6" si="2">SUM(E4:E5)</f>
        <v>480</v>
      </c>
      <c r="F6" s="16">
        <f t="shared" si="2"/>
        <v>800</v>
      </c>
      <c r="G6" s="16">
        <f t="shared" si="2"/>
        <v>280</v>
      </c>
      <c r="H6" s="16">
        <f t="shared" si="2"/>
        <v>800</v>
      </c>
      <c r="I6" s="16">
        <f t="shared" si="2"/>
        <v>280</v>
      </c>
      <c r="J6" s="17">
        <f t="shared" si="2"/>
        <v>2920</v>
      </c>
      <c r="K6" s="18">
        <f>+J6*6</f>
        <v>17520</v>
      </c>
    </row>
    <row r="7" spans="1:14" x14ac:dyDescent="0.25">
      <c r="B7" s="3">
        <v>1.25</v>
      </c>
      <c r="C7" s="4" t="s">
        <v>16</v>
      </c>
      <c r="D7" s="5">
        <f>+(D4*$B$7)/60</f>
        <v>0</v>
      </c>
      <c r="E7" s="5">
        <f t="shared" ref="E7:I7" si="3">+(E4*$B$7)/60</f>
        <v>3</v>
      </c>
      <c r="F7" s="5">
        <f t="shared" si="3"/>
        <v>5</v>
      </c>
      <c r="G7" s="5">
        <f t="shared" si="3"/>
        <v>1.75</v>
      </c>
      <c r="H7" s="5">
        <f t="shared" si="3"/>
        <v>5</v>
      </c>
      <c r="I7" s="5">
        <f t="shared" si="3"/>
        <v>1.75</v>
      </c>
      <c r="J7" s="6"/>
    </row>
    <row r="8" spans="1:14" ht="15.75" thickBot="1" x14ac:dyDescent="0.3">
      <c r="B8" s="7"/>
      <c r="C8" s="8"/>
      <c r="D8" s="9">
        <f>+(D5*$B$7)/60</f>
        <v>5.833333333333333</v>
      </c>
      <c r="E8" s="9">
        <f t="shared" ref="E8:I8" si="4">+(E5*$B$7)/60</f>
        <v>7</v>
      </c>
      <c r="F8" s="9">
        <f t="shared" si="4"/>
        <v>11.666666666666666</v>
      </c>
      <c r="G8" s="9">
        <f t="shared" si="4"/>
        <v>4.083333333333333</v>
      </c>
      <c r="H8" s="9">
        <f t="shared" si="4"/>
        <v>11.666666666666666</v>
      </c>
      <c r="I8" s="9">
        <f t="shared" si="4"/>
        <v>4.083333333333333</v>
      </c>
      <c r="J8" s="10"/>
    </row>
    <row r="9" spans="1:14" x14ac:dyDescent="0.25">
      <c r="B9" t="s">
        <v>17</v>
      </c>
      <c r="C9" s="20" t="s">
        <v>16</v>
      </c>
      <c r="E9" s="19">
        <v>250</v>
      </c>
      <c r="F9" s="19">
        <v>300</v>
      </c>
      <c r="H9" s="19">
        <v>300</v>
      </c>
    </row>
    <row r="10" spans="1:14" x14ac:dyDescent="0.25">
      <c r="D10">
        <f>+D6</f>
        <v>280</v>
      </c>
      <c r="E10">
        <f>+E4+E9</f>
        <v>394</v>
      </c>
      <c r="F10">
        <f>+F9+F4</f>
        <v>540</v>
      </c>
      <c r="G10">
        <f>+G6</f>
        <v>280</v>
      </c>
      <c r="H10">
        <f>+H4+H9</f>
        <v>540</v>
      </c>
      <c r="I10">
        <f>+I4+I5</f>
        <v>280</v>
      </c>
      <c r="J10">
        <f>SUM(D10:I10)</f>
        <v>2314</v>
      </c>
      <c r="K10">
        <f>+J10*6</f>
        <v>13884</v>
      </c>
    </row>
    <row r="11" spans="1:14" x14ac:dyDescent="0.25">
      <c r="D11">
        <f>+D5/4/30</f>
        <v>2.3333333333333335</v>
      </c>
      <c r="E11">
        <f t="shared" ref="E11:I11" si="5">+E5/4/30</f>
        <v>2.8</v>
      </c>
      <c r="F11">
        <f>+F9/4/30</f>
        <v>2.5</v>
      </c>
      <c r="G11">
        <f t="shared" si="5"/>
        <v>1.6333333333333333</v>
      </c>
      <c r="H11">
        <f>+H9/4/30</f>
        <v>2.5</v>
      </c>
      <c r="I11">
        <f t="shared" si="5"/>
        <v>1.6333333333333333</v>
      </c>
    </row>
    <row r="12" spans="1:14" x14ac:dyDescent="0.25">
      <c r="E12">
        <v>220</v>
      </c>
      <c r="F12">
        <v>220</v>
      </c>
      <c r="H12">
        <v>220</v>
      </c>
    </row>
    <row r="13" spans="1:14" x14ac:dyDescent="0.25">
      <c r="B13" t="s">
        <v>17</v>
      </c>
      <c r="C13" t="s">
        <v>18</v>
      </c>
      <c r="D13">
        <f>+D10</f>
        <v>280</v>
      </c>
      <c r="E13">
        <f>+E4+E12</f>
        <v>364</v>
      </c>
      <c r="F13">
        <f>+F4+F12</f>
        <v>460</v>
      </c>
      <c r="G13">
        <f>+G4+G5</f>
        <v>280</v>
      </c>
      <c r="H13">
        <f>+H4+H12</f>
        <v>460</v>
      </c>
      <c r="I13">
        <f>+I4+I5</f>
        <v>280</v>
      </c>
      <c r="J13">
        <f>SUM(D13:I13)</f>
        <v>2124</v>
      </c>
      <c r="K13">
        <f>+J13*6</f>
        <v>12744</v>
      </c>
    </row>
    <row r="14" spans="1:14" x14ac:dyDescent="0.25">
      <c r="B14" s="40"/>
      <c r="C14" s="40"/>
      <c r="D14" s="40">
        <f>+D13*6</f>
        <v>1680</v>
      </c>
      <c r="E14" s="40">
        <f t="shared" ref="E14:I14" si="6">+E13*6</f>
        <v>2184</v>
      </c>
      <c r="F14" s="40">
        <f t="shared" si="6"/>
        <v>2760</v>
      </c>
      <c r="G14" s="40">
        <f t="shared" si="6"/>
        <v>1680</v>
      </c>
      <c r="H14" s="40">
        <f t="shared" si="6"/>
        <v>2760</v>
      </c>
      <c r="I14" s="40">
        <f t="shared" si="6"/>
        <v>1680</v>
      </c>
      <c r="J14" s="40"/>
    </row>
    <row r="15" spans="1:14" x14ac:dyDescent="0.25">
      <c r="B15">
        <v>0.2</v>
      </c>
      <c r="C15" t="s">
        <v>14</v>
      </c>
      <c r="D15">
        <f>+$B15*D$13</f>
        <v>56</v>
      </c>
      <c r="E15">
        <f t="shared" ref="E15:I15" si="7">+$B15*E$13</f>
        <v>72.8</v>
      </c>
      <c r="F15">
        <f t="shared" si="7"/>
        <v>92</v>
      </c>
      <c r="G15">
        <f t="shared" si="7"/>
        <v>56</v>
      </c>
      <c r="H15">
        <f t="shared" si="7"/>
        <v>92</v>
      </c>
      <c r="I15">
        <f t="shared" si="7"/>
        <v>56</v>
      </c>
      <c r="J15">
        <f>SUM(D15:I15)</f>
        <v>424.8</v>
      </c>
      <c r="M15" s="45">
        <f>+Folha4!C5</f>
        <v>1.5</v>
      </c>
      <c r="N15">
        <f>+M15*J15</f>
        <v>637.20000000000005</v>
      </c>
    </row>
    <row r="16" spans="1:14" x14ac:dyDescent="0.25">
      <c r="B16" s="41">
        <v>0.25</v>
      </c>
      <c r="C16" t="s">
        <v>11</v>
      </c>
      <c r="D16">
        <f t="shared" ref="D16:I20" si="8">+$B16*D$13</f>
        <v>70</v>
      </c>
      <c r="E16">
        <f t="shared" si="8"/>
        <v>91</v>
      </c>
      <c r="F16">
        <f t="shared" si="8"/>
        <v>115</v>
      </c>
      <c r="G16">
        <f t="shared" si="8"/>
        <v>70</v>
      </c>
      <c r="H16">
        <f t="shared" si="8"/>
        <v>115</v>
      </c>
      <c r="I16">
        <f t="shared" si="8"/>
        <v>70</v>
      </c>
      <c r="J16">
        <f t="shared" ref="J16:J20" si="9">SUM(D16:I16)</f>
        <v>531</v>
      </c>
      <c r="K16">
        <v>400</v>
      </c>
      <c r="M16" s="45">
        <f>+Folha4!C6</f>
        <v>5.8</v>
      </c>
      <c r="N16">
        <f t="shared" ref="N16:N20" si="10">+M16*J16</f>
        <v>3079.7999999999997</v>
      </c>
    </row>
    <row r="17" spans="2:16" x14ac:dyDescent="0.25">
      <c r="B17" s="41">
        <v>0.25</v>
      </c>
      <c r="C17" t="s">
        <v>15</v>
      </c>
      <c r="D17">
        <f t="shared" si="8"/>
        <v>70</v>
      </c>
      <c r="E17">
        <f t="shared" si="8"/>
        <v>91</v>
      </c>
      <c r="F17">
        <f t="shared" si="8"/>
        <v>115</v>
      </c>
      <c r="G17">
        <f t="shared" si="8"/>
        <v>70</v>
      </c>
      <c r="H17">
        <f t="shared" si="8"/>
        <v>115</v>
      </c>
      <c r="I17">
        <f t="shared" si="8"/>
        <v>70</v>
      </c>
      <c r="J17">
        <f t="shared" si="9"/>
        <v>531</v>
      </c>
      <c r="K17">
        <f>+J17*0.07</f>
        <v>37.17</v>
      </c>
      <c r="M17" s="45">
        <f>+Folha4!C7</f>
        <v>6.6</v>
      </c>
      <c r="N17">
        <f t="shared" si="10"/>
        <v>3504.6</v>
      </c>
    </row>
    <row r="18" spans="2:16" x14ac:dyDescent="0.25">
      <c r="B18" s="41">
        <v>0.2</v>
      </c>
      <c r="C18" t="s">
        <v>19</v>
      </c>
      <c r="D18">
        <f t="shared" si="8"/>
        <v>56</v>
      </c>
      <c r="E18">
        <f t="shared" si="8"/>
        <v>72.8</v>
      </c>
      <c r="F18">
        <f t="shared" si="8"/>
        <v>92</v>
      </c>
      <c r="G18">
        <f t="shared" si="8"/>
        <v>56</v>
      </c>
      <c r="H18">
        <f t="shared" si="8"/>
        <v>92</v>
      </c>
      <c r="I18">
        <f t="shared" si="8"/>
        <v>56</v>
      </c>
      <c r="J18">
        <f t="shared" si="9"/>
        <v>424.8</v>
      </c>
      <c r="K18">
        <v>350</v>
      </c>
      <c r="M18" s="45">
        <f>+Folha4!C8</f>
        <v>5.6</v>
      </c>
      <c r="N18">
        <f t="shared" si="10"/>
        <v>2378.88</v>
      </c>
    </row>
    <row r="19" spans="2:16" x14ac:dyDescent="0.25">
      <c r="B19" s="41">
        <v>0.15</v>
      </c>
      <c r="C19" t="s">
        <v>20</v>
      </c>
      <c r="D19">
        <f t="shared" si="8"/>
        <v>42</v>
      </c>
      <c r="E19">
        <f t="shared" si="8"/>
        <v>54.6</v>
      </c>
      <c r="F19">
        <f t="shared" si="8"/>
        <v>69</v>
      </c>
      <c r="G19">
        <f t="shared" si="8"/>
        <v>42</v>
      </c>
      <c r="H19">
        <f t="shared" si="8"/>
        <v>69</v>
      </c>
      <c r="I19">
        <f t="shared" si="8"/>
        <v>42</v>
      </c>
      <c r="J19">
        <f t="shared" si="9"/>
        <v>318.60000000000002</v>
      </c>
      <c r="M19" s="45">
        <f>+Folha4!C10</f>
        <v>4.5</v>
      </c>
      <c r="N19">
        <f t="shared" si="10"/>
        <v>1433.7</v>
      </c>
    </row>
    <row r="20" spans="2:16" x14ac:dyDescent="0.25">
      <c r="B20" s="41">
        <v>0.15</v>
      </c>
      <c r="C20" t="s">
        <v>21</v>
      </c>
      <c r="D20">
        <f t="shared" si="8"/>
        <v>42</v>
      </c>
      <c r="E20">
        <f t="shared" si="8"/>
        <v>54.6</v>
      </c>
      <c r="F20">
        <f t="shared" si="8"/>
        <v>69</v>
      </c>
      <c r="G20">
        <f t="shared" si="8"/>
        <v>42</v>
      </c>
      <c r="H20">
        <f t="shared" si="8"/>
        <v>69</v>
      </c>
      <c r="I20">
        <f t="shared" si="8"/>
        <v>42</v>
      </c>
      <c r="J20">
        <f t="shared" si="9"/>
        <v>318.60000000000002</v>
      </c>
      <c r="M20" s="45">
        <f>+Folha4!C9</f>
        <v>4.5</v>
      </c>
      <c r="N20">
        <f t="shared" si="10"/>
        <v>1433.7</v>
      </c>
      <c r="O20">
        <f>SUM(N15:N20)</f>
        <v>12467.880000000001</v>
      </c>
    </row>
    <row r="21" spans="2:16" x14ac:dyDescent="0.25">
      <c r="B21" s="42">
        <f>SUM(B16:B20)</f>
        <v>1</v>
      </c>
    </row>
    <row r="23" spans="2:16" x14ac:dyDescent="0.25">
      <c r="B23">
        <v>0.3</v>
      </c>
      <c r="C23" t="s">
        <v>87</v>
      </c>
      <c r="D23" s="43">
        <f>+D$13*$B$23</f>
        <v>84</v>
      </c>
      <c r="E23" s="43">
        <f>+E$13*$B$23</f>
        <v>109.2</v>
      </c>
      <c r="F23" s="43">
        <f>+F$13*$B$23</f>
        <v>138</v>
      </c>
      <c r="G23" s="43">
        <f t="shared" ref="G23:I23" si="11">+G$13*$B$23</f>
        <v>84</v>
      </c>
      <c r="H23" s="43">
        <f t="shared" si="11"/>
        <v>138</v>
      </c>
      <c r="I23" s="43">
        <f t="shared" si="11"/>
        <v>84</v>
      </c>
      <c r="J23">
        <f>SUM(D23:I23)</f>
        <v>637.20000000000005</v>
      </c>
      <c r="M23">
        <v>1.5</v>
      </c>
      <c r="N23">
        <f>+M23*J23</f>
        <v>955.80000000000007</v>
      </c>
    </row>
    <row r="24" spans="2:16" x14ac:dyDescent="0.25">
      <c r="B24">
        <v>0.2</v>
      </c>
      <c r="C24" t="s">
        <v>88</v>
      </c>
      <c r="D24" s="43">
        <f>+$B$24*D$13*200/750</f>
        <v>14.933333333333334</v>
      </c>
      <c r="E24" s="43">
        <f t="shared" ref="E24:I24" si="12">+$B$24*E$13*200/750</f>
        <v>19.413333333333334</v>
      </c>
      <c r="F24" s="43">
        <f t="shared" si="12"/>
        <v>24.533333333333335</v>
      </c>
      <c r="G24" s="43">
        <f t="shared" si="12"/>
        <v>14.933333333333334</v>
      </c>
      <c r="H24" s="43">
        <f t="shared" si="12"/>
        <v>24.533333333333335</v>
      </c>
      <c r="I24" s="43">
        <f t="shared" si="12"/>
        <v>14.933333333333334</v>
      </c>
      <c r="J24" s="43">
        <f t="shared" ref="J24:J27" si="13">SUM(D24:I24)</f>
        <v>113.28</v>
      </c>
      <c r="K24" s="43">
        <f>+J24/6</f>
        <v>18.88</v>
      </c>
      <c r="M24">
        <v>7</v>
      </c>
      <c r="N24">
        <f>+M24*J24</f>
        <v>792.96</v>
      </c>
    </row>
    <row r="25" spans="2:16" x14ac:dyDescent="0.25">
      <c r="B25">
        <v>0.15</v>
      </c>
      <c r="C25" t="s">
        <v>89</v>
      </c>
      <c r="D25" s="43">
        <f>+$B$25*D$13*200/750</f>
        <v>11.2</v>
      </c>
      <c r="E25" s="43">
        <f t="shared" ref="E25:I25" si="14">+$B$25*E$13*200/750</f>
        <v>14.56</v>
      </c>
      <c r="F25" s="43">
        <f t="shared" si="14"/>
        <v>18.399999999999999</v>
      </c>
      <c r="G25" s="43">
        <f t="shared" si="14"/>
        <v>11.2</v>
      </c>
      <c r="H25" s="43">
        <f t="shared" si="14"/>
        <v>18.399999999999999</v>
      </c>
      <c r="I25" s="43">
        <f t="shared" si="14"/>
        <v>11.2</v>
      </c>
      <c r="J25" s="43">
        <f t="shared" si="13"/>
        <v>84.96</v>
      </c>
      <c r="K25" s="43">
        <f t="shared" ref="K25:K26" si="15">+J25/6</f>
        <v>14.159999999999998</v>
      </c>
      <c r="M25">
        <v>7</v>
      </c>
      <c r="N25">
        <f>+M25*J25</f>
        <v>594.71999999999991</v>
      </c>
    </row>
    <row r="26" spans="2:16" x14ac:dyDescent="0.25">
      <c r="B26">
        <v>0.1</v>
      </c>
      <c r="C26" t="s">
        <v>90</v>
      </c>
      <c r="D26" s="43">
        <f>+$B$26*D13*200/750</f>
        <v>7.4666666666666668</v>
      </c>
      <c r="E26" s="43">
        <f t="shared" ref="E26:I26" si="16">+$B$26*E13*200/750</f>
        <v>9.706666666666667</v>
      </c>
      <c r="F26" s="43">
        <f t="shared" si="16"/>
        <v>12.266666666666667</v>
      </c>
      <c r="G26" s="43">
        <f t="shared" si="16"/>
        <v>7.4666666666666668</v>
      </c>
      <c r="H26" s="43">
        <f t="shared" si="16"/>
        <v>12.266666666666667</v>
      </c>
      <c r="I26" s="43">
        <f t="shared" si="16"/>
        <v>7.4666666666666668</v>
      </c>
      <c r="J26" s="43">
        <f t="shared" si="13"/>
        <v>56.64</v>
      </c>
      <c r="K26" s="43">
        <f t="shared" si="15"/>
        <v>9.44</v>
      </c>
      <c r="M26">
        <v>7</v>
      </c>
      <c r="N26">
        <f t="shared" ref="N26" si="17">+M26*J26</f>
        <v>396.48</v>
      </c>
    </row>
    <row r="27" spans="2:16" x14ac:dyDescent="0.25">
      <c r="B27">
        <v>0.25</v>
      </c>
      <c r="C27" t="s">
        <v>91</v>
      </c>
      <c r="D27" s="43">
        <f>+$B$27*D13*250/1000</f>
        <v>17.5</v>
      </c>
      <c r="E27" s="43">
        <f>+$B$27*E13*250/1000</f>
        <v>22.75</v>
      </c>
      <c r="F27" s="43">
        <f t="shared" ref="F27:H27" si="18">+$B$27*F13*250/1000</f>
        <v>28.75</v>
      </c>
      <c r="G27" s="43">
        <f t="shared" si="18"/>
        <v>17.5</v>
      </c>
      <c r="H27" s="43">
        <f t="shared" si="18"/>
        <v>28.75</v>
      </c>
      <c r="I27" s="43">
        <f>+$B$27*I13*250/1000</f>
        <v>17.5</v>
      </c>
      <c r="J27">
        <f t="shared" si="13"/>
        <v>132.75</v>
      </c>
      <c r="K27" s="43">
        <f>+J27/0.25</f>
        <v>531</v>
      </c>
      <c r="M27" s="48">
        <f>+(1.75+3)/2</f>
        <v>2.375</v>
      </c>
      <c r="N27">
        <f>+M27*(J27/((0.25+0.5)/2))</f>
        <v>840.75</v>
      </c>
      <c r="O27">
        <f>SUM(N23:N27)</f>
        <v>3580.71</v>
      </c>
      <c r="P27">
        <f>+O27+O20</f>
        <v>16048.59</v>
      </c>
    </row>
    <row r="28" spans="2:16" x14ac:dyDescent="0.25">
      <c r="B28">
        <f>SUM(B23:B27)</f>
        <v>1</v>
      </c>
    </row>
    <row r="29" spans="2:16" x14ac:dyDescent="0.25">
      <c r="I29" t="s">
        <v>92</v>
      </c>
      <c r="J29">
        <f>+J27/0.75/3</f>
        <v>59</v>
      </c>
    </row>
    <row r="31" spans="2:16" x14ac:dyDescent="0.25">
      <c r="B31">
        <v>0.2</v>
      </c>
      <c r="C31" t="s">
        <v>93</v>
      </c>
      <c r="D31" s="43">
        <f>+D$13/3*$B$31</f>
        <v>18.666666666666668</v>
      </c>
      <c r="E31" s="43">
        <f t="shared" ref="E31:I31" si="19">+E$13/3*$B$31</f>
        <v>24.266666666666666</v>
      </c>
      <c r="F31" s="43">
        <f t="shared" si="19"/>
        <v>30.666666666666671</v>
      </c>
      <c r="G31" s="43">
        <f t="shared" si="19"/>
        <v>18.666666666666668</v>
      </c>
      <c r="H31" s="43">
        <f t="shared" si="19"/>
        <v>30.666666666666671</v>
      </c>
      <c r="I31" s="43">
        <f t="shared" si="19"/>
        <v>18.666666666666668</v>
      </c>
      <c r="J31" s="43">
        <f>SUM(D31:I31)</f>
        <v>141.60000000000002</v>
      </c>
      <c r="M31" s="45">
        <f>+Folha4!C15</f>
        <v>0.6</v>
      </c>
      <c r="N31">
        <f>+M31*J31</f>
        <v>84.960000000000008</v>
      </c>
    </row>
    <row r="32" spans="2:16" x14ac:dyDescent="0.25">
      <c r="B32">
        <v>0.4</v>
      </c>
      <c r="C32" t="s">
        <v>94</v>
      </c>
      <c r="D32" s="43">
        <f>+D$13/3*$B$32</f>
        <v>37.333333333333336</v>
      </c>
      <c r="E32" s="43">
        <f t="shared" ref="E32:I32" si="20">+E$13/3*$B$32</f>
        <v>48.533333333333331</v>
      </c>
      <c r="F32" s="43">
        <f t="shared" si="20"/>
        <v>61.333333333333343</v>
      </c>
      <c r="G32" s="43">
        <f t="shared" si="20"/>
        <v>37.333333333333336</v>
      </c>
      <c r="H32" s="43">
        <f t="shared" si="20"/>
        <v>61.333333333333343</v>
      </c>
      <c r="I32" s="43">
        <f t="shared" si="20"/>
        <v>37.333333333333336</v>
      </c>
      <c r="J32" s="43">
        <f t="shared" ref="J32:J33" si="21">SUM(D32:I32)</f>
        <v>283.20000000000005</v>
      </c>
      <c r="M32" s="45">
        <f>+Folha4!C17</f>
        <v>0.7</v>
      </c>
      <c r="N32">
        <f t="shared" ref="N32:N33" si="22">+M32*J32</f>
        <v>198.24</v>
      </c>
    </row>
    <row r="33" spans="2:15" x14ac:dyDescent="0.25">
      <c r="B33">
        <v>0.4</v>
      </c>
      <c r="C33" t="s">
        <v>95</v>
      </c>
      <c r="D33" s="43">
        <f>+D$13/3*$B$33</f>
        <v>37.333333333333336</v>
      </c>
      <c r="E33" s="43">
        <f t="shared" ref="E33:I33" si="23">+E$13/3*$B$33</f>
        <v>48.533333333333331</v>
      </c>
      <c r="F33" s="43">
        <f t="shared" si="23"/>
        <v>61.333333333333343</v>
      </c>
      <c r="G33" s="43">
        <f t="shared" si="23"/>
        <v>37.333333333333336</v>
      </c>
      <c r="H33" s="43">
        <f t="shared" si="23"/>
        <v>61.333333333333343</v>
      </c>
      <c r="I33" s="43">
        <f t="shared" si="23"/>
        <v>37.333333333333336</v>
      </c>
      <c r="J33" s="43">
        <f t="shared" si="21"/>
        <v>283.20000000000005</v>
      </c>
      <c r="M33" s="45">
        <f>+Folha4!C16</f>
        <v>0.8</v>
      </c>
      <c r="N33">
        <f t="shared" si="22"/>
        <v>226.56000000000006</v>
      </c>
      <c r="O33">
        <f>SUM(N31:N33)</f>
        <v>509.7600000000001</v>
      </c>
    </row>
  </sheetData>
  <conditionalFormatting sqref="D7:I8">
    <cfRule type="cellIs" dxfId="1" priority="2" operator="greaterThan">
      <formula>5</formula>
    </cfRule>
  </conditionalFormatting>
  <conditionalFormatting sqref="D11:I11">
    <cfRule type="cellIs" dxfId="0" priority="1" operator="greaterThan">
      <formula>2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26117-BAE7-413C-B908-386ECFF7F9BC}">
  <dimension ref="A1:S40"/>
  <sheetViews>
    <sheetView topLeftCell="A11" workbookViewId="0">
      <selection activeCell="K31" sqref="K31"/>
    </sheetView>
  </sheetViews>
  <sheetFormatPr defaultRowHeight="15" x14ac:dyDescent="0.25"/>
  <cols>
    <col min="1" max="1" width="20.7109375" bestFit="1" customWidth="1"/>
    <col min="3" max="3" width="4.42578125" bestFit="1" customWidth="1"/>
    <col min="8" max="8" width="33.28515625" bestFit="1" customWidth="1"/>
    <col min="14" max="14" width="18.85546875" bestFit="1" customWidth="1"/>
    <col min="18" max="18" width="12" bestFit="1" customWidth="1"/>
  </cols>
  <sheetData>
    <row r="1" spans="1:19" x14ac:dyDescent="0.25">
      <c r="A1" t="s">
        <v>43</v>
      </c>
      <c r="H1" t="s">
        <v>44</v>
      </c>
      <c r="N1" t="s">
        <v>63</v>
      </c>
    </row>
    <row r="3" spans="1:19" x14ac:dyDescent="0.25">
      <c r="A3" s="22" t="s">
        <v>11</v>
      </c>
      <c r="B3" s="23">
        <v>2</v>
      </c>
      <c r="C3" s="24" t="s">
        <v>22</v>
      </c>
      <c r="D3" s="21">
        <f>+B3/22</f>
        <v>9.0909090909090912E-2</v>
      </c>
      <c r="E3" s="21">
        <f>+D3*400</f>
        <v>36.363636363636367</v>
      </c>
      <c r="H3" s="27" t="s">
        <v>45</v>
      </c>
      <c r="I3" s="21">
        <v>3</v>
      </c>
      <c r="J3" s="21" t="s">
        <v>22</v>
      </c>
      <c r="K3" s="21">
        <f>+I3/40</f>
        <v>7.4999999999999997E-2</v>
      </c>
      <c r="L3">
        <f>+K3*Folha2!$J$17</f>
        <v>39.824999999999996</v>
      </c>
      <c r="N3" s="21" t="s">
        <v>64</v>
      </c>
      <c r="O3" s="21"/>
      <c r="P3" s="21">
        <v>3.75</v>
      </c>
      <c r="Q3" s="21" t="s">
        <v>22</v>
      </c>
      <c r="R3" s="25">
        <f>+P3/45</f>
        <v>8.3333333333333329E-2</v>
      </c>
      <c r="S3" s="21">
        <f>+R3*Folha2!$J$18*2</f>
        <v>70.8</v>
      </c>
    </row>
    <row r="4" spans="1:19" x14ac:dyDescent="0.25">
      <c r="A4" s="22" t="s">
        <v>23</v>
      </c>
      <c r="B4" s="23">
        <v>3</v>
      </c>
      <c r="C4" s="24" t="s">
        <v>22</v>
      </c>
      <c r="D4" s="21">
        <f t="shared" ref="D4:D20" si="0">+B4/22</f>
        <v>0.13636363636363635</v>
      </c>
      <c r="E4" s="21">
        <f>+D4*Folha2!$J$16</f>
        <v>72.409090909090907</v>
      </c>
      <c r="F4">
        <f t="shared" ref="F4:F5" si="1">+E4*0.8</f>
        <v>57.927272727272729</v>
      </c>
      <c r="H4" s="31" t="s">
        <v>46</v>
      </c>
      <c r="I4" s="21">
        <v>0.4</v>
      </c>
      <c r="J4" s="21"/>
      <c r="K4" s="21">
        <f t="shared" ref="K4:K20" si="2">+I4/40</f>
        <v>0.01</v>
      </c>
      <c r="L4">
        <f>+K4*Folha2!$J$17</f>
        <v>5.3100000000000005</v>
      </c>
      <c r="N4" s="27" t="s">
        <v>65</v>
      </c>
      <c r="O4" s="21"/>
      <c r="P4" s="21">
        <v>0.375</v>
      </c>
      <c r="Q4" s="21" t="s">
        <v>22</v>
      </c>
      <c r="R4" s="25">
        <f t="shared" ref="R4:R26" si="3">+P4/45</f>
        <v>8.3333333333333332E-3</v>
      </c>
      <c r="S4" s="21">
        <f>+R4*Folha2!$J$18*2</f>
        <v>7.08</v>
      </c>
    </row>
    <row r="5" spans="1:19" x14ac:dyDescent="0.25">
      <c r="A5" s="33" t="s">
        <v>24</v>
      </c>
      <c r="B5" s="23">
        <v>0.6</v>
      </c>
      <c r="C5" s="24" t="s">
        <v>22</v>
      </c>
      <c r="D5" s="21">
        <f t="shared" si="0"/>
        <v>2.7272727272727271E-2</v>
      </c>
      <c r="E5" s="21">
        <f>+D5*Folha2!$J$16</f>
        <v>14.481818181818181</v>
      </c>
      <c r="F5">
        <f t="shared" si="1"/>
        <v>11.585454545454546</v>
      </c>
      <c r="H5" s="21" t="s">
        <v>47</v>
      </c>
      <c r="I5" s="21">
        <v>2</v>
      </c>
      <c r="J5" s="21" t="s">
        <v>22</v>
      </c>
      <c r="K5" s="21">
        <f t="shared" si="2"/>
        <v>0.05</v>
      </c>
      <c r="L5">
        <f>+K5*Folha2!$J$17</f>
        <v>26.55</v>
      </c>
      <c r="N5" s="29" t="s">
        <v>66</v>
      </c>
      <c r="O5" s="21"/>
      <c r="P5" s="21">
        <v>0.375</v>
      </c>
      <c r="Q5" s="21" t="s">
        <v>22</v>
      </c>
      <c r="R5" s="25">
        <f t="shared" si="3"/>
        <v>8.3333333333333332E-3</v>
      </c>
      <c r="S5" s="21">
        <f>+R5*Folha2!$J$18*2</f>
        <v>7.08</v>
      </c>
    </row>
    <row r="6" spans="1:19" x14ac:dyDescent="0.25">
      <c r="A6" s="22" t="s">
        <v>25</v>
      </c>
      <c r="B6" s="23">
        <v>2</v>
      </c>
      <c r="C6" s="24" t="s">
        <v>26</v>
      </c>
      <c r="D6" s="21">
        <f t="shared" si="0"/>
        <v>9.0909090909090912E-2</v>
      </c>
      <c r="E6" s="21">
        <f>+D6*Folha2!$J$16</f>
        <v>48.272727272727273</v>
      </c>
      <c r="F6">
        <f>+E6*0.8</f>
        <v>38.618181818181824</v>
      </c>
      <c r="H6" s="21" t="s">
        <v>48</v>
      </c>
      <c r="I6" s="21">
        <v>0.2</v>
      </c>
      <c r="J6" s="21"/>
      <c r="K6" s="21">
        <f t="shared" si="2"/>
        <v>5.0000000000000001E-3</v>
      </c>
      <c r="L6">
        <f>+K6*Folha2!$J$17</f>
        <v>2.6550000000000002</v>
      </c>
      <c r="N6" s="31" t="s">
        <v>38</v>
      </c>
      <c r="O6" s="21"/>
      <c r="P6" s="21">
        <v>0.1875</v>
      </c>
      <c r="Q6" s="21" t="s">
        <v>22</v>
      </c>
      <c r="R6" s="25">
        <f t="shared" si="3"/>
        <v>4.1666666666666666E-3</v>
      </c>
      <c r="S6" s="21">
        <f>+R6*Folha2!$J$18*2</f>
        <v>3.54</v>
      </c>
    </row>
    <row r="7" spans="1:19" x14ac:dyDescent="0.25">
      <c r="A7" s="22" t="s">
        <v>27</v>
      </c>
      <c r="B7" s="23">
        <v>1</v>
      </c>
      <c r="C7" s="24" t="s">
        <v>26</v>
      </c>
      <c r="D7" s="21">
        <f t="shared" si="0"/>
        <v>4.5454545454545456E-2</v>
      </c>
      <c r="E7" s="21">
        <f>+D7*Folha2!$J$16</f>
        <v>24.136363636363637</v>
      </c>
      <c r="F7">
        <f>+E7*0.8</f>
        <v>19.309090909090912</v>
      </c>
      <c r="H7" s="21" t="s">
        <v>49</v>
      </c>
      <c r="I7" s="21">
        <v>0.2</v>
      </c>
      <c r="J7" s="21"/>
      <c r="K7" s="21">
        <f t="shared" si="2"/>
        <v>5.0000000000000001E-3</v>
      </c>
      <c r="L7">
        <f>+K7*Folha2!$J$17</f>
        <v>2.6550000000000002</v>
      </c>
      <c r="N7" s="21" t="s">
        <v>67</v>
      </c>
      <c r="O7" s="21"/>
      <c r="P7" s="21">
        <v>0.1875</v>
      </c>
      <c r="Q7" s="21" t="s">
        <v>22</v>
      </c>
      <c r="R7" s="25">
        <f t="shared" si="3"/>
        <v>4.1666666666666666E-3</v>
      </c>
      <c r="S7" s="21">
        <f>+R7*Folha2!$J$18*2</f>
        <v>3.54</v>
      </c>
    </row>
    <row r="8" spans="1:19" x14ac:dyDescent="0.25">
      <c r="A8" s="34" t="s">
        <v>28</v>
      </c>
      <c r="B8" s="23">
        <v>0.4</v>
      </c>
      <c r="C8" s="24" t="s">
        <v>22</v>
      </c>
      <c r="D8" s="21">
        <f t="shared" si="0"/>
        <v>1.8181818181818184E-2</v>
      </c>
      <c r="E8" s="21">
        <f>+D8*Folha2!$J$16</f>
        <v>9.6545454545454561</v>
      </c>
      <c r="H8" s="21" t="s">
        <v>50</v>
      </c>
      <c r="I8" s="21">
        <v>0.2</v>
      </c>
      <c r="J8" s="21" t="s">
        <v>51</v>
      </c>
      <c r="K8" s="21">
        <f t="shared" si="2"/>
        <v>5.0000000000000001E-3</v>
      </c>
      <c r="L8">
        <f>+K8*Folha2!$J$17</f>
        <v>2.6550000000000002</v>
      </c>
      <c r="N8" s="35" t="s">
        <v>68</v>
      </c>
      <c r="O8" s="21"/>
      <c r="P8" s="21">
        <v>0.375</v>
      </c>
      <c r="Q8" s="21" t="s">
        <v>22</v>
      </c>
      <c r="R8" s="25">
        <f t="shared" si="3"/>
        <v>8.3333333333333332E-3</v>
      </c>
      <c r="S8" s="21">
        <f>+R8*Folha2!$J$18*2</f>
        <v>7.08</v>
      </c>
    </row>
    <row r="9" spans="1:19" x14ac:dyDescent="0.25">
      <c r="A9" s="30" t="s">
        <v>29</v>
      </c>
      <c r="B9" s="23">
        <v>0.6</v>
      </c>
      <c r="C9" s="24" t="s">
        <v>22</v>
      </c>
      <c r="D9" s="21">
        <f t="shared" si="0"/>
        <v>2.7272727272727271E-2</v>
      </c>
      <c r="E9" s="21">
        <f>+D9*Folha2!$J$16</f>
        <v>14.481818181818181</v>
      </c>
      <c r="H9" s="21" t="s">
        <v>52</v>
      </c>
      <c r="I9" s="21">
        <v>1</v>
      </c>
      <c r="J9" s="21" t="s">
        <v>26</v>
      </c>
      <c r="K9" s="21">
        <f t="shared" si="2"/>
        <v>2.5000000000000001E-2</v>
      </c>
      <c r="L9">
        <f>+K9*Folha2!$J$17</f>
        <v>13.275</v>
      </c>
      <c r="N9" s="21" t="s">
        <v>69</v>
      </c>
      <c r="O9" s="21"/>
      <c r="P9" s="21">
        <v>0.1875</v>
      </c>
      <c r="Q9" s="21" t="s">
        <v>22</v>
      </c>
      <c r="R9" s="25">
        <f t="shared" si="3"/>
        <v>4.1666666666666666E-3</v>
      </c>
      <c r="S9" s="21">
        <f>+R9*Folha2!$J$18*2</f>
        <v>3.54</v>
      </c>
    </row>
    <row r="10" spans="1:19" x14ac:dyDescent="0.25">
      <c r="A10" s="22" t="s">
        <v>30</v>
      </c>
      <c r="B10" s="23">
        <v>0.23</v>
      </c>
      <c r="C10" s="24" t="s">
        <v>22</v>
      </c>
      <c r="D10" s="21">
        <f t="shared" si="0"/>
        <v>1.0454545454545454E-2</v>
      </c>
      <c r="E10" s="21">
        <f>+D10*Folha2!$J$16</f>
        <v>5.5513636363636358</v>
      </c>
      <c r="H10" s="21" t="s">
        <v>53</v>
      </c>
      <c r="I10" s="21">
        <v>0.5</v>
      </c>
      <c r="J10" s="21" t="s">
        <v>22</v>
      </c>
      <c r="K10" s="21">
        <f t="shared" si="2"/>
        <v>1.2500000000000001E-2</v>
      </c>
      <c r="L10">
        <f>+K10*Folha2!$J$17</f>
        <v>6.6375000000000002</v>
      </c>
      <c r="N10" s="39" t="s">
        <v>36</v>
      </c>
      <c r="O10" s="21"/>
      <c r="P10" s="21">
        <v>0.1875</v>
      </c>
      <c r="Q10" s="21" t="s">
        <v>22</v>
      </c>
      <c r="R10" s="25">
        <f t="shared" si="3"/>
        <v>4.1666666666666666E-3</v>
      </c>
      <c r="S10" s="21">
        <f>+R10*Folha2!$J$18*2</f>
        <v>3.54</v>
      </c>
    </row>
    <row r="11" spans="1:19" x14ac:dyDescent="0.25">
      <c r="A11" s="22" t="s">
        <v>31</v>
      </c>
      <c r="B11" s="23">
        <v>5.0000000000000001E-3</v>
      </c>
      <c r="C11" s="24" t="s">
        <v>22</v>
      </c>
      <c r="D11" s="21">
        <f t="shared" si="0"/>
        <v>2.2727272727272727E-4</v>
      </c>
      <c r="E11" s="21">
        <f>+D11*Folha2!$J$16</f>
        <v>0.12068181818181818</v>
      </c>
      <c r="H11" s="28" t="s">
        <v>54</v>
      </c>
      <c r="I11" s="21">
        <v>0.05</v>
      </c>
      <c r="J11" s="21" t="s">
        <v>22</v>
      </c>
      <c r="K11" s="21">
        <f t="shared" si="2"/>
        <v>1.25E-3</v>
      </c>
      <c r="L11">
        <f>+K11*Folha2!$J$17</f>
        <v>0.66375000000000006</v>
      </c>
      <c r="N11" s="21" t="s">
        <v>70</v>
      </c>
      <c r="O11" s="21"/>
      <c r="P11" s="21">
        <v>7.4999999999999997E-2</v>
      </c>
      <c r="Q11" s="21" t="s">
        <v>22</v>
      </c>
      <c r="R11" s="25">
        <f t="shared" si="3"/>
        <v>1.6666666666666666E-3</v>
      </c>
      <c r="S11" s="21">
        <f>+R11*Folha2!$J$18*2</f>
        <v>1.4159999999999999</v>
      </c>
    </row>
    <row r="12" spans="1:19" x14ac:dyDescent="0.25">
      <c r="A12" s="22" t="s">
        <v>32</v>
      </c>
      <c r="B12" s="23">
        <v>3.0000000000000001E-3</v>
      </c>
      <c r="C12" s="24" t="s">
        <v>33</v>
      </c>
      <c r="D12" s="21">
        <f t="shared" si="0"/>
        <v>1.3636363636363637E-4</v>
      </c>
      <c r="E12" s="21">
        <f>+D12*Folha2!$J$16</f>
        <v>7.2409090909090909E-2</v>
      </c>
      <c r="H12" s="26" t="s">
        <v>55</v>
      </c>
      <c r="I12" s="21">
        <v>1.4999999999999999E-2</v>
      </c>
      <c r="J12" s="21" t="s">
        <v>22</v>
      </c>
      <c r="K12" s="21">
        <f t="shared" si="2"/>
        <v>3.7500000000000001E-4</v>
      </c>
      <c r="L12">
        <f>+K12*Folha2!$J$17</f>
        <v>0.199125</v>
      </c>
      <c r="N12" s="21" t="s">
        <v>71</v>
      </c>
      <c r="O12" s="21"/>
      <c r="P12" s="21">
        <v>4.1662499999999998E-2</v>
      </c>
      <c r="Q12" s="21" t="s">
        <v>72</v>
      </c>
      <c r="R12" s="25">
        <f t="shared" si="3"/>
        <v>9.258333333333333E-4</v>
      </c>
      <c r="S12" s="21">
        <f>+R12*Folha2!$J$18*2</f>
        <v>0.78658799999999995</v>
      </c>
    </row>
    <row r="13" spans="1:19" x14ac:dyDescent="0.25">
      <c r="A13" s="22" t="s">
        <v>34</v>
      </c>
      <c r="B13" s="23">
        <v>5.0000000000000001E-3</v>
      </c>
      <c r="C13" s="24" t="s">
        <v>33</v>
      </c>
      <c r="D13" s="21">
        <f t="shared" si="0"/>
        <v>2.2727272727272727E-4</v>
      </c>
      <c r="E13" s="21">
        <f>+D13*Folha2!$J$16</f>
        <v>0.12068181818181818</v>
      </c>
      <c r="H13" s="21" t="s">
        <v>56</v>
      </c>
      <c r="I13" s="21">
        <v>4.4999999999999998E-2</v>
      </c>
      <c r="J13" s="21" t="s">
        <v>26</v>
      </c>
      <c r="K13" s="21">
        <f t="shared" si="2"/>
        <v>1.1249999999999999E-3</v>
      </c>
      <c r="L13">
        <f>+K13*Folha2!$J$17</f>
        <v>0.59737499999999999</v>
      </c>
      <c r="N13" s="21" t="s">
        <v>73</v>
      </c>
      <c r="O13" s="21"/>
      <c r="P13" s="21">
        <v>4.1662499999999998E-2</v>
      </c>
      <c r="Q13" s="21" t="s">
        <v>72</v>
      </c>
      <c r="R13" s="25">
        <f t="shared" si="3"/>
        <v>9.258333333333333E-4</v>
      </c>
      <c r="S13" s="21">
        <f>+R13*Folha2!$J$18*2</f>
        <v>0.78658799999999995</v>
      </c>
    </row>
    <row r="14" spans="1:19" x14ac:dyDescent="0.25">
      <c r="A14" s="22" t="s">
        <v>35</v>
      </c>
      <c r="B14" s="23">
        <v>0.4</v>
      </c>
      <c r="C14" s="24" t="s">
        <v>26</v>
      </c>
      <c r="D14" s="21">
        <f t="shared" si="0"/>
        <v>1.8181818181818184E-2</v>
      </c>
      <c r="E14" s="21">
        <f>+D14*Folha2!$J$16</f>
        <v>9.6545454545454561</v>
      </c>
      <c r="H14" s="21" t="s">
        <v>57</v>
      </c>
      <c r="I14" s="21">
        <v>5.0000000000000001E-3</v>
      </c>
      <c r="J14" s="21" t="s">
        <v>22</v>
      </c>
      <c r="K14" s="21">
        <f t="shared" si="2"/>
        <v>1.25E-4</v>
      </c>
      <c r="L14">
        <f>+K14*Folha2!$J$17</f>
        <v>6.6375000000000003E-2</v>
      </c>
      <c r="N14" s="37" t="s">
        <v>42</v>
      </c>
      <c r="O14" s="21"/>
      <c r="P14" s="21">
        <v>5.6249999999999994E-2</v>
      </c>
      <c r="Q14" s="21" t="s">
        <v>22</v>
      </c>
      <c r="R14" s="25">
        <f t="shared" si="3"/>
        <v>1.2499999999999998E-3</v>
      </c>
      <c r="S14" s="21">
        <f>+R14*Folha2!$J$18*2</f>
        <v>1.0619999999999998</v>
      </c>
    </row>
    <row r="15" spans="1:19" x14ac:dyDescent="0.25">
      <c r="A15" s="38" t="s">
        <v>36</v>
      </c>
      <c r="B15" s="23">
        <v>0.1</v>
      </c>
      <c r="C15" s="24" t="s">
        <v>26</v>
      </c>
      <c r="D15" s="21">
        <f t="shared" si="0"/>
        <v>4.5454545454545461E-3</v>
      </c>
      <c r="E15" s="21">
        <f>+D15*Folha2!$J$16</f>
        <v>2.413636363636364</v>
      </c>
      <c r="H15" s="21" t="s">
        <v>58</v>
      </c>
      <c r="I15" s="21">
        <v>5.0000000000000001E-3</v>
      </c>
      <c r="J15" s="21" t="s">
        <v>22</v>
      </c>
      <c r="K15" s="21">
        <f t="shared" si="2"/>
        <v>1.25E-4</v>
      </c>
      <c r="L15">
        <f>+K15*Folha2!$J$17</f>
        <v>6.6375000000000003E-2</v>
      </c>
      <c r="N15" s="21" t="s">
        <v>74</v>
      </c>
      <c r="O15" s="21"/>
      <c r="P15" s="21">
        <v>3.75</v>
      </c>
      <c r="Q15" s="21" t="s">
        <v>75</v>
      </c>
      <c r="R15" s="25">
        <f t="shared" si="3"/>
        <v>8.3333333333333329E-2</v>
      </c>
      <c r="S15" s="21">
        <f>+R15*Folha2!$J$18*2</f>
        <v>70.8</v>
      </c>
    </row>
    <row r="16" spans="1:19" x14ac:dyDescent="0.25">
      <c r="A16" s="22" t="s">
        <v>37</v>
      </c>
      <c r="B16" s="23">
        <v>1.4999999999999999E-2</v>
      </c>
      <c r="C16" s="24" t="s">
        <v>22</v>
      </c>
      <c r="D16" s="21">
        <f t="shared" si="0"/>
        <v>6.8181818181818176E-4</v>
      </c>
      <c r="E16" s="21">
        <f>+D16*Folha2!$J$16</f>
        <v>0.3620454545454545</v>
      </c>
      <c r="H16" s="21" t="s">
        <v>59</v>
      </c>
      <c r="I16" s="21">
        <v>0.01</v>
      </c>
      <c r="J16" s="21" t="s">
        <v>22</v>
      </c>
      <c r="K16" s="21">
        <f t="shared" si="2"/>
        <v>2.5000000000000001E-4</v>
      </c>
      <c r="L16">
        <f>+K16*Folha2!$J$17</f>
        <v>0.13275000000000001</v>
      </c>
      <c r="N16" s="21" t="s">
        <v>76</v>
      </c>
      <c r="O16" s="21"/>
      <c r="P16" s="21">
        <v>3.75</v>
      </c>
      <c r="Q16" s="21" t="s">
        <v>75</v>
      </c>
      <c r="R16" s="25">
        <f t="shared" si="3"/>
        <v>8.3333333333333329E-2</v>
      </c>
      <c r="S16" s="21">
        <f>+R16*Folha2!$J$18*2</f>
        <v>70.8</v>
      </c>
    </row>
    <row r="17" spans="1:19" x14ac:dyDescent="0.25">
      <c r="A17" s="32" t="s">
        <v>38</v>
      </c>
      <c r="B17" s="23">
        <v>0.02</v>
      </c>
      <c r="C17" s="24" t="s">
        <v>22</v>
      </c>
      <c r="D17" s="21">
        <f t="shared" si="0"/>
        <v>9.0909090909090909E-4</v>
      </c>
      <c r="E17" s="21">
        <f>+D17*Folha2!$J$16</f>
        <v>0.48272727272727273</v>
      </c>
      <c r="H17" s="21" t="s">
        <v>60</v>
      </c>
      <c r="I17" s="21">
        <v>2</v>
      </c>
      <c r="J17" s="21" t="s">
        <v>51</v>
      </c>
      <c r="K17" s="21">
        <f t="shared" si="2"/>
        <v>0.05</v>
      </c>
      <c r="L17">
        <f>+K17*Folha2!$J$17</f>
        <v>26.55</v>
      </c>
      <c r="N17" s="21" t="s">
        <v>77</v>
      </c>
      <c r="O17" s="21"/>
      <c r="P17" s="21">
        <v>2.0624999999999998E-2</v>
      </c>
      <c r="Q17" s="21" t="s">
        <v>22</v>
      </c>
      <c r="R17" s="25">
        <f t="shared" si="3"/>
        <v>4.5833333333333327E-4</v>
      </c>
      <c r="S17" s="21">
        <f>+R17*Folha2!$J$18*2</f>
        <v>0.38939999999999997</v>
      </c>
    </row>
    <row r="18" spans="1:19" x14ac:dyDescent="0.25">
      <c r="A18" s="22" t="s">
        <v>39</v>
      </c>
      <c r="B18" s="23">
        <v>1</v>
      </c>
      <c r="C18" s="24" t="s">
        <v>40</v>
      </c>
      <c r="D18" s="21">
        <f t="shared" si="0"/>
        <v>4.5454545454545456E-2</v>
      </c>
      <c r="E18" s="21">
        <f>+D18*Folha2!$J$16</f>
        <v>24.136363636363637</v>
      </c>
      <c r="H18" s="21" t="s">
        <v>61</v>
      </c>
      <c r="I18" s="21">
        <v>1</v>
      </c>
      <c r="J18" s="21" t="s">
        <v>51</v>
      </c>
      <c r="K18" s="21">
        <f t="shared" si="2"/>
        <v>2.5000000000000001E-2</v>
      </c>
      <c r="L18">
        <f>+K18*Folha2!$J$17</f>
        <v>13.275</v>
      </c>
      <c r="N18" s="26" t="s">
        <v>78</v>
      </c>
      <c r="O18" s="21"/>
      <c r="P18" s="21">
        <v>4.1250000000000002E-3</v>
      </c>
      <c r="Q18" s="21" t="s">
        <v>22</v>
      </c>
      <c r="R18" s="25">
        <f t="shared" si="3"/>
        <v>9.1666666666666668E-5</v>
      </c>
      <c r="S18" s="21">
        <f>+R18*Folha2!$J$18*2</f>
        <v>7.7880000000000005E-2</v>
      </c>
    </row>
    <row r="19" spans="1:19" x14ac:dyDescent="0.25">
      <c r="A19" s="22" t="s">
        <v>41</v>
      </c>
      <c r="B19" s="23">
        <v>1</v>
      </c>
      <c r="C19" s="24" t="s">
        <v>40</v>
      </c>
      <c r="D19" s="21">
        <f t="shared" si="0"/>
        <v>4.5454545454545456E-2</v>
      </c>
      <c r="E19" s="21">
        <f>+D19*Folha2!$J$16</f>
        <v>24.136363636363637</v>
      </c>
      <c r="H19" s="21" t="s">
        <v>62</v>
      </c>
      <c r="I19" s="21">
        <v>0.04</v>
      </c>
      <c r="J19" s="21"/>
      <c r="K19" s="21">
        <f t="shared" si="2"/>
        <v>1E-3</v>
      </c>
      <c r="L19">
        <f>+K19*Folha2!$J$17</f>
        <v>0.53100000000000003</v>
      </c>
      <c r="N19" s="28" t="s">
        <v>79</v>
      </c>
      <c r="O19" s="21"/>
      <c r="P19" s="21">
        <v>4.1250000000000002E-3</v>
      </c>
      <c r="Q19" s="21" t="s">
        <v>22</v>
      </c>
      <c r="R19" s="25">
        <f t="shared" si="3"/>
        <v>9.1666666666666668E-5</v>
      </c>
      <c r="S19" s="21">
        <f>+R19*Folha2!$J$18*2</f>
        <v>7.7880000000000005E-2</v>
      </c>
    </row>
    <row r="20" spans="1:19" x14ac:dyDescent="0.25">
      <c r="A20" s="36" t="s">
        <v>42</v>
      </c>
      <c r="B20" s="23">
        <v>0.03</v>
      </c>
      <c r="C20" s="24" t="s">
        <v>22</v>
      </c>
      <c r="D20" s="21">
        <f t="shared" si="0"/>
        <v>1.3636363636363635E-3</v>
      </c>
      <c r="E20" s="21">
        <f>+D20*Folha2!$J$16</f>
        <v>0.72409090909090901</v>
      </c>
      <c r="H20" s="33" t="s">
        <v>24</v>
      </c>
      <c r="I20" s="21">
        <f>0.14*20</f>
        <v>2.8000000000000003</v>
      </c>
      <c r="J20" s="21"/>
      <c r="K20" s="21">
        <f t="shared" si="2"/>
        <v>7.0000000000000007E-2</v>
      </c>
      <c r="L20">
        <f>+K20*Folha2!$J$17</f>
        <v>37.17</v>
      </c>
      <c r="N20" s="21" t="s">
        <v>80</v>
      </c>
      <c r="O20" s="21"/>
      <c r="P20" s="21">
        <v>4.1250000000000002E-3</v>
      </c>
      <c r="Q20" s="21" t="s">
        <v>22</v>
      </c>
      <c r="R20" s="25">
        <f t="shared" si="3"/>
        <v>9.1666666666666668E-5</v>
      </c>
      <c r="S20" s="21">
        <f>+R20*Folha2!$J$18*2</f>
        <v>7.7880000000000005E-2</v>
      </c>
    </row>
    <row r="21" spans="1:19" x14ac:dyDescent="0.25">
      <c r="N21" s="21" t="s">
        <v>81</v>
      </c>
      <c r="O21" s="21"/>
      <c r="P21" s="21">
        <v>0.41662500000000002</v>
      </c>
      <c r="Q21" s="21" t="s">
        <v>75</v>
      </c>
      <c r="R21" s="25">
        <f t="shared" si="3"/>
        <v>9.2583333333333337E-3</v>
      </c>
      <c r="S21" s="21">
        <f>+R21*Folha2!$J$18*2</f>
        <v>7.8658800000000006</v>
      </c>
    </row>
    <row r="22" spans="1:19" x14ac:dyDescent="0.25">
      <c r="N22" s="21" t="s">
        <v>82</v>
      </c>
      <c r="O22" s="21"/>
      <c r="P22" s="21">
        <v>0.41662500000000002</v>
      </c>
      <c r="Q22" s="21" t="s">
        <v>75</v>
      </c>
      <c r="R22" s="25">
        <f t="shared" si="3"/>
        <v>9.2583333333333337E-3</v>
      </c>
      <c r="S22" s="21">
        <f>+R22*Folha2!$J$18*2</f>
        <v>7.8658800000000006</v>
      </c>
    </row>
    <row r="23" spans="1:19" x14ac:dyDescent="0.25">
      <c r="N23" s="21" t="s">
        <v>83</v>
      </c>
      <c r="O23" s="21"/>
      <c r="P23" s="21">
        <v>1.3125</v>
      </c>
      <c r="Q23" s="21" t="s">
        <v>22</v>
      </c>
      <c r="R23" s="25">
        <f t="shared" si="3"/>
        <v>2.9166666666666667E-2</v>
      </c>
      <c r="S23" s="21">
        <f>+R23*Folha2!$J$18*2</f>
        <v>24.78</v>
      </c>
    </row>
    <row r="24" spans="1:19" x14ac:dyDescent="0.25">
      <c r="N24" s="21" t="s">
        <v>84</v>
      </c>
      <c r="O24" s="21"/>
      <c r="P24" s="21">
        <v>4.1250000000000002E-3</v>
      </c>
      <c r="Q24" s="21" t="s">
        <v>22</v>
      </c>
      <c r="R24" s="25">
        <f t="shared" si="3"/>
        <v>9.1666666666666668E-5</v>
      </c>
      <c r="S24" s="21">
        <f>+R24*Folha2!$J$18*2</f>
        <v>7.7880000000000005E-2</v>
      </c>
    </row>
    <row r="25" spans="1:19" x14ac:dyDescent="0.25">
      <c r="N25" s="21" t="s">
        <v>85</v>
      </c>
      <c r="O25" s="21"/>
      <c r="P25" s="21">
        <v>5.6249999999999994E-2</v>
      </c>
      <c r="Q25" s="21" t="s">
        <v>22</v>
      </c>
      <c r="R25" s="25">
        <f t="shared" si="3"/>
        <v>1.2499999999999998E-3</v>
      </c>
      <c r="S25" s="21">
        <f>+R25*Folha2!$J$18*2</f>
        <v>1.0619999999999998</v>
      </c>
    </row>
    <row r="26" spans="1:19" x14ac:dyDescent="0.25">
      <c r="N26" s="21" t="s">
        <v>86</v>
      </c>
      <c r="O26" s="21"/>
      <c r="P26" s="21">
        <v>5.6249999999999994E-2</v>
      </c>
      <c r="Q26" s="21" t="s">
        <v>22</v>
      </c>
      <c r="R26" s="25">
        <f t="shared" si="3"/>
        <v>1.2499999999999998E-3</v>
      </c>
      <c r="S26" s="21">
        <f>+R26*Folha2!$J$18*2</f>
        <v>1.0619999999999998</v>
      </c>
    </row>
    <row r="28" spans="1:19" x14ac:dyDescent="0.25">
      <c r="K28">
        <v>1</v>
      </c>
      <c r="L28">
        <f>+K28/5</f>
        <v>0.2</v>
      </c>
    </row>
    <row r="29" spans="1:19" x14ac:dyDescent="0.25">
      <c r="H29" t="s">
        <v>125</v>
      </c>
      <c r="I29">
        <v>0.35</v>
      </c>
      <c r="J29" s="49">
        <f>+I29/$I$36</f>
        <v>0.35</v>
      </c>
      <c r="K29">
        <f>+J29*$K$28</f>
        <v>0.35</v>
      </c>
      <c r="L29">
        <f>+K29/2</f>
        <v>0.17499999999999999</v>
      </c>
    </row>
    <row r="30" spans="1:19" x14ac:dyDescent="0.25">
      <c r="A30" s="44" t="s">
        <v>65</v>
      </c>
      <c r="B30" s="44">
        <v>10</v>
      </c>
      <c r="C30" s="44" t="s">
        <v>22</v>
      </c>
      <c r="H30" t="s">
        <v>120</v>
      </c>
      <c r="I30">
        <v>0.15</v>
      </c>
      <c r="J30" s="49">
        <f t="shared" ref="J30:J35" si="4">+I30/$I$36</f>
        <v>0.15</v>
      </c>
      <c r="K30">
        <f>+J30*$K$28</f>
        <v>0.15</v>
      </c>
      <c r="L30">
        <f>+K30/1.5</f>
        <v>9.9999999999999992E-2</v>
      </c>
    </row>
    <row r="31" spans="1:19" x14ac:dyDescent="0.25">
      <c r="A31" s="44" t="s">
        <v>66</v>
      </c>
      <c r="B31" s="44">
        <v>30</v>
      </c>
      <c r="C31" s="44" t="s">
        <v>22</v>
      </c>
      <c r="H31" t="s">
        <v>121</v>
      </c>
      <c r="I31">
        <v>0.03</v>
      </c>
      <c r="J31" s="49">
        <f t="shared" si="4"/>
        <v>0.03</v>
      </c>
      <c r="K31">
        <f t="shared" ref="K31:K35" si="5">+J31*$K$28</f>
        <v>0.03</v>
      </c>
      <c r="L31">
        <f>+K31/0.7</f>
        <v>4.2857142857142858E-2</v>
      </c>
    </row>
    <row r="32" spans="1:19" x14ac:dyDescent="0.25">
      <c r="A32" s="44" t="s">
        <v>96</v>
      </c>
      <c r="B32" s="44">
        <v>70</v>
      </c>
      <c r="C32" s="44" t="s">
        <v>22</v>
      </c>
      <c r="H32" t="s">
        <v>122</v>
      </c>
      <c r="I32">
        <v>0.4</v>
      </c>
      <c r="J32" s="49">
        <f t="shared" si="4"/>
        <v>0.4</v>
      </c>
      <c r="K32">
        <f t="shared" si="5"/>
        <v>0.4</v>
      </c>
      <c r="L32">
        <f>+K32/5</f>
        <v>0.08</v>
      </c>
    </row>
    <row r="33" spans="1:12" x14ac:dyDescent="0.25">
      <c r="A33" s="44" t="s">
        <v>97</v>
      </c>
      <c r="B33" s="44">
        <v>15</v>
      </c>
      <c r="C33" s="44" t="s">
        <v>22</v>
      </c>
      <c r="H33" t="s">
        <v>123</v>
      </c>
      <c r="I33">
        <v>0.04</v>
      </c>
      <c r="J33" s="49">
        <f t="shared" si="4"/>
        <v>0.04</v>
      </c>
      <c r="K33">
        <f t="shared" si="5"/>
        <v>0.04</v>
      </c>
      <c r="L33">
        <f>+K33/0.7</f>
        <v>5.7142857142857148E-2</v>
      </c>
    </row>
    <row r="34" spans="1:12" x14ac:dyDescent="0.25">
      <c r="A34" s="44" t="s">
        <v>98</v>
      </c>
      <c r="B34" s="44">
        <v>2</v>
      </c>
      <c r="C34" s="44" t="s">
        <v>22</v>
      </c>
      <c r="H34" t="s">
        <v>124</v>
      </c>
      <c r="I34">
        <v>0.01</v>
      </c>
      <c r="J34" s="49">
        <f t="shared" si="4"/>
        <v>0.01</v>
      </c>
      <c r="K34">
        <f t="shared" si="5"/>
        <v>0.01</v>
      </c>
      <c r="L34">
        <f>+K34/0.7</f>
        <v>1.4285714285714287E-2</v>
      </c>
    </row>
    <row r="35" spans="1:12" x14ac:dyDescent="0.25">
      <c r="A35" s="44" t="s">
        <v>99</v>
      </c>
      <c r="B35" s="44">
        <v>2</v>
      </c>
      <c r="C35" s="44" t="s">
        <v>22</v>
      </c>
      <c r="H35" t="s">
        <v>126</v>
      </c>
      <c r="I35">
        <v>0.02</v>
      </c>
      <c r="J35" s="49">
        <f t="shared" si="4"/>
        <v>0.02</v>
      </c>
      <c r="K35">
        <f t="shared" si="5"/>
        <v>0.02</v>
      </c>
    </row>
    <row r="36" spans="1:12" x14ac:dyDescent="0.25">
      <c r="A36" s="44" t="s">
        <v>81</v>
      </c>
      <c r="B36" s="44">
        <v>10</v>
      </c>
      <c r="C36" s="44" t="s">
        <v>22</v>
      </c>
      <c r="I36">
        <f>SUM(I29:I35)</f>
        <v>1</v>
      </c>
    </row>
    <row r="37" spans="1:12" x14ac:dyDescent="0.25">
      <c r="A37" s="44" t="s">
        <v>82</v>
      </c>
      <c r="B37" s="44">
        <v>10</v>
      </c>
      <c r="C37" s="44" t="s">
        <v>22</v>
      </c>
    </row>
    <row r="38" spans="1:12" x14ac:dyDescent="0.25">
      <c r="A38" s="44" t="s">
        <v>76</v>
      </c>
      <c r="B38" s="44">
        <v>1</v>
      </c>
      <c r="C38" s="44" t="s">
        <v>100</v>
      </c>
    </row>
    <row r="39" spans="1:12" x14ac:dyDescent="0.25">
      <c r="A39" s="44" t="s">
        <v>67</v>
      </c>
      <c r="B39" s="44">
        <v>5</v>
      </c>
      <c r="C39" s="44" t="s">
        <v>22</v>
      </c>
    </row>
    <row r="40" spans="1:12" x14ac:dyDescent="0.25">
      <c r="A40" s="44" t="s">
        <v>68</v>
      </c>
      <c r="B40" s="44">
        <v>25</v>
      </c>
      <c r="C40" s="44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71A8B-7D51-49E2-AA73-61EF3771F897}">
  <dimension ref="B3:D34"/>
  <sheetViews>
    <sheetView tabSelected="1" workbookViewId="0">
      <selection activeCell="I25" sqref="I25"/>
    </sheetView>
  </sheetViews>
  <sheetFormatPr defaultRowHeight="15" x14ac:dyDescent="0.25"/>
  <cols>
    <col min="2" max="2" width="28.42578125" bestFit="1" customWidth="1"/>
    <col min="3" max="3" width="10" bestFit="1" customWidth="1"/>
    <col min="4" max="4" width="10.85546875" bestFit="1" customWidth="1"/>
  </cols>
  <sheetData>
    <row r="3" spans="2:4" x14ac:dyDescent="0.25">
      <c r="B3" t="s">
        <v>101</v>
      </c>
    </row>
    <row r="4" spans="2:4" x14ac:dyDescent="0.25">
      <c r="B4" s="47" t="s">
        <v>102</v>
      </c>
      <c r="C4" s="56"/>
      <c r="D4" s="56"/>
    </row>
    <row r="5" spans="2:4" x14ac:dyDescent="0.25">
      <c r="B5" s="21" t="s">
        <v>14</v>
      </c>
      <c r="C5" s="53">
        <v>1.5</v>
      </c>
      <c r="D5" s="53"/>
    </row>
    <row r="6" spans="2:4" x14ac:dyDescent="0.25">
      <c r="B6" s="21" t="s">
        <v>43</v>
      </c>
      <c r="C6" s="53">
        <v>5.8</v>
      </c>
      <c r="D6" s="53"/>
    </row>
    <row r="7" spans="2:4" x14ac:dyDescent="0.25">
      <c r="B7" s="21" t="s">
        <v>103</v>
      </c>
      <c r="C7" s="53">
        <v>6.6</v>
      </c>
      <c r="D7" s="53"/>
    </row>
    <row r="8" spans="2:4" x14ac:dyDescent="0.25">
      <c r="B8" s="21" t="s">
        <v>116</v>
      </c>
      <c r="C8" s="53">
        <v>5.6</v>
      </c>
      <c r="D8" s="53"/>
    </row>
    <row r="9" spans="2:4" x14ac:dyDescent="0.25">
      <c r="B9" s="21" t="s">
        <v>104</v>
      </c>
      <c r="C9" s="53">
        <v>4.5</v>
      </c>
      <c r="D9" s="53"/>
    </row>
    <row r="10" spans="2:4" x14ac:dyDescent="0.25">
      <c r="B10" s="21" t="s">
        <v>105</v>
      </c>
      <c r="C10" s="53">
        <v>4.5</v>
      </c>
      <c r="D10" s="53"/>
    </row>
    <row r="11" spans="2:4" x14ac:dyDescent="0.25">
      <c r="B11" s="21"/>
      <c r="C11" s="55"/>
      <c r="D11" s="55"/>
    </row>
    <row r="12" spans="2:4" x14ac:dyDescent="0.25">
      <c r="B12" s="47" t="s">
        <v>106</v>
      </c>
      <c r="C12" s="55"/>
      <c r="D12" s="55"/>
    </row>
    <row r="13" spans="2:4" x14ac:dyDescent="0.25">
      <c r="B13" s="21" t="s">
        <v>107</v>
      </c>
      <c r="C13" s="54">
        <v>1</v>
      </c>
      <c r="D13" s="54"/>
    </row>
    <row r="14" spans="2:4" x14ac:dyDescent="0.25">
      <c r="B14" s="21"/>
      <c r="C14" s="55"/>
      <c r="D14" s="55"/>
    </row>
    <row r="15" spans="2:4" x14ac:dyDescent="0.25">
      <c r="B15" s="21" t="s">
        <v>109</v>
      </c>
      <c r="C15" s="53">
        <v>0.6</v>
      </c>
      <c r="D15" s="53"/>
    </row>
    <row r="16" spans="2:4" x14ac:dyDescent="0.25">
      <c r="B16" s="21" t="s">
        <v>117</v>
      </c>
      <c r="C16" s="53">
        <v>0.8</v>
      </c>
      <c r="D16" s="53"/>
    </row>
    <row r="17" spans="2:4" x14ac:dyDescent="0.25">
      <c r="B17" s="21" t="s">
        <v>108</v>
      </c>
      <c r="C17" s="53">
        <v>0.7</v>
      </c>
      <c r="D17" s="53"/>
    </row>
    <row r="18" spans="2:4" x14ac:dyDescent="0.25">
      <c r="B18" s="21"/>
      <c r="C18" s="55"/>
      <c r="D18" s="55"/>
    </row>
    <row r="19" spans="2:4" x14ac:dyDescent="0.25">
      <c r="B19" s="47" t="s">
        <v>118</v>
      </c>
      <c r="C19" s="55"/>
      <c r="D19" s="55"/>
    </row>
    <row r="20" spans="2:4" x14ac:dyDescent="0.25">
      <c r="B20" s="21" t="s">
        <v>119</v>
      </c>
      <c r="C20" s="53">
        <v>1.5</v>
      </c>
      <c r="D20" s="53"/>
    </row>
    <row r="21" spans="2:4" x14ac:dyDescent="0.25">
      <c r="B21" s="21"/>
      <c r="C21" s="55"/>
      <c r="D21" s="55"/>
    </row>
    <row r="22" spans="2:4" x14ac:dyDescent="0.25">
      <c r="B22" s="21"/>
      <c r="C22" s="55"/>
      <c r="D22" s="55"/>
    </row>
    <row r="23" spans="2:4" x14ac:dyDescent="0.25">
      <c r="B23" s="47" t="s">
        <v>110</v>
      </c>
      <c r="C23" s="55"/>
      <c r="D23" s="55"/>
    </row>
    <row r="24" spans="2:4" x14ac:dyDescent="0.25">
      <c r="B24" s="21" t="s">
        <v>111</v>
      </c>
      <c r="C24" s="55">
        <v>1.5</v>
      </c>
      <c r="D24" s="55"/>
    </row>
    <row r="25" spans="2:4" x14ac:dyDescent="0.25">
      <c r="B25" s="21" t="s">
        <v>112</v>
      </c>
      <c r="C25" s="53">
        <v>1</v>
      </c>
      <c r="D25" s="53"/>
    </row>
    <row r="26" spans="2:4" x14ac:dyDescent="0.25">
      <c r="B26" s="21" t="s">
        <v>113</v>
      </c>
      <c r="C26" s="53">
        <v>1.2</v>
      </c>
      <c r="D26" s="53"/>
    </row>
    <row r="27" spans="2:4" x14ac:dyDescent="0.25">
      <c r="B27" s="21"/>
      <c r="C27" s="50" t="s">
        <v>131</v>
      </c>
      <c r="D27" s="50" t="s">
        <v>130</v>
      </c>
    </row>
    <row r="28" spans="2:4" x14ac:dyDescent="0.25">
      <c r="B28" s="21" t="s">
        <v>127</v>
      </c>
      <c r="C28" s="46">
        <v>2</v>
      </c>
      <c r="D28" s="46">
        <v>3.5</v>
      </c>
    </row>
    <row r="29" spans="2:4" x14ac:dyDescent="0.25">
      <c r="B29" s="21"/>
      <c r="C29" s="50" t="s">
        <v>128</v>
      </c>
      <c r="D29" s="50" t="s">
        <v>129</v>
      </c>
    </row>
    <row r="30" spans="2:4" x14ac:dyDescent="0.25">
      <c r="B30" s="21" t="s">
        <v>133</v>
      </c>
      <c r="C30" s="46">
        <v>2</v>
      </c>
      <c r="D30" s="46">
        <v>8</v>
      </c>
    </row>
    <row r="31" spans="2:4" x14ac:dyDescent="0.25">
      <c r="B31" s="21" t="s">
        <v>134</v>
      </c>
      <c r="C31" s="46">
        <v>2</v>
      </c>
      <c r="D31" s="46">
        <v>8</v>
      </c>
    </row>
    <row r="32" spans="2:4" x14ac:dyDescent="0.25">
      <c r="B32" s="21" t="s">
        <v>132</v>
      </c>
      <c r="C32" s="46">
        <v>2</v>
      </c>
      <c r="D32" s="46">
        <v>8</v>
      </c>
    </row>
    <row r="33" spans="2:4" x14ac:dyDescent="0.25">
      <c r="B33" s="21" t="s">
        <v>114</v>
      </c>
      <c r="C33" s="55">
        <v>15</v>
      </c>
      <c r="D33" s="55"/>
    </row>
    <row r="34" spans="2:4" x14ac:dyDescent="0.25">
      <c r="B34" s="21" t="s">
        <v>115</v>
      </c>
      <c r="C34" s="55">
        <v>15</v>
      </c>
      <c r="D34" s="55"/>
    </row>
  </sheetData>
  <mergeCells count="25">
    <mergeCell ref="C12:D12"/>
    <mergeCell ref="C11:D11"/>
    <mergeCell ref="C4:D4"/>
    <mergeCell ref="C34:D34"/>
    <mergeCell ref="C33:D33"/>
    <mergeCell ref="C23:D23"/>
    <mergeCell ref="C22:D22"/>
    <mergeCell ref="C21:D21"/>
    <mergeCell ref="C19:D19"/>
    <mergeCell ref="C10:D10"/>
    <mergeCell ref="C9:D9"/>
    <mergeCell ref="C8:D8"/>
    <mergeCell ref="C7:D7"/>
    <mergeCell ref="C6:D6"/>
    <mergeCell ref="C5:D5"/>
    <mergeCell ref="C24:D24"/>
    <mergeCell ref="C26:D26"/>
    <mergeCell ref="C25:D25"/>
    <mergeCell ref="C20:D20"/>
    <mergeCell ref="C13:D13"/>
    <mergeCell ref="C17:D17"/>
    <mergeCell ref="C16:D16"/>
    <mergeCell ref="C15:D15"/>
    <mergeCell ref="C18:D18"/>
    <mergeCell ref="C14:D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2B36E-9AD5-4ABC-8894-4A6292CBB4B2}">
  <dimension ref="A1"/>
  <sheetViews>
    <sheetView workbookViewId="0">
      <selection activeCell="M4" sqref="M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Folha2 (2)</vt:lpstr>
      <vt:lpstr>Folha1</vt:lpstr>
      <vt:lpstr>Folha2</vt:lpstr>
      <vt:lpstr>Folha3</vt:lpstr>
      <vt:lpstr>Folha4</vt:lpstr>
      <vt:lpstr>Folha5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Luís da Silva Simões Soares</dc:creator>
  <cp:lastModifiedBy>José Soares</cp:lastModifiedBy>
  <dcterms:created xsi:type="dcterms:W3CDTF">2018-07-25T10:16:20Z</dcterms:created>
  <dcterms:modified xsi:type="dcterms:W3CDTF">2020-05-18T23:32:06Z</dcterms:modified>
</cp:coreProperties>
</file>