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rdk10\Dropbox\SillettProtocolInTree\KramerEtAl2018\"/>
    </mc:Choice>
  </mc:AlternateContent>
  <bookViews>
    <workbookView xWindow="0" yWindow="0" windowWidth="28800" windowHeight="12435" tabRatio="943"/>
  </bookViews>
  <sheets>
    <sheet name="Instructions" sheetId="27" r:id="rId1"/>
    <sheet name="branch dissections" sheetId="2" r:id="rId2"/>
    <sheet name="dissected branch calculations" sheetId="10" r:id="rId3"/>
    <sheet name="main trunk calculations" sheetId="16" r:id="rId4"/>
    <sheet name="segment calculations" sheetId="17" r:id="rId5"/>
    <sheet name="branch calculations" sheetId="18" r:id="rId6"/>
    <sheet name="HSU branch densities" sheetId="12" state="hidden" r:id="rId7"/>
    <sheet name="brnchlt equations and multiples" sheetId="15" r:id="rId8"/>
  </sheets>
  <definedNames>
    <definedName name="_xlnm._FilterDatabase" localSheetId="3" hidden="1">'main trunk calculations'!$B$1:$B$3</definedName>
    <definedName name="_xlnm._FilterDatabase" localSheetId="4" hidden="1">'segment calculations'!$B$1:$B$3</definedName>
    <definedName name="_xlnm.Print_Area" localSheetId="6">'HSU branch densities'!$AN$3:$AX$35</definedName>
  </definedNames>
  <calcPr calcId="152511"/>
</workbook>
</file>

<file path=xl/calcChain.xml><?xml version="1.0" encoding="utf-8"?>
<calcChain xmlns="http://schemas.openxmlformats.org/spreadsheetml/2006/main">
  <c r="AP3" i="17" l="1"/>
  <c r="AO3" i="17"/>
  <c r="AN3" i="17"/>
  <c r="AM3" i="17"/>
  <c r="AL3" i="17"/>
  <c r="AK3" i="17"/>
  <c r="AJ3" i="17"/>
  <c r="AI3" i="17"/>
  <c r="AF3" i="17" l="1"/>
  <c r="AE3" i="17"/>
  <c r="AB3" i="16"/>
  <c r="AA3" i="16"/>
  <c r="B308" i="10"/>
  <c r="B309" i="10"/>
  <c r="B310" i="10"/>
  <c r="B311" i="10"/>
  <c r="B312" i="10"/>
  <c r="B313" i="10"/>
  <c r="B314" i="10"/>
  <c r="B315" i="10"/>
  <c r="B316" i="10"/>
  <c r="B317" i="10"/>
  <c r="B318" i="10"/>
  <c r="B319" i="10"/>
  <c r="B320" i="10"/>
  <c r="B321" i="10"/>
  <c r="B322" i="10"/>
  <c r="B307" i="10"/>
  <c r="BL3" i="17"/>
  <c r="BK3" i="17"/>
  <c r="CH3" i="18"/>
  <c r="CG3" i="18"/>
  <c r="CF3" i="18"/>
  <c r="CE3" i="18"/>
  <c r="CD3" i="18"/>
  <c r="CC3" i="18"/>
  <c r="CB3" i="18"/>
  <c r="CA3" i="18"/>
  <c r="BY3" i="18"/>
  <c r="CL3" i="2"/>
  <c r="CE3" i="2"/>
  <c r="BN3" i="2"/>
  <c r="T3" i="2"/>
  <c r="M3" i="2"/>
  <c r="I3" i="2"/>
  <c r="G3" i="2"/>
  <c r="K3" i="15" l="1"/>
  <c r="BW3" i="18" l="1"/>
  <c r="BV3" i="18"/>
  <c r="BU3" i="18"/>
  <c r="BT3" i="18"/>
  <c r="BS3" i="18"/>
  <c r="BR3" i="18"/>
  <c r="BQ3" i="18"/>
  <c r="BP3" i="18"/>
  <c r="BO3" i="18"/>
  <c r="BN3" i="18"/>
  <c r="BM3" i="18"/>
  <c r="BL3" i="18"/>
  <c r="BI3" i="18"/>
  <c r="BH3" i="18"/>
  <c r="BG3" i="18"/>
  <c r="BF3" i="18"/>
  <c r="BE3" i="18"/>
  <c r="BD3" i="18"/>
  <c r="BB3" i="18"/>
  <c r="AS3" i="18"/>
  <c r="AR3" i="18"/>
  <c r="M3" i="18"/>
  <c r="I3" i="18"/>
  <c r="H3" i="18"/>
  <c r="F3" i="18"/>
  <c r="G3" i="18" s="1"/>
  <c r="CL3" i="17"/>
  <c r="CK3" i="17"/>
  <c r="CJ3" i="17"/>
  <c r="CI3" i="17"/>
  <c r="CH3" i="17"/>
  <c r="CG3" i="17"/>
  <c r="CD3" i="17"/>
  <c r="CC3" i="17"/>
  <c r="CB3" i="17"/>
  <c r="CA3" i="17"/>
  <c r="BV3" i="17"/>
  <c r="BU3" i="17"/>
  <c r="BR3" i="17"/>
  <c r="BQ3" i="17"/>
  <c r="BH3" i="17"/>
  <c r="BG3" i="17"/>
  <c r="R3" i="17"/>
  <c r="BC3" i="17" s="1"/>
  <c r="Q3" i="17"/>
  <c r="L3" i="17"/>
  <c r="K3" i="17"/>
  <c r="F3" i="17"/>
  <c r="CJ3" i="16"/>
  <c r="CI3" i="16"/>
  <c r="CH3" i="16"/>
  <c r="CG3" i="16"/>
  <c r="CF3" i="16"/>
  <c r="CE3" i="16"/>
  <c r="CB3" i="16"/>
  <c r="CA3" i="16"/>
  <c r="BZ3" i="16"/>
  <c r="BY3" i="16"/>
  <c r="BT3" i="16"/>
  <c r="BS3" i="16"/>
  <c r="BP3" i="16"/>
  <c r="BO3" i="16"/>
  <c r="BF3" i="16"/>
  <c r="BE3" i="16"/>
  <c r="AW3" i="16"/>
  <c r="N3" i="16"/>
  <c r="BB3" i="16" s="1"/>
  <c r="M3" i="16"/>
  <c r="H3" i="16"/>
  <c r="K4" i="15"/>
  <c r="N82" i="12"/>
  <c r="M82" i="12"/>
  <c r="J82" i="12"/>
  <c r="U81" i="12"/>
  <c r="T81" i="12"/>
  <c r="S81" i="12"/>
  <c r="R81" i="12"/>
  <c r="O81" i="12"/>
  <c r="N81" i="12"/>
  <c r="M81" i="12"/>
  <c r="J81" i="12"/>
  <c r="N80" i="12"/>
  <c r="M80" i="12"/>
  <c r="J80" i="12"/>
  <c r="U79" i="12"/>
  <c r="T79" i="12"/>
  <c r="S79" i="12"/>
  <c r="R79" i="12"/>
  <c r="O79" i="12"/>
  <c r="N79" i="12"/>
  <c r="M79" i="12"/>
  <c r="J79" i="12"/>
  <c r="N78" i="12"/>
  <c r="M78" i="12"/>
  <c r="J78" i="12"/>
  <c r="U77" i="12"/>
  <c r="T77" i="12"/>
  <c r="S77" i="12"/>
  <c r="R77" i="12"/>
  <c r="O77" i="12"/>
  <c r="N77" i="12"/>
  <c r="M77" i="12"/>
  <c r="J77" i="12"/>
  <c r="N76" i="12"/>
  <c r="M76" i="12"/>
  <c r="J76" i="12"/>
  <c r="U75" i="12"/>
  <c r="T75" i="12"/>
  <c r="S75" i="12"/>
  <c r="P75" i="12"/>
  <c r="O75" i="12"/>
  <c r="N75" i="12"/>
  <c r="M75" i="12"/>
  <c r="J75" i="12"/>
  <c r="N74" i="12"/>
  <c r="M74" i="12"/>
  <c r="J74" i="12"/>
  <c r="U73" i="12"/>
  <c r="T73" i="12"/>
  <c r="S73" i="12"/>
  <c r="R73" i="12"/>
  <c r="O73" i="12"/>
  <c r="N73" i="12"/>
  <c r="M73" i="12"/>
  <c r="J73" i="12"/>
  <c r="N72" i="12"/>
  <c r="M72" i="12"/>
  <c r="J72" i="12"/>
  <c r="U71" i="12"/>
  <c r="T71" i="12"/>
  <c r="S71" i="12"/>
  <c r="R71" i="12"/>
  <c r="O71" i="12"/>
  <c r="N71" i="12"/>
  <c r="M71" i="12"/>
  <c r="J71" i="12"/>
  <c r="N70" i="12"/>
  <c r="M70" i="12"/>
  <c r="J70" i="12"/>
  <c r="U69" i="12"/>
  <c r="T69" i="12"/>
  <c r="S69" i="12"/>
  <c r="R69" i="12"/>
  <c r="O69" i="12"/>
  <c r="N69" i="12"/>
  <c r="M69" i="12"/>
  <c r="J69" i="12"/>
  <c r="N68" i="12"/>
  <c r="M68" i="12"/>
  <c r="J68" i="12"/>
  <c r="U67" i="12"/>
  <c r="T67" i="12"/>
  <c r="S67" i="12"/>
  <c r="R67" i="12"/>
  <c r="O67" i="12"/>
  <c r="N67" i="12"/>
  <c r="M67" i="12"/>
  <c r="J67" i="12"/>
  <c r="N66" i="12"/>
  <c r="M66" i="12"/>
  <c r="J66" i="12"/>
  <c r="U65" i="12"/>
  <c r="T65" i="12"/>
  <c r="S65" i="12"/>
  <c r="R65" i="12"/>
  <c r="O65" i="12"/>
  <c r="N65" i="12"/>
  <c r="M65" i="12"/>
  <c r="J65" i="12"/>
  <c r="N64" i="12"/>
  <c r="M64" i="12"/>
  <c r="J64" i="12"/>
  <c r="U63" i="12"/>
  <c r="T63" i="12"/>
  <c r="S63" i="12"/>
  <c r="R63" i="12"/>
  <c r="O63" i="12"/>
  <c r="N63" i="12"/>
  <c r="M63" i="12"/>
  <c r="J63" i="12"/>
  <c r="N62" i="12"/>
  <c r="M62" i="12"/>
  <c r="J62" i="12"/>
  <c r="U61" i="12"/>
  <c r="T61" i="12"/>
  <c r="S61" i="12"/>
  <c r="R61" i="12"/>
  <c r="O61" i="12"/>
  <c r="N61" i="12"/>
  <c r="M61" i="12"/>
  <c r="J61" i="12"/>
  <c r="N60" i="12"/>
  <c r="M60" i="12"/>
  <c r="J60" i="12"/>
  <c r="U59" i="12"/>
  <c r="T59" i="12"/>
  <c r="S59" i="12"/>
  <c r="R59" i="12"/>
  <c r="O59" i="12"/>
  <c r="N59" i="12"/>
  <c r="M59" i="12"/>
  <c r="J59" i="12"/>
  <c r="N58" i="12"/>
  <c r="M58" i="12"/>
  <c r="J58" i="12"/>
  <c r="U57" i="12"/>
  <c r="T57" i="12"/>
  <c r="S57" i="12"/>
  <c r="R57" i="12"/>
  <c r="O57" i="12"/>
  <c r="N57" i="12"/>
  <c r="M57" i="12"/>
  <c r="J57" i="12"/>
  <c r="N56" i="12"/>
  <c r="M56" i="12"/>
  <c r="J56" i="12"/>
  <c r="U55" i="12"/>
  <c r="T55" i="12"/>
  <c r="S55" i="12"/>
  <c r="R55" i="12"/>
  <c r="O55" i="12"/>
  <c r="N55" i="12"/>
  <c r="M55" i="12"/>
  <c r="J55" i="12"/>
  <c r="N54" i="12"/>
  <c r="M54" i="12"/>
  <c r="J54" i="12"/>
  <c r="U53" i="12"/>
  <c r="T53" i="12"/>
  <c r="S53" i="12"/>
  <c r="R53" i="12"/>
  <c r="O53" i="12"/>
  <c r="N53" i="12"/>
  <c r="M53" i="12"/>
  <c r="J53" i="12"/>
  <c r="N52" i="12"/>
  <c r="M52" i="12"/>
  <c r="J52" i="12"/>
  <c r="U51" i="12"/>
  <c r="T51" i="12"/>
  <c r="S51" i="12"/>
  <c r="R51" i="12"/>
  <c r="O51" i="12"/>
  <c r="N51" i="12"/>
  <c r="M51" i="12"/>
  <c r="J51" i="12"/>
  <c r="N50" i="12"/>
  <c r="M50" i="12"/>
  <c r="J50" i="12"/>
  <c r="U49" i="12"/>
  <c r="T49" i="12"/>
  <c r="S49" i="12"/>
  <c r="R49" i="12"/>
  <c r="O49" i="12"/>
  <c r="N49" i="12"/>
  <c r="M49" i="12"/>
  <c r="J49" i="12"/>
  <c r="N48" i="12"/>
  <c r="M48" i="12"/>
  <c r="J48" i="12"/>
  <c r="U47" i="12"/>
  <c r="T47" i="12"/>
  <c r="S47" i="12"/>
  <c r="R47" i="12"/>
  <c r="O47" i="12"/>
  <c r="N47" i="12"/>
  <c r="M47" i="12"/>
  <c r="J47" i="12"/>
  <c r="N46" i="12"/>
  <c r="M46" i="12"/>
  <c r="J46" i="12"/>
  <c r="U45" i="12"/>
  <c r="T45" i="12"/>
  <c r="S45" i="12"/>
  <c r="R45" i="12"/>
  <c r="O45" i="12"/>
  <c r="N45" i="12"/>
  <c r="M45" i="12"/>
  <c r="J45" i="12"/>
  <c r="N44" i="12"/>
  <c r="M44" i="12"/>
  <c r="J44" i="12"/>
  <c r="U43" i="12"/>
  <c r="T43" i="12"/>
  <c r="S43" i="12"/>
  <c r="R43" i="12"/>
  <c r="O43" i="12"/>
  <c r="N43" i="12"/>
  <c r="M43" i="12"/>
  <c r="J43" i="12"/>
  <c r="N42" i="12"/>
  <c r="M42" i="12"/>
  <c r="J42" i="12"/>
  <c r="U41" i="12"/>
  <c r="T41" i="12"/>
  <c r="S41" i="12"/>
  <c r="R41" i="12"/>
  <c r="O41" i="12"/>
  <c r="N41" i="12"/>
  <c r="M41" i="12"/>
  <c r="J41" i="12"/>
  <c r="N40" i="12"/>
  <c r="M40" i="12"/>
  <c r="J40" i="12"/>
  <c r="U39" i="12"/>
  <c r="T39" i="12"/>
  <c r="S39" i="12"/>
  <c r="R39" i="12"/>
  <c r="O39" i="12"/>
  <c r="N39" i="12"/>
  <c r="M39" i="12"/>
  <c r="J39" i="12"/>
  <c r="N38" i="12"/>
  <c r="M38" i="12"/>
  <c r="J38" i="12"/>
  <c r="U37" i="12"/>
  <c r="T37" i="12"/>
  <c r="S37" i="12"/>
  <c r="R37" i="12"/>
  <c r="O37" i="12"/>
  <c r="N37" i="12"/>
  <c r="M37" i="12"/>
  <c r="J37" i="12"/>
  <c r="N36" i="12"/>
  <c r="M36" i="12"/>
  <c r="J36" i="12"/>
  <c r="U35" i="12"/>
  <c r="T35" i="12"/>
  <c r="S35" i="12"/>
  <c r="R35" i="12"/>
  <c r="O35" i="12"/>
  <c r="N35" i="12"/>
  <c r="M35" i="12"/>
  <c r="J35" i="12"/>
  <c r="N34" i="12"/>
  <c r="M34" i="12"/>
  <c r="J34" i="12"/>
  <c r="U33" i="12"/>
  <c r="T33" i="12"/>
  <c r="S33" i="12"/>
  <c r="R33" i="12"/>
  <c r="O33" i="12"/>
  <c r="N33" i="12"/>
  <c r="M33" i="12"/>
  <c r="J33" i="12"/>
  <c r="N32" i="12"/>
  <c r="M32" i="12"/>
  <c r="J32" i="12"/>
  <c r="U31" i="12"/>
  <c r="T31" i="12"/>
  <c r="S31" i="12"/>
  <c r="R31" i="12"/>
  <c r="O31" i="12"/>
  <c r="N31" i="12"/>
  <c r="M31" i="12"/>
  <c r="J31" i="12"/>
  <c r="N30" i="12"/>
  <c r="M30" i="12"/>
  <c r="J30" i="12"/>
  <c r="U29" i="12"/>
  <c r="T29" i="12"/>
  <c r="S29" i="12"/>
  <c r="R29" i="12"/>
  <c r="O29" i="12"/>
  <c r="N29" i="12"/>
  <c r="M29" i="12"/>
  <c r="J29" i="12"/>
  <c r="N28" i="12"/>
  <c r="M28" i="12"/>
  <c r="J28" i="12"/>
  <c r="U27" i="12"/>
  <c r="T27" i="12"/>
  <c r="S27" i="12"/>
  <c r="R27" i="12"/>
  <c r="O27" i="12"/>
  <c r="N27" i="12"/>
  <c r="M27" i="12"/>
  <c r="J27" i="12"/>
  <c r="N26" i="12"/>
  <c r="M26" i="12"/>
  <c r="J26" i="12"/>
  <c r="U25" i="12"/>
  <c r="T25" i="12"/>
  <c r="S25" i="12"/>
  <c r="R25" i="12"/>
  <c r="O25" i="12"/>
  <c r="N25" i="12"/>
  <c r="M25" i="12"/>
  <c r="J25" i="12"/>
  <c r="N24" i="12"/>
  <c r="M24" i="12"/>
  <c r="J24" i="12"/>
  <c r="U23" i="12"/>
  <c r="T23" i="12"/>
  <c r="S23" i="12"/>
  <c r="R23" i="12"/>
  <c r="O23" i="12"/>
  <c r="N23" i="12"/>
  <c r="M23" i="12"/>
  <c r="J23" i="12"/>
  <c r="N22" i="12"/>
  <c r="M22" i="12"/>
  <c r="J22" i="12"/>
  <c r="U21" i="12"/>
  <c r="T21" i="12"/>
  <c r="S21" i="12"/>
  <c r="R21" i="12"/>
  <c r="O21" i="12"/>
  <c r="N21" i="12"/>
  <c r="M21" i="12"/>
  <c r="J21" i="12"/>
  <c r="N20" i="12"/>
  <c r="M20" i="12"/>
  <c r="J20" i="12"/>
  <c r="U19" i="12"/>
  <c r="T19" i="12"/>
  <c r="S19" i="12"/>
  <c r="R19" i="12"/>
  <c r="O19" i="12"/>
  <c r="N19" i="12"/>
  <c r="M19" i="12"/>
  <c r="J19" i="12"/>
  <c r="N18" i="12"/>
  <c r="M18" i="12"/>
  <c r="J18" i="12"/>
  <c r="U17" i="12"/>
  <c r="T17" i="12"/>
  <c r="S17" i="12"/>
  <c r="R17" i="12"/>
  <c r="O17" i="12"/>
  <c r="N17" i="12"/>
  <c r="M17" i="12"/>
  <c r="J17" i="12"/>
  <c r="N16" i="12"/>
  <c r="M16" i="12"/>
  <c r="J16" i="12"/>
  <c r="U15" i="12"/>
  <c r="T15" i="12"/>
  <c r="S15" i="12"/>
  <c r="R15" i="12"/>
  <c r="O15" i="12"/>
  <c r="N15" i="12"/>
  <c r="M15" i="12"/>
  <c r="J15" i="12"/>
  <c r="N14" i="12"/>
  <c r="M14" i="12"/>
  <c r="J14" i="12"/>
  <c r="U13" i="12"/>
  <c r="T13" i="12"/>
  <c r="S13" i="12"/>
  <c r="R13" i="12"/>
  <c r="O13" i="12"/>
  <c r="N13" i="12"/>
  <c r="M13" i="12"/>
  <c r="J13" i="12"/>
  <c r="N12" i="12"/>
  <c r="M12" i="12"/>
  <c r="J12" i="12"/>
  <c r="U11" i="12"/>
  <c r="T11" i="12"/>
  <c r="S11" i="12"/>
  <c r="R11" i="12"/>
  <c r="O11" i="12"/>
  <c r="N11" i="12"/>
  <c r="M11" i="12"/>
  <c r="J11" i="12"/>
  <c r="N10" i="12"/>
  <c r="M10" i="12"/>
  <c r="J10" i="12"/>
  <c r="U9" i="12"/>
  <c r="T9" i="12"/>
  <c r="S9" i="12"/>
  <c r="R9" i="12"/>
  <c r="O9" i="12"/>
  <c r="N9" i="12"/>
  <c r="M9" i="12"/>
  <c r="J9" i="12"/>
  <c r="N8" i="12"/>
  <c r="M8" i="12"/>
  <c r="J8" i="12"/>
  <c r="U7" i="12"/>
  <c r="T7" i="12"/>
  <c r="S7" i="12"/>
  <c r="R7" i="12"/>
  <c r="O7" i="12"/>
  <c r="N7" i="12"/>
  <c r="M7" i="12"/>
  <c r="J7" i="12"/>
  <c r="N6" i="12"/>
  <c r="M6" i="12"/>
  <c r="J6" i="12"/>
  <c r="U5" i="12"/>
  <c r="T5" i="12"/>
  <c r="S5" i="12"/>
  <c r="P5" i="12"/>
  <c r="O5" i="12"/>
  <c r="N5" i="12"/>
  <c r="M5" i="12"/>
  <c r="J5" i="12"/>
  <c r="N4" i="12"/>
  <c r="M4" i="12"/>
  <c r="J4" i="12"/>
  <c r="U3" i="12"/>
  <c r="T3" i="12"/>
  <c r="S3" i="12"/>
  <c r="R3" i="12"/>
  <c r="O3" i="12"/>
  <c r="N3" i="12"/>
  <c r="M3" i="12"/>
  <c r="J3" i="12"/>
  <c r="A322" i="10"/>
  <c r="A321" i="10"/>
  <c r="A320" i="10"/>
  <c r="A319" i="10"/>
  <c r="A318" i="10"/>
  <c r="A317" i="10"/>
  <c r="A316" i="10"/>
  <c r="A315" i="10"/>
  <c r="A314" i="10"/>
  <c r="A313" i="10"/>
  <c r="A312" i="10"/>
  <c r="A311" i="10"/>
  <c r="A310" i="10"/>
  <c r="A309" i="10"/>
  <c r="A308" i="10"/>
  <c r="A307" i="10"/>
  <c r="B306" i="10"/>
  <c r="B279" i="10"/>
  <c r="B271" i="10"/>
  <c r="B247" i="10"/>
  <c r="B239" i="10"/>
  <c r="B123" i="10"/>
  <c r="B122" i="10"/>
  <c r="B196" i="10" s="1"/>
  <c r="B121" i="10"/>
  <c r="B285" i="10" s="1"/>
  <c r="B120" i="10"/>
  <c r="B284" i="10" s="1"/>
  <c r="B119" i="10"/>
  <c r="B283" i="10" s="1"/>
  <c r="B118" i="10"/>
  <c r="B282" i="10" s="1"/>
  <c r="B117" i="10"/>
  <c r="B281" i="10" s="1"/>
  <c r="B116" i="10"/>
  <c r="B280" i="10" s="1"/>
  <c r="B115" i="10"/>
  <c r="B189" i="10" s="1"/>
  <c r="B114" i="10"/>
  <c r="B188" i="10" s="1"/>
  <c r="B113" i="10"/>
  <c r="B277" i="10" s="1"/>
  <c r="B112" i="10"/>
  <c r="B276" i="10" s="1"/>
  <c r="B111" i="10"/>
  <c r="B275" i="10" s="1"/>
  <c r="B110" i="10"/>
  <c r="B274" i="10" s="1"/>
  <c r="B109" i="10"/>
  <c r="B273" i="10" s="1"/>
  <c r="B108" i="10"/>
  <c r="B272" i="10" s="1"/>
  <c r="B107" i="10"/>
  <c r="B181" i="10" s="1"/>
  <c r="B106" i="10"/>
  <c r="B180" i="10" s="1"/>
  <c r="B101" i="10"/>
  <c r="B139" i="10" s="1"/>
  <c r="B93" i="10"/>
  <c r="B131" i="10" s="1"/>
  <c r="B85" i="10"/>
  <c r="B104" i="10" s="1"/>
  <c r="B142" i="10" s="1"/>
  <c r="B84" i="10"/>
  <c r="B250" i="10" s="1"/>
  <c r="B83" i="10"/>
  <c r="B249" i="10" s="1"/>
  <c r="B82" i="10"/>
  <c r="B248" i="10" s="1"/>
  <c r="B81" i="10"/>
  <c r="B157" i="10" s="1"/>
  <c r="B80" i="10"/>
  <c r="B99" i="10" s="1"/>
  <c r="B79" i="10"/>
  <c r="B245" i="10" s="1"/>
  <c r="B78" i="10"/>
  <c r="B244" i="10" s="1"/>
  <c r="B77" i="10"/>
  <c r="B243" i="10" s="1"/>
  <c r="B76" i="10"/>
  <c r="B242" i="10" s="1"/>
  <c r="B75" i="10"/>
  <c r="B241" i="10" s="1"/>
  <c r="B74" i="10"/>
  <c r="B240" i="10" s="1"/>
  <c r="B73" i="10"/>
  <c r="B149" i="10" s="1"/>
  <c r="B72" i="10"/>
  <c r="B91" i="10" s="1"/>
  <c r="B71" i="10"/>
  <c r="B237" i="10" s="1"/>
  <c r="B70" i="10"/>
  <c r="B236" i="10" s="1"/>
  <c r="B69" i="10"/>
  <c r="B235" i="10" s="1"/>
  <c r="B68" i="10"/>
  <c r="B234" i="10" s="1"/>
  <c r="BI3" i="16" l="1"/>
  <c r="BJ3" i="16"/>
  <c r="B293" i="10"/>
  <c r="B301" i="10"/>
  <c r="B129" i="10"/>
  <c r="B233" i="10"/>
  <c r="B137" i="10"/>
  <c r="B92" i="10"/>
  <c r="B256" i="10" s="1"/>
  <c r="B100" i="10"/>
  <c r="B150" i="10"/>
  <c r="B158" i="10"/>
  <c r="B182" i="10"/>
  <c r="B190" i="10"/>
  <c r="B238" i="10"/>
  <c r="B246" i="10"/>
  <c r="B270" i="10"/>
  <c r="B269" i="10" s="1"/>
  <c r="B278" i="10"/>
  <c r="B286" i="10"/>
  <c r="B151" i="10"/>
  <c r="B159" i="10"/>
  <c r="B183" i="10"/>
  <c r="B191" i="10"/>
  <c r="B94" i="10"/>
  <c r="B102" i="10"/>
  <c r="B144" i="10"/>
  <c r="B152" i="10"/>
  <c r="B160" i="10"/>
  <c r="B184" i="10"/>
  <c r="B179" i="10" s="1"/>
  <c r="B192" i="10"/>
  <c r="B87" i="10"/>
  <c r="B95" i="10"/>
  <c r="B103" i="10"/>
  <c r="B145" i="10"/>
  <c r="B153" i="10"/>
  <c r="B185" i="10"/>
  <c r="B193" i="10"/>
  <c r="B88" i="10"/>
  <c r="B96" i="10"/>
  <c r="B146" i="10"/>
  <c r="B154" i="10"/>
  <c r="B186" i="10"/>
  <c r="B194" i="10"/>
  <c r="B89" i="10"/>
  <c r="B97" i="10"/>
  <c r="B147" i="10"/>
  <c r="B155" i="10"/>
  <c r="B187" i="10"/>
  <c r="B195" i="10"/>
  <c r="B90" i="10"/>
  <c r="B98" i="10"/>
  <c r="B148" i="10"/>
  <c r="B156" i="10"/>
  <c r="AL3" i="16"/>
  <c r="AZ3" i="16"/>
  <c r="BC3" i="16"/>
  <c r="BD3" i="16"/>
  <c r="AM3" i="16"/>
  <c r="AS3" i="16"/>
  <c r="AI3" i="16" s="1"/>
  <c r="AT3" i="16"/>
  <c r="AJ3" i="16" s="1"/>
  <c r="AY3" i="16"/>
  <c r="BR3" i="16"/>
  <c r="BA3" i="16"/>
  <c r="AR3" i="16"/>
  <c r="BQ3" i="16"/>
  <c r="AO3" i="16"/>
  <c r="AE3" i="16" s="1"/>
  <c r="AX3" i="17"/>
  <c r="BF3" i="17"/>
  <c r="BE3" i="17"/>
  <c r="AU3" i="17"/>
  <c r="AV3" i="17"/>
  <c r="BJ3" i="18"/>
  <c r="AT3" i="17"/>
  <c r="BD3" i="17"/>
  <c r="BS3" i="17"/>
  <c r="AW3" i="17"/>
  <c r="AQ3" i="17"/>
  <c r="BA3" i="17"/>
  <c r="AS3" i="17"/>
  <c r="BI3" i="17"/>
  <c r="BT3" i="17"/>
  <c r="BK3" i="18" l="1"/>
  <c r="B289" i="10"/>
  <c r="B304" i="10"/>
  <c r="B295" i="10"/>
  <c r="B302" i="10"/>
  <c r="B299" i="10"/>
  <c r="B298" i="10"/>
  <c r="B141" i="10"/>
  <c r="B268" i="10"/>
  <c r="B178" i="10"/>
  <c r="B232" i="10" s="1"/>
  <c r="B296" i="10"/>
  <c r="B206" i="10"/>
  <c r="B294" i="10"/>
  <c r="B166" i="10"/>
  <c r="B220" i="10" s="1"/>
  <c r="B291" i="10"/>
  <c r="B290" i="10"/>
  <c r="B133" i="10"/>
  <c r="B260" i="10"/>
  <c r="B170" i="10"/>
  <c r="B224" i="10" s="1"/>
  <c r="B288" i="10"/>
  <c r="B143" i="10"/>
  <c r="B138" i="10"/>
  <c r="B265" i="10"/>
  <c r="B175" i="10"/>
  <c r="B300" i="10"/>
  <c r="B172" i="10"/>
  <c r="B226" i="10" s="1"/>
  <c r="B135" i="10"/>
  <c r="B262" i="10"/>
  <c r="B261" i="10"/>
  <c r="B171" i="10"/>
  <c r="B225" i="10" s="1"/>
  <c r="B134" i="10"/>
  <c r="B125" i="10"/>
  <c r="B252" i="10"/>
  <c r="B162" i="10"/>
  <c r="B198" i="10" s="1"/>
  <c r="B140" i="10"/>
  <c r="B267" i="10"/>
  <c r="B177" i="10"/>
  <c r="B231" i="10" s="1"/>
  <c r="B130" i="10"/>
  <c r="B257" i="10"/>
  <c r="B167" i="10"/>
  <c r="B292" i="10"/>
  <c r="B202" i="10"/>
  <c r="B164" i="10"/>
  <c r="B218" i="10" s="1"/>
  <c r="B127" i="10"/>
  <c r="B254" i="10"/>
  <c r="B253" i="10"/>
  <c r="B163" i="10"/>
  <c r="B217" i="10" s="1"/>
  <c r="B126" i="10"/>
  <c r="B132" i="10"/>
  <c r="B259" i="10"/>
  <c r="B169" i="10"/>
  <c r="B223" i="10" s="1"/>
  <c r="B173" i="10"/>
  <c r="B227" i="10" s="1"/>
  <c r="B136" i="10"/>
  <c r="B263" i="10"/>
  <c r="B266" i="10"/>
  <c r="B174" i="10"/>
  <c r="B228" i="10" s="1"/>
  <c r="B165" i="10"/>
  <c r="B219" i="10" s="1"/>
  <c r="B128" i="10"/>
  <c r="B255" i="10"/>
  <c r="B258" i="10"/>
  <c r="B176" i="10"/>
  <c r="B230" i="10" s="1"/>
  <c r="B264" i="10"/>
  <c r="B297" i="10"/>
  <c r="B207" i="10"/>
  <c r="B168" i="10"/>
  <c r="B222" i="10" s="1"/>
  <c r="B303" i="10"/>
  <c r="AP3" i="16"/>
  <c r="AF3" i="16" s="1"/>
  <c r="AQ3" i="16"/>
  <c r="BG3" i="16"/>
  <c r="BH3" i="16" s="1"/>
  <c r="AH3" i="16"/>
  <c r="AU3" i="16"/>
  <c r="BZ3" i="18"/>
  <c r="BX3" i="18"/>
  <c r="AT3" i="18" s="1"/>
  <c r="AY3" i="17"/>
  <c r="BJ3" i="17"/>
  <c r="AY3" i="18" l="1"/>
  <c r="B200" i="10"/>
  <c r="B212" i="10"/>
  <c r="B201" i="10"/>
  <c r="B205" i="10"/>
  <c r="B213" i="10"/>
  <c r="B161" i="10"/>
  <c r="B216" i="10"/>
  <c r="B287" i="10"/>
  <c r="B208" i="10"/>
  <c r="B214" i="10"/>
  <c r="B251" i="10"/>
  <c r="B210" i="10"/>
  <c r="B221" i="10"/>
  <c r="B203" i="10"/>
  <c r="B204" i="10"/>
  <c r="B209" i="10"/>
  <c r="B199" i="10"/>
  <c r="B197" i="10" s="1"/>
  <c r="B229" i="10"/>
  <c r="B211" i="10"/>
  <c r="AG3" i="16"/>
  <c r="AK3" i="16"/>
  <c r="AC3" i="16" s="1"/>
  <c r="AD3" i="16"/>
  <c r="AZ3" i="18"/>
  <c r="AV3" i="18"/>
  <c r="AW3" i="18"/>
  <c r="AU3" i="18"/>
  <c r="BA3" i="18"/>
  <c r="AX3" i="18"/>
  <c r="B215" i="10" l="1"/>
  <c r="AG3" i="17"/>
  <c r="AH3" i="17"/>
</calcChain>
</file>

<file path=xl/comments1.xml><?xml version="1.0" encoding="utf-8"?>
<comments xmlns="http://schemas.openxmlformats.org/spreadsheetml/2006/main">
  <authors>
    <author>Stephen Sillett</author>
    <author>HSU</author>
  </authors>
  <commentList>
    <comment ref="I2" authorId="0" shapeId="0">
      <text>
        <r>
          <rPr>
            <b/>
            <sz val="12"/>
            <color indexed="81"/>
            <rFont val="Calibri"/>
            <family val="2"/>
          </rPr>
          <t>cm</t>
        </r>
      </text>
    </comment>
    <comment ref="L2" authorId="1" shapeId="0">
      <text>
        <r>
          <rPr>
            <b/>
            <sz val="12"/>
            <color indexed="81"/>
            <rFont val="Calibri"/>
            <family val="2"/>
          </rPr>
          <t>to face of origin</t>
        </r>
      </text>
    </comment>
    <comment ref="I3" authorId="0" shapeId="0">
      <text>
        <r>
          <rPr>
            <b/>
            <sz val="12"/>
            <color indexed="81"/>
            <rFont val="Calibri"/>
            <family val="2"/>
          </rPr>
          <t>predicted</t>
        </r>
      </text>
    </comment>
    <comment ref="BO3" authorId="0" shapeId="0">
      <text>
        <r>
          <rPr>
            <b/>
            <sz val="12"/>
            <color indexed="81"/>
            <rFont val="Calibri"/>
            <family val="2"/>
          </rPr>
          <t>predicted</t>
        </r>
      </text>
    </comment>
    <comment ref="BP3" authorId="0" shapeId="0">
      <text>
        <r>
          <rPr>
            <b/>
            <sz val="12"/>
            <color indexed="81"/>
            <rFont val="Calibri"/>
            <family val="2"/>
          </rPr>
          <t>predicted</t>
        </r>
      </text>
    </comment>
    <comment ref="BW3" authorId="0" shapeId="0">
      <text>
        <r>
          <rPr>
            <b/>
            <sz val="12"/>
            <color indexed="81"/>
            <rFont val="Calibri"/>
            <family val="2"/>
          </rPr>
          <t>predicted</t>
        </r>
      </text>
    </comment>
    <comment ref="CL3" authorId="0" shapeId="0">
      <text>
        <r>
          <rPr>
            <b/>
            <sz val="12"/>
            <color indexed="81"/>
            <rFont val="Calibri"/>
            <family val="2"/>
          </rPr>
          <t>predicted</t>
        </r>
      </text>
    </comment>
  </commentList>
</comments>
</file>

<file path=xl/comments2.xml><?xml version="1.0" encoding="utf-8"?>
<comments xmlns="http://schemas.openxmlformats.org/spreadsheetml/2006/main">
  <authors>
    <author>Stephen Sillett</author>
    <author>Russell D. Kramer</author>
  </authors>
  <commentList>
    <comment ref="A67" authorId="0" shapeId="0">
      <text>
        <r>
          <rPr>
            <b/>
            <sz val="12"/>
            <color indexed="81"/>
            <rFont val="Calibri"/>
            <family val="2"/>
          </rPr>
          <t>base values at bottom for each branch</t>
        </r>
      </text>
    </comment>
    <comment ref="A86" authorId="0" shapeId="0">
      <text>
        <r>
          <rPr>
            <b/>
            <sz val="12"/>
            <color indexed="81"/>
            <rFont val="Calibri"/>
            <family val="2"/>
          </rPr>
          <t>base values at bottom for each branch</t>
        </r>
      </text>
    </comment>
    <comment ref="A105" authorId="0" shapeId="0">
      <text>
        <r>
          <rPr>
            <b/>
            <sz val="12"/>
            <color indexed="81"/>
            <rFont val="Calibri"/>
            <family val="2"/>
          </rPr>
          <t>base values at bottom for each branch</t>
        </r>
      </text>
    </comment>
    <comment ref="A124" authorId="0" shapeId="0">
      <text>
        <r>
          <rPr>
            <b/>
            <sz val="12"/>
            <color indexed="81"/>
            <rFont val="Calibri"/>
            <family val="2"/>
          </rPr>
          <t>base values at bottom for each branch</t>
        </r>
      </text>
    </comment>
    <comment ref="A305" authorId="1" shapeId="0">
      <text>
        <r>
          <rPr>
            <b/>
            <sz val="9"/>
            <color indexed="81"/>
            <rFont val="Tahoma"/>
            <family val="2"/>
          </rPr>
          <t>Russell D. Kramer:</t>
        </r>
        <r>
          <rPr>
            <sz val="9"/>
            <color indexed="81"/>
            <rFont val="Tahoma"/>
            <family val="2"/>
          </rPr>
          <t xml:space="preserve">
Density equation from Appendix C, Table 5
</t>
        </r>
      </text>
    </comment>
  </commentList>
</comments>
</file>

<file path=xl/comments3.xml><?xml version="1.0" encoding="utf-8"?>
<comments xmlns="http://schemas.openxmlformats.org/spreadsheetml/2006/main">
  <authors>
    <author>Russell D. Kramer</author>
  </authors>
  <commentList>
    <comment ref="AA1" authorId="0" shapeId="0">
      <text>
        <r>
          <rPr>
            <b/>
            <sz val="9"/>
            <color indexed="81"/>
            <rFont val="Tahoma"/>
            <family val="2"/>
          </rPr>
          <t>Russell D. Kramer:</t>
        </r>
        <r>
          <rPr>
            <sz val="9"/>
            <color indexed="81"/>
            <rFont val="Tahoma"/>
            <family val="2"/>
          </rPr>
          <t xml:space="preserve">
Equations in Appendix C, Table 5, using average height
</t>
        </r>
      </text>
    </comment>
    <comment ref="BE1" authorId="0" shapeId="0">
      <text>
        <r>
          <rPr>
            <b/>
            <sz val="9"/>
            <color indexed="81"/>
            <rFont val="Tahoma"/>
            <charset val="1"/>
          </rPr>
          <t>Russell D. Kramer:</t>
        </r>
        <r>
          <rPr>
            <sz val="9"/>
            <color indexed="81"/>
            <rFont val="Tahoma"/>
            <charset val="1"/>
          </rPr>
          <t xml:space="preserve">
Use multiples from Table4, Appendix C</t>
        </r>
      </text>
    </comment>
    <comment ref="C2" authorId="0" shapeId="0">
      <text>
        <r>
          <rPr>
            <b/>
            <sz val="9"/>
            <color indexed="81"/>
            <rFont val="Tahoma"/>
            <charset val="1"/>
          </rPr>
          <t>Russell D. Kramer:</t>
        </r>
        <r>
          <rPr>
            <sz val="9"/>
            <color indexed="81"/>
            <rFont val="Tahoma"/>
            <charset val="1"/>
          </rPr>
          <t xml:space="preserve">
trunk section name, usually "M"</t>
        </r>
      </text>
    </comment>
    <comment ref="AA2" authorId="0" shapeId="0">
      <text>
        <r>
          <rPr>
            <b/>
            <sz val="9"/>
            <color indexed="81"/>
            <rFont val="Tahoma"/>
            <charset val="1"/>
          </rPr>
          <t>Russell D. Kramer:</t>
        </r>
        <r>
          <rPr>
            <sz val="9"/>
            <color indexed="81"/>
            <rFont val="Tahoma"/>
            <charset val="1"/>
          </rPr>
          <t xml:space="preserve">
Use density equations from coring, see Table 5 in Appendix C
</t>
        </r>
      </text>
    </comment>
    <comment ref="AB2" authorId="0" shapeId="0">
      <text>
        <r>
          <rPr>
            <b/>
            <sz val="9"/>
            <color indexed="81"/>
            <rFont val="Tahoma"/>
            <charset val="1"/>
          </rPr>
          <t>Russell D. Kramer:</t>
        </r>
        <r>
          <rPr>
            <sz val="9"/>
            <color indexed="81"/>
            <rFont val="Tahoma"/>
            <charset val="1"/>
          </rPr>
          <t xml:space="preserve">
Use density equations from coring, see Table 5 in Appendix C
</t>
        </r>
      </text>
    </comment>
    <comment ref="AE2" authorId="0" shapeId="0">
      <text>
        <r>
          <rPr>
            <b/>
            <sz val="9"/>
            <color indexed="81"/>
            <rFont val="Tahoma"/>
            <charset val="1"/>
          </rPr>
          <t>Russell D. Kramer:</t>
        </r>
        <r>
          <rPr>
            <sz val="9"/>
            <color indexed="81"/>
            <rFont val="Tahoma"/>
            <charset val="1"/>
          </rPr>
          <t xml:space="preserve">
Bark density from Table 6, Appendix C</t>
        </r>
      </text>
    </comment>
    <comment ref="AF2" authorId="0" shapeId="0">
      <text>
        <r>
          <rPr>
            <b/>
            <sz val="9"/>
            <color indexed="81"/>
            <rFont val="Tahoma"/>
            <charset val="1"/>
          </rPr>
          <t>Russell D. Kramer:</t>
        </r>
        <r>
          <rPr>
            <sz val="9"/>
            <color indexed="81"/>
            <rFont val="Tahoma"/>
            <charset val="1"/>
          </rPr>
          <t xml:space="preserve">
SE and Bark density from Table 5, Appendix C</t>
        </r>
      </text>
    </comment>
    <comment ref="AM2" authorId="0" shapeId="0">
      <text>
        <r>
          <rPr>
            <b/>
            <sz val="9"/>
            <color indexed="81"/>
            <rFont val="Tahoma"/>
            <charset val="1"/>
          </rPr>
          <t>Russell D. Kramer:</t>
        </r>
        <r>
          <rPr>
            <sz val="9"/>
            <color indexed="81"/>
            <rFont val="Tahoma"/>
            <charset val="1"/>
          </rPr>
          <t xml:space="preserve">
Volume of conic frustum</t>
        </r>
      </text>
    </comment>
    <comment ref="AN2" authorId="0" shapeId="0">
      <text>
        <r>
          <rPr>
            <b/>
            <sz val="9"/>
            <color indexed="81"/>
            <rFont val="Tahoma"/>
            <charset val="1"/>
          </rPr>
          <t xml:space="preserve">Russell D. Kramer:
Emperical diameter measurements so no error. </t>
        </r>
      </text>
    </comment>
    <comment ref="AW2" authorId="0" shapeId="0">
      <text>
        <r>
          <rPr>
            <b/>
            <sz val="9"/>
            <color indexed="81"/>
            <rFont val="Tahoma"/>
            <family val="2"/>
          </rPr>
          <t>Russell D. Kramer:</t>
        </r>
        <r>
          <rPr>
            <sz val="9"/>
            <color indexed="81"/>
            <rFont val="Tahoma"/>
            <family val="2"/>
          </rPr>
          <t xml:space="preserve">
Lateral surface area of conic frusta</t>
        </r>
      </text>
    </comment>
    <comment ref="BE2" authorId="0" shapeId="0">
      <text>
        <r>
          <rPr>
            <b/>
            <sz val="9"/>
            <color indexed="81"/>
            <rFont val="Tahoma"/>
            <charset val="1"/>
          </rPr>
          <t>Russell D. Kramer:</t>
        </r>
        <r>
          <rPr>
            <sz val="9"/>
            <color indexed="81"/>
            <rFont val="Tahoma"/>
            <charset val="1"/>
          </rPr>
          <t xml:space="preserve">
Table4, Appendix C</t>
        </r>
      </text>
    </comment>
    <comment ref="BI2" authorId="0" shapeId="0">
      <text>
        <r>
          <rPr>
            <b/>
            <sz val="9"/>
            <color indexed="81"/>
            <rFont val="Tahoma"/>
            <family val="2"/>
          </rPr>
          <t>Russell D. Kramer:</t>
        </r>
        <r>
          <rPr>
            <sz val="9"/>
            <color indexed="81"/>
            <rFont val="Tahoma"/>
            <family val="2"/>
          </rPr>
          <t xml:space="preserve">
Densities from Appendix C, Table 6</t>
        </r>
      </text>
    </comment>
  </commentList>
</comments>
</file>

<file path=xl/comments4.xml><?xml version="1.0" encoding="utf-8"?>
<comments xmlns="http://schemas.openxmlformats.org/spreadsheetml/2006/main">
  <authors>
    <author>Russell D. Kramer</author>
  </authors>
  <commentList>
    <comment ref="AE1" authorId="0" shapeId="0">
      <text>
        <r>
          <rPr>
            <b/>
            <sz val="9"/>
            <color indexed="81"/>
            <rFont val="Tahoma"/>
            <family val="2"/>
          </rPr>
          <t>Russell D. Kramer:</t>
        </r>
        <r>
          <rPr>
            <sz val="9"/>
            <color indexed="81"/>
            <rFont val="Tahoma"/>
            <family val="2"/>
          </rPr>
          <t xml:space="preserve">
Density equations from Appendix C, Table 5, apply to average relative height
</t>
        </r>
      </text>
    </comment>
    <comment ref="C2" authorId="0" shapeId="0">
      <text>
        <r>
          <rPr>
            <b/>
            <sz val="9"/>
            <color indexed="81"/>
            <rFont val="Tahoma"/>
            <charset val="1"/>
          </rPr>
          <t>Russell D. Kramer:</t>
        </r>
        <r>
          <rPr>
            <sz val="9"/>
            <color indexed="81"/>
            <rFont val="Tahoma"/>
            <charset val="1"/>
          </rPr>
          <t xml:space="preserve">
"Branch", "Limb", "Trunk", see segment section of text
</t>
        </r>
      </text>
    </comment>
    <comment ref="D2" authorId="0" shapeId="0">
      <text>
        <r>
          <rPr>
            <b/>
            <sz val="9"/>
            <color indexed="81"/>
            <rFont val="Tahoma"/>
            <charset val="1"/>
          </rPr>
          <t>Russell D. Kramer:</t>
        </r>
        <r>
          <rPr>
            <sz val="9"/>
            <color indexed="81"/>
            <rFont val="Tahoma"/>
            <charset val="1"/>
          </rPr>
          <t xml:space="preserve">
Epicormic or original
</t>
        </r>
      </text>
    </comment>
  </commentList>
</comments>
</file>

<file path=xl/comments5.xml><?xml version="1.0" encoding="utf-8"?>
<comments xmlns="http://schemas.openxmlformats.org/spreadsheetml/2006/main">
  <authors>
    <author>Russell D. Kramer</author>
    <author>Stephen Sillett</author>
  </authors>
  <commentList>
    <comment ref="I2" authorId="0" shapeId="0">
      <text>
        <r>
          <rPr>
            <b/>
            <sz val="9"/>
            <color indexed="81"/>
            <rFont val="Tahoma"/>
            <family val="2"/>
          </rPr>
          <t>Russell D. Kramer:</t>
        </r>
        <r>
          <rPr>
            <sz val="9"/>
            <color indexed="81"/>
            <rFont val="Tahoma"/>
            <family val="2"/>
          </rPr>
          <t xml:space="preserve">
See Appendix C, Table 1</t>
        </r>
      </text>
    </comment>
    <comment ref="K2" authorId="0" shapeId="0">
      <text>
        <r>
          <rPr>
            <b/>
            <sz val="9"/>
            <color indexed="81"/>
            <rFont val="Tahoma"/>
            <family val="2"/>
          </rPr>
          <t>Russell D. Kramer:</t>
        </r>
        <r>
          <rPr>
            <sz val="9"/>
            <color indexed="81"/>
            <rFont val="Tahoma"/>
            <family val="2"/>
          </rPr>
          <t xml:space="preserve">
live or dead
</t>
        </r>
      </text>
    </comment>
    <comment ref="O2" authorId="0" shapeId="0">
      <text>
        <r>
          <rPr>
            <b/>
            <sz val="9"/>
            <color indexed="81"/>
            <rFont val="Tahoma"/>
            <family val="2"/>
          </rPr>
          <t>Russell D. Kramer:</t>
        </r>
        <r>
          <rPr>
            <sz val="9"/>
            <color indexed="81"/>
            <rFont val="Tahoma"/>
            <family val="2"/>
          </rPr>
          <t xml:space="preserve">
dead path &gt;4cm diam
</t>
        </r>
      </text>
    </comment>
    <comment ref="BB2" authorId="1" shapeId="0">
      <text>
        <r>
          <rPr>
            <b/>
            <sz val="12"/>
            <color indexed="81"/>
            <rFont val="Calibri"/>
            <family val="2"/>
          </rPr>
          <t>D path added at 4 cm diameter</t>
        </r>
      </text>
    </comment>
    <comment ref="BL2" authorId="1" shapeId="0">
      <text>
        <r>
          <rPr>
            <b/>
            <sz val="12"/>
            <color indexed="81"/>
            <rFont val="Calibri"/>
            <family val="2"/>
          </rPr>
          <t>includes dead surfaces</t>
        </r>
      </text>
    </comment>
    <comment ref="BX2" authorId="0" shapeId="0">
      <text>
        <r>
          <rPr>
            <b/>
            <sz val="9"/>
            <color indexed="81"/>
            <rFont val="Tahoma"/>
            <family val="2"/>
          </rPr>
          <t>Russell D. Kramer:</t>
        </r>
        <r>
          <rPr>
            <sz val="9"/>
            <color indexed="81"/>
            <rFont val="Tahoma"/>
            <family val="2"/>
          </rPr>
          <t xml:space="preserve">
Scales mass predicted directly to mass from volume and density.
</t>
        </r>
      </text>
    </comment>
    <comment ref="BY2" authorId="1" shapeId="0">
      <text>
        <r>
          <rPr>
            <b/>
            <sz val="12"/>
            <color rgb="FF000000"/>
            <rFont val="Calibri"/>
            <family val="2"/>
          </rPr>
          <t>FINAL VALUES, excluding foliage</t>
        </r>
      </text>
    </comment>
  </commentList>
</comments>
</file>

<file path=xl/comments6.xml><?xml version="1.0" encoding="utf-8"?>
<comments xmlns="http://schemas.openxmlformats.org/spreadsheetml/2006/main">
  <authors>
    <author>Stephen Sillett</author>
  </authors>
  <commentList>
    <comment ref="B3" authorId="0" shapeId="0">
      <text>
        <r>
          <rPr>
            <b/>
            <sz val="12"/>
            <color indexed="81"/>
            <rFont val="Calibri"/>
            <family val="2"/>
          </rPr>
          <t>wood + bark + leaves + cones</t>
        </r>
      </text>
    </comment>
  </commentList>
</comments>
</file>

<file path=xl/sharedStrings.xml><?xml version="1.0" encoding="utf-8"?>
<sst xmlns="http://schemas.openxmlformats.org/spreadsheetml/2006/main" count="953" uniqueCount="260">
  <si>
    <t>tree</t>
  </si>
  <si>
    <t>branch</t>
  </si>
  <si>
    <t>1</t>
  </si>
  <si>
    <t>3</t>
  </si>
  <si>
    <t>2</t>
  </si>
  <si>
    <t>5</t>
  </si>
  <si>
    <t>4</t>
  </si>
  <si>
    <t>6</t>
  </si>
  <si>
    <t>7</t>
  </si>
  <si>
    <t>9</t>
  </si>
  <si>
    <t>8</t>
  </si>
  <si>
    <t>11</t>
  </si>
  <si>
    <t>10</t>
  </si>
  <si>
    <t>12</t>
  </si>
  <si>
    <t>15</t>
  </si>
  <si>
    <t>13</t>
  </si>
  <si>
    <t>14</t>
  </si>
  <si>
    <t>16</t>
  </si>
  <si>
    <t>origin</t>
  </si>
  <si>
    <t>M</t>
  </si>
  <si>
    <t>base radius</t>
  </si>
  <si>
    <t>base X</t>
  </si>
  <si>
    <t>base Y</t>
  </si>
  <si>
    <t>base Z</t>
  </si>
  <si>
    <t>top radius</t>
  </si>
  <si>
    <t>top X</t>
  </si>
  <si>
    <t>top Y</t>
  </si>
  <si>
    <t>top Z</t>
  </si>
  <si>
    <t>orig azi</t>
  </si>
  <si>
    <t>cent azi</t>
  </si>
  <si>
    <t>% dead</t>
  </si>
  <si>
    <t>D path</t>
  </si>
  <si>
    <t>6 - 7</t>
  </si>
  <si>
    <t>BRANCH PARAMETERS</t>
  </si>
  <si>
    <t>FRESH MASS (kg)</t>
  </si>
  <si>
    <t>DRY MASS (g)</t>
  </si>
  <si>
    <t>BARK THICKNESS (mm)</t>
  </si>
  <si>
    <t>HEARTWOOD DIAMETER (mm)</t>
  </si>
  <si>
    <t>tree height</t>
  </si>
  <si>
    <t>branch base ht</t>
  </si>
  <si>
    <t>rel ht</t>
  </si>
  <si>
    <t>HD</t>
  </si>
  <si>
    <t>slope</t>
  </si>
  <si>
    <t>L path &gt; 4</t>
  </si>
  <si>
    <t>keep</t>
  </si>
  <si>
    <t>discard</t>
  </si>
  <si>
    <t>cones</t>
  </si>
  <si>
    <t>B</t>
  </si>
  <si>
    <t>1 - 2</t>
  </si>
  <si>
    <t>2 - 3</t>
  </si>
  <si>
    <t>3 - 4</t>
  </si>
  <si>
    <t>4 - 5</t>
  </si>
  <si>
    <t>5 - 6</t>
  </si>
  <si>
    <t>7 - 8</t>
  </si>
  <si>
    <t>8 - 9</t>
  </si>
  <si>
    <t>9 - 10</t>
  </si>
  <si>
    <t>10 - 11</t>
  </si>
  <si>
    <t>11 - 12</t>
  </si>
  <si>
    <t>12 - 13</t>
  </si>
  <si>
    <t>13 - 14</t>
  </si>
  <si>
    <t>14 - 15</t>
  </si>
  <si>
    <t>leaves</t>
  </si>
  <si>
    <t>epiphytes</t>
  </si>
  <si>
    <t>15 - 16</t>
  </si>
  <si>
    <t>&lt; 1</t>
  </si>
  <si>
    <t>PATH LENGTH (m)</t>
  </si>
  <si>
    <t>&lt; 1 B</t>
  </si>
  <si>
    <t>leaves SUB</t>
  </si>
  <si>
    <t>height (m)</t>
  </si>
  <si>
    <r>
      <t>total volume (m</t>
    </r>
    <r>
      <rPr>
        <vertAlign val="superscript"/>
        <sz val="12"/>
        <color theme="0"/>
        <rFont val="Calibri"/>
        <family val="2"/>
        <scheme val="minor"/>
      </rPr>
      <t>3</t>
    </r>
    <r>
      <rPr>
        <sz val="12"/>
        <color theme="0"/>
        <rFont val="Calibri"/>
        <family val="2"/>
        <scheme val="minor"/>
      </rPr>
      <t>)</t>
    </r>
  </si>
  <si>
    <r>
      <t>bark area (m</t>
    </r>
    <r>
      <rPr>
        <vertAlign val="superscript"/>
        <sz val="12"/>
        <color theme="0"/>
        <rFont val="Calibri"/>
        <family val="2"/>
        <scheme val="minor"/>
      </rPr>
      <t>2</t>
    </r>
    <r>
      <rPr>
        <sz val="12"/>
        <color theme="0"/>
        <rFont val="Calibri"/>
        <family val="2"/>
        <scheme val="minor"/>
      </rPr>
      <t>)</t>
    </r>
  </si>
  <si>
    <t>distal diam</t>
  </si>
  <si>
    <t>&lt; 1 B SUB</t>
  </si>
  <si>
    <t>epiphytes SUB</t>
  </si>
  <si>
    <t>&lt; 1 dead</t>
  </si>
  <si>
    <t>&lt; 1 G</t>
  </si>
  <si>
    <t>&lt; 1 G SUB</t>
  </si>
  <si>
    <t>&lt; 1 G keep</t>
  </si>
  <si>
    <t>leaves keep</t>
  </si>
  <si>
    <t>1 - 2 leaves</t>
  </si>
  <si>
    <t>&lt; 1 all</t>
  </si>
  <si>
    <t>N</t>
  </si>
  <si>
    <t>L</t>
  </si>
  <si>
    <t>sap density</t>
  </si>
  <si>
    <t>heart density</t>
  </si>
  <si>
    <t>DV</t>
  </si>
  <si>
    <t>V1</t>
  </si>
  <si>
    <t>a</t>
  </si>
  <si>
    <t>b</t>
  </si>
  <si>
    <t>form</t>
  </si>
  <si>
    <t>br top ht</t>
  </si>
  <si>
    <t>Fuzz 2</t>
  </si>
  <si>
    <t>Fuzz 1</t>
  </si>
  <si>
    <t>16 - 17</t>
  </si>
  <si>
    <t>Wood density samples</t>
  </si>
  <si>
    <t>Big end</t>
  </si>
  <si>
    <t>Small end</t>
  </si>
  <si>
    <t>Length (cm)</t>
  </si>
  <si>
    <t>Dry mass (g)</t>
  </si>
  <si>
    <t>Mean</t>
  </si>
  <si>
    <t>Day</t>
  </si>
  <si>
    <t>Group</t>
  </si>
  <si>
    <t>Branch</t>
  </si>
  <si>
    <t>Sample</t>
  </si>
  <si>
    <t>Max</t>
  </si>
  <si>
    <t>Min</t>
  </si>
  <si>
    <t>Conic F</t>
  </si>
  <si>
    <t>Cylinder</t>
  </si>
  <si>
    <t xml:space="preserve"> % bark</t>
  </si>
  <si>
    <t>Total</t>
  </si>
  <si>
    <t>Wood</t>
  </si>
  <si>
    <t>Bark</t>
  </si>
  <si>
    <t>Diameter</t>
  </si>
  <si>
    <t>Thur</t>
  </si>
  <si>
    <t>Diameter (cm)</t>
  </si>
  <si>
    <t>Bark (mm)</t>
  </si>
  <si>
    <t>Tues</t>
  </si>
  <si>
    <t>5a</t>
  </si>
  <si>
    <t>Wed</t>
  </si>
  <si>
    <t>Unk1</t>
  </si>
  <si>
    <t>5b</t>
  </si>
  <si>
    <t>Thurs</t>
  </si>
  <si>
    <t>distal</t>
  </si>
  <si>
    <t>base ht</t>
  </si>
  <si>
    <t>PATH (cm)</t>
  </si>
  <si>
    <t>BARK RADIUS (mm)</t>
  </si>
  <si>
    <t>HEARTWOOD DIAM (mm)</t>
  </si>
  <si>
    <t>TOTAL RADIUS (m)</t>
  </si>
  <si>
    <t>WOOD RADIUS (m)</t>
  </si>
  <si>
    <t>HEARTWOOD RADIUS (m)</t>
  </si>
  <si>
    <t>SAPWOOD RADIUS (m)</t>
  </si>
  <si>
    <r>
      <t>TOTAL VOLUME (m</t>
    </r>
    <r>
      <rPr>
        <b/>
        <vertAlign val="superscript"/>
        <sz val="12"/>
        <color rgb="FFFFFF00"/>
        <rFont val="Calibri"/>
        <family val="2"/>
        <scheme val="minor"/>
      </rPr>
      <t>3</t>
    </r>
    <r>
      <rPr>
        <b/>
        <sz val="12"/>
        <color rgb="FFFFFF00"/>
        <rFont val="Calibri"/>
        <family val="2"/>
        <scheme val="minor"/>
      </rPr>
      <t>)</t>
    </r>
  </si>
  <si>
    <r>
      <t>WOOD VOLUME (m</t>
    </r>
    <r>
      <rPr>
        <b/>
        <vertAlign val="superscript"/>
        <sz val="12"/>
        <color rgb="FFFFFF00"/>
        <rFont val="Calibri"/>
        <family val="2"/>
        <scheme val="minor"/>
      </rPr>
      <t>3</t>
    </r>
    <r>
      <rPr>
        <b/>
        <sz val="12"/>
        <color rgb="FFFFFF00"/>
        <rFont val="Calibri"/>
        <family val="2"/>
        <scheme val="minor"/>
      </rPr>
      <t>)</t>
    </r>
  </si>
  <si>
    <r>
      <t>HEARTWOOD VOLUME (m</t>
    </r>
    <r>
      <rPr>
        <b/>
        <vertAlign val="superscript"/>
        <sz val="12"/>
        <color rgb="FFFFFF00"/>
        <rFont val="Calibri"/>
        <family val="2"/>
        <scheme val="minor"/>
      </rPr>
      <t>3</t>
    </r>
    <r>
      <rPr>
        <b/>
        <sz val="12"/>
        <color rgb="FFFFFF00"/>
        <rFont val="Calibri"/>
        <family val="2"/>
        <scheme val="minor"/>
      </rPr>
      <t>)</t>
    </r>
  </si>
  <si>
    <r>
      <t>BARK VOLUME (m</t>
    </r>
    <r>
      <rPr>
        <b/>
        <vertAlign val="superscript"/>
        <sz val="12"/>
        <color rgb="FFFFFF00"/>
        <rFont val="Calibri"/>
        <family val="2"/>
        <scheme val="minor"/>
      </rPr>
      <t>3</t>
    </r>
    <r>
      <rPr>
        <b/>
        <sz val="12"/>
        <color rgb="FFFFFF00"/>
        <rFont val="Calibri"/>
        <family val="2"/>
        <scheme val="minor"/>
      </rPr>
      <t>)</t>
    </r>
  </si>
  <si>
    <r>
      <t>SAPWOOD VOLUME (m</t>
    </r>
    <r>
      <rPr>
        <b/>
        <vertAlign val="superscript"/>
        <sz val="12"/>
        <color rgb="FFFFFF00"/>
        <rFont val="Calibri"/>
        <family val="2"/>
        <scheme val="minor"/>
      </rPr>
      <t>3</t>
    </r>
    <r>
      <rPr>
        <b/>
        <sz val="12"/>
        <color rgb="FFFFFF00"/>
        <rFont val="Calibri"/>
        <family val="2"/>
        <scheme val="minor"/>
      </rPr>
      <t>)</t>
    </r>
  </si>
  <si>
    <r>
      <t>BARK AREA (m</t>
    </r>
    <r>
      <rPr>
        <b/>
        <vertAlign val="superscript"/>
        <sz val="12"/>
        <color rgb="FFFFFF00"/>
        <rFont val="Calibri"/>
        <family val="2"/>
        <scheme val="minor"/>
      </rPr>
      <t>2</t>
    </r>
    <r>
      <rPr>
        <b/>
        <sz val="12"/>
        <color rgb="FFFFFF00"/>
        <rFont val="Calibri"/>
        <family val="2"/>
        <scheme val="minor"/>
      </rPr>
      <t>)</t>
    </r>
  </si>
  <si>
    <r>
      <t>CAMBIUM (m</t>
    </r>
    <r>
      <rPr>
        <b/>
        <vertAlign val="superscript"/>
        <sz val="12"/>
        <color rgb="FFFFFF00"/>
        <rFont val="Calibri"/>
        <family val="2"/>
        <scheme val="minor"/>
      </rPr>
      <t>2</t>
    </r>
    <r>
      <rPr>
        <b/>
        <sz val="12"/>
        <color rgb="FFFFFF00"/>
        <rFont val="Calibri"/>
        <family val="2"/>
        <scheme val="minor"/>
      </rPr>
      <t>)</t>
    </r>
  </si>
  <si>
    <r>
      <t>HEARTWOOD AREA (m</t>
    </r>
    <r>
      <rPr>
        <b/>
        <vertAlign val="superscript"/>
        <sz val="12"/>
        <color rgb="FFFFFF00"/>
        <rFont val="Calibri"/>
        <family val="2"/>
        <scheme val="minor"/>
      </rPr>
      <t>2</t>
    </r>
    <r>
      <rPr>
        <b/>
        <sz val="12"/>
        <color rgb="FFFFFF00"/>
        <rFont val="Calibri"/>
        <family val="2"/>
        <scheme val="minor"/>
      </rPr>
      <t>)</t>
    </r>
  </si>
  <si>
    <t>basal</t>
  </si>
  <si>
    <t>basal diam (cm)</t>
  </si>
  <si>
    <t>distal diam (cm)</t>
  </si>
  <si>
    <t>SD</t>
  </si>
  <si>
    <t>basal diam</t>
  </si>
  <si>
    <t>leaf mass (kg)</t>
  </si>
  <si>
    <r>
      <t>Volume (cm</t>
    </r>
    <r>
      <rPr>
        <vertAlign val="superscript"/>
        <sz val="12"/>
        <color theme="1"/>
        <rFont val="Calibri"/>
        <family val="2"/>
        <scheme val="minor"/>
      </rPr>
      <t>3</t>
    </r>
    <r>
      <rPr>
        <sz val="12"/>
        <color theme="1"/>
        <rFont val="Calibri"/>
        <family val="2"/>
        <scheme val="minor"/>
      </rPr>
      <t>)</t>
    </r>
  </si>
  <si>
    <r>
      <t>Density (g/cm</t>
    </r>
    <r>
      <rPr>
        <vertAlign val="superscript"/>
        <sz val="12"/>
        <color theme="1"/>
        <rFont val="Calibri"/>
        <family val="2"/>
        <scheme val="minor"/>
      </rPr>
      <t>3</t>
    </r>
    <r>
      <rPr>
        <sz val="12"/>
        <color theme="1"/>
        <rFont val="Calibri"/>
        <family val="2"/>
        <scheme val="minor"/>
      </rPr>
      <t>)</t>
    </r>
  </si>
  <si>
    <r>
      <t>wood volume (m</t>
    </r>
    <r>
      <rPr>
        <vertAlign val="superscript"/>
        <sz val="12"/>
        <color theme="0"/>
        <rFont val="Calibri"/>
        <family val="2"/>
        <scheme val="minor"/>
      </rPr>
      <t>3</t>
    </r>
    <r>
      <rPr>
        <sz val="12"/>
        <color theme="0"/>
        <rFont val="Calibri"/>
        <family val="2"/>
        <scheme val="minor"/>
      </rPr>
      <t>)</t>
    </r>
  </si>
  <si>
    <r>
      <t>bark volume (m</t>
    </r>
    <r>
      <rPr>
        <vertAlign val="superscript"/>
        <sz val="12"/>
        <color theme="0"/>
        <rFont val="Calibri"/>
        <family val="2"/>
        <scheme val="minor"/>
      </rPr>
      <t>3</t>
    </r>
    <r>
      <rPr>
        <sz val="12"/>
        <color theme="0"/>
        <rFont val="Calibri"/>
        <family val="2"/>
        <scheme val="minor"/>
      </rPr>
      <t>)</t>
    </r>
  </si>
  <si>
    <r>
      <t>R</t>
    </r>
    <r>
      <rPr>
        <i/>
        <vertAlign val="superscript"/>
        <sz val="12"/>
        <color rgb="FFFFFFFF"/>
        <rFont val="Calibri"/>
        <family val="2"/>
        <scheme val="minor"/>
      </rPr>
      <t>2</t>
    </r>
  </si>
  <si>
    <r>
      <t>leaf area (m</t>
    </r>
    <r>
      <rPr>
        <vertAlign val="superscript"/>
        <sz val="12"/>
        <color theme="1"/>
        <rFont val="Calibri"/>
        <family val="2"/>
        <scheme val="minor"/>
      </rPr>
      <t>2</t>
    </r>
    <r>
      <rPr>
        <sz val="12"/>
        <color theme="1"/>
        <rFont val="Calibri"/>
        <family val="2"/>
        <scheme val="minor"/>
      </rPr>
      <t>)</t>
    </r>
  </si>
  <si>
    <t>millions of leaves</t>
  </si>
  <si>
    <r>
      <t>TOTAL DENSITY (kg m</t>
    </r>
    <r>
      <rPr>
        <b/>
        <vertAlign val="superscript"/>
        <sz val="12"/>
        <color theme="0"/>
        <rFont val="Calibri"/>
        <family val="2"/>
        <scheme val="minor"/>
      </rPr>
      <t>-3</t>
    </r>
    <r>
      <rPr>
        <b/>
        <sz val="12"/>
        <color theme="0"/>
        <rFont val="Calibri"/>
        <family val="2"/>
        <scheme val="minor"/>
      </rPr>
      <t>)</t>
    </r>
  </si>
  <si>
    <r>
      <t>&lt; 1 volume (m</t>
    </r>
    <r>
      <rPr>
        <vertAlign val="superscript"/>
        <sz val="12"/>
        <color theme="0"/>
        <rFont val="Calibri"/>
        <family val="2"/>
      </rPr>
      <t>3</t>
    </r>
    <r>
      <rPr>
        <sz val="12"/>
        <color theme="0"/>
        <rFont val="Calibri"/>
        <family val="2"/>
      </rPr>
      <t>)</t>
    </r>
  </si>
  <si>
    <r>
      <t>&lt; 1 density (kg m</t>
    </r>
    <r>
      <rPr>
        <vertAlign val="superscript"/>
        <sz val="12"/>
        <color theme="0"/>
        <rFont val="Calibri"/>
        <family val="2"/>
      </rPr>
      <t>-3</t>
    </r>
    <r>
      <rPr>
        <sz val="12"/>
        <color theme="0"/>
        <rFont val="Calibri"/>
        <family val="2"/>
      </rPr>
      <t>)</t>
    </r>
  </si>
  <si>
    <t>WOOD + BARK MASS (kg)</t>
  </si>
  <si>
    <t>wood + bark mass (kg)</t>
  </si>
  <si>
    <t>total mass (kg)</t>
  </si>
  <si>
    <t>basal diameter (cm)</t>
  </si>
  <si>
    <t>L path &gt; 4 (m)</t>
  </si>
  <si>
    <r>
      <t>wood + bark volume (m</t>
    </r>
    <r>
      <rPr>
        <vertAlign val="superscript"/>
        <sz val="12"/>
        <color theme="1"/>
        <rFont val="Calibri"/>
        <family val="2"/>
        <scheme val="minor"/>
      </rPr>
      <t>3</t>
    </r>
    <r>
      <rPr>
        <sz val="12"/>
        <color theme="1"/>
        <rFont val="Calibri"/>
        <family val="2"/>
        <scheme val="minor"/>
      </rPr>
      <t>)</t>
    </r>
  </si>
  <si>
    <r>
      <t>wood volume (m</t>
    </r>
    <r>
      <rPr>
        <vertAlign val="superscript"/>
        <sz val="12"/>
        <color theme="1"/>
        <rFont val="Calibri"/>
        <family val="2"/>
        <scheme val="minor"/>
      </rPr>
      <t>3</t>
    </r>
    <r>
      <rPr>
        <sz val="12"/>
        <color theme="1"/>
        <rFont val="Calibri"/>
        <family val="2"/>
        <scheme val="minor"/>
      </rPr>
      <t>)</t>
    </r>
  </si>
  <si>
    <r>
      <t>bark area (m</t>
    </r>
    <r>
      <rPr>
        <vertAlign val="superscript"/>
        <sz val="12"/>
        <color theme="1"/>
        <rFont val="Calibri"/>
        <family val="2"/>
        <scheme val="minor"/>
      </rPr>
      <t>2</t>
    </r>
    <r>
      <rPr>
        <sz val="12"/>
        <color theme="1"/>
        <rFont val="Calibri"/>
        <family val="2"/>
        <scheme val="minor"/>
      </rPr>
      <t>)</t>
    </r>
  </si>
  <si>
    <r>
      <t>cambium (m</t>
    </r>
    <r>
      <rPr>
        <vertAlign val="superscript"/>
        <sz val="12"/>
        <color theme="1"/>
        <rFont val="Calibri"/>
        <family val="2"/>
        <scheme val="minor"/>
      </rPr>
      <t>2</t>
    </r>
    <r>
      <rPr>
        <sz val="12"/>
        <color theme="1"/>
        <rFont val="Calibri"/>
        <family val="2"/>
        <scheme val="minor"/>
      </rPr>
      <t>)</t>
    </r>
  </si>
  <si>
    <r>
      <t>leaf area (m</t>
    </r>
    <r>
      <rPr>
        <vertAlign val="superscript"/>
        <sz val="12"/>
        <color theme="0"/>
        <rFont val="Calibri"/>
        <family val="2"/>
        <scheme val="minor"/>
      </rPr>
      <t>2</t>
    </r>
    <r>
      <rPr>
        <sz val="12"/>
        <color theme="0"/>
        <rFont val="Calibri"/>
        <family val="2"/>
        <scheme val="minor"/>
      </rPr>
      <t>)</t>
    </r>
  </si>
  <si>
    <r>
      <t>a</t>
    </r>
    <r>
      <rPr>
        <sz val="12"/>
        <color rgb="FF000000"/>
        <rFont val="Calibri"/>
        <family val="2"/>
        <scheme val="minor"/>
      </rPr>
      <t>V1</t>
    </r>
    <r>
      <rPr>
        <i/>
        <vertAlign val="superscript"/>
        <sz val="12"/>
        <color rgb="FF000000"/>
        <rFont val="Calibri"/>
        <family val="2"/>
        <scheme val="minor"/>
      </rPr>
      <t>b</t>
    </r>
  </si>
  <si>
    <t>fuzz type</t>
  </si>
  <si>
    <t>0 to 2</t>
  </si>
  <si>
    <t>2 to 4</t>
  </si>
  <si>
    <t>SE total mass</t>
  </si>
  <si>
    <t>SE wood + bark volume</t>
  </si>
  <si>
    <t>SE wood volume</t>
  </si>
  <si>
    <t>SE bark area</t>
  </si>
  <si>
    <t>SE cambium</t>
  </si>
  <si>
    <t>SE leaf mass</t>
  </si>
  <si>
    <t>SE leaf area</t>
  </si>
  <si>
    <t>SE millions of leaves</t>
  </si>
  <si>
    <t>FUZZ MULTIPLES</t>
  </si>
  <si>
    <r>
      <t>wood + bark volume (m</t>
    </r>
    <r>
      <rPr>
        <vertAlign val="superscript"/>
        <sz val="12"/>
        <color theme="0"/>
        <rFont val="Calibri"/>
        <family val="2"/>
        <scheme val="minor"/>
      </rPr>
      <t>3</t>
    </r>
    <r>
      <rPr>
        <sz val="12"/>
        <color theme="0"/>
        <rFont val="Calibri"/>
        <family val="2"/>
        <scheme val="minor"/>
      </rPr>
      <t>)</t>
    </r>
  </si>
  <si>
    <r>
      <t>cambium (m</t>
    </r>
    <r>
      <rPr>
        <vertAlign val="superscript"/>
        <sz val="12"/>
        <color theme="0"/>
        <rFont val="Calibri"/>
        <family val="2"/>
        <scheme val="minor"/>
      </rPr>
      <t>2</t>
    </r>
    <r>
      <rPr>
        <sz val="12"/>
        <color theme="0"/>
        <rFont val="Calibri"/>
        <family val="2"/>
        <scheme val="minor"/>
      </rPr>
      <t>)</t>
    </r>
  </si>
  <si>
    <t>name</t>
  </si>
  <si>
    <t>base total radius</t>
  </si>
  <si>
    <t>top total radius</t>
  </si>
  <si>
    <t>length</t>
  </si>
  <si>
    <t>base wood radius</t>
  </si>
  <si>
    <t>top wood radius</t>
  </si>
  <si>
    <t>base heart radius</t>
  </si>
  <si>
    <t>top heart radius</t>
  </si>
  <si>
    <t>wood volume</t>
  </si>
  <si>
    <t>base rel ht</t>
  </si>
  <si>
    <t>top rel ht</t>
  </si>
  <si>
    <t>bark mass (kg)</t>
  </si>
  <si>
    <t>sapwood mass (kg)</t>
  </si>
  <si>
    <t>heartwood mass (kg)</t>
  </si>
  <si>
    <t>SE bark mass</t>
  </si>
  <si>
    <t>SE sapwood mass</t>
  </si>
  <si>
    <t>SE heartwood mass</t>
  </si>
  <si>
    <t>dead mass (kg)</t>
  </si>
  <si>
    <t>SE dead mass</t>
  </si>
  <si>
    <t>sequence</t>
  </si>
  <si>
    <t>type</t>
  </si>
  <si>
    <t>base diam</t>
  </si>
  <si>
    <t>top diam</t>
  </si>
  <si>
    <t>M - 1</t>
  </si>
  <si>
    <t>L / D</t>
  </si>
  <si>
    <t>SE heart volume</t>
  </si>
  <si>
    <t>SE heart area</t>
  </si>
  <si>
    <r>
      <t>heart volume (m</t>
    </r>
    <r>
      <rPr>
        <vertAlign val="superscript"/>
        <sz val="12"/>
        <color theme="0"/>
        <rFont val="Calibri"/>
        <family val="2"/>
        <scheme val="minor"/>
      </rPr>
      <t>3</t>
    </r>
    <r>
      <rPr>
        <sz val="12"/>
        <color theme="0"/>
        <rFont val="Calibri"/>
        <family val="2"/>
        <scheme val="minor"/>
      </rPr>
      <t>)</t>
    </r>
  </si>
  <si>
    <r>
      <t>heart area (m</t>
    </r>
    <r>
      <rPr>
        <vertAlign val="superscript"/>
        <sz val="12"/>
        <color theme="0"/>
        <rFont val="Calibri"/>
        <family val="2"/>
        <scheme val="minor"/>
      </rPr>
      <t>2</t>
    </r>
    <r>
      <rPr>
        <sz val="12"/>
        <color theme="0"/>
        <rFont val="Calibri"/>
        <family val="2"/>
        <scheme val="minor"/>
      </rPr>
      <t>)</t>
    </r>
  </si>
  <si>
    <r>
      <t>sapwood volume (m</t>
    </r>
    <r>
      <rPr>
        <vertAlign val="superscript"/>
        <sz val="12"/>
        <color theme="0"/>
        <rFont val="Calibri"/>
        <family val="2"/>
        <scheme val="minor"/>
      </rPr>
      <t>3</t>
    </r>
    <r>
      <rPr>
        <sz val="12"/>
        <color theme="0"/>
        <rFont val="Calibri"/>
        <family val="2"/>
        <scheme val="minor"/>
      </rPr>
      <t>)</t>
    </r>
  </si>
  <si>
    <t>SE sapwood volume</t>
  </si>
  <si>
    <t>SE bark volume</t>
  </si>
  <si>
    <r>
      <t>heartwood volume (m</t>
    </r>
    <r>
      <rPr>
        <vertAlign val="superscript"/>
        <sz val="12"/>
        <color theme="0"/>
        <rFont val="Calibri"/>
        <family val="2"/>
        <scheme val="minor"/>
      </rPr>
      <t>3</t>
    </r>
    <r>
      <rPr>
        <sz val="12"/>
        <color theme="0"/>
        <rFont val="Calibri"/>
        <family val="2"/>
        <scheme val="minor"/>
      </rPr>
      <t>)</t>
    </r>
  </si>
  <si>
    <t>SE heartwood volume</t>
  </si>
  <si>
    <t>SE dead volume</t>
  </si>
  <si>
    <r>
      <t>dead volume (m</t>
    </r>
    <r>
      <rPr>
        <vertAlign val="superscript"/>
        <sz val="12"/>
        <color theme="0"/>
        <rFont val="Calibri"/>
        <family val="2"/>
        <scheme val="minor"/>
      </rPr>
      <t>3</t>
    </r>
    <r>
      <rPr>
        <sz val="12"/>
        <color theme="0"/>
        <rFont val="Calibri"/>
        <family val="2"/>
        <scheme val="minor"/>
      </rPr>
      <t>)</t>
    </r>
  </si>
  <si>
    <t>bark mass</t>
  </si>
  <si>
    <t>sapwood mass</t>
  </si>
  <si>
    <t>heartwood mass</t>
  </si>
  <si>
    <t>dead mass</t>
  </si>
  <si>
    <t>SE wood + bark mass</t>
  </si>
  <si>
    <t>scalar</t>
  </si>
  <si>
    <t>SE total volume</t>
  </si>
  <si>
    <t>SE heartwood area</t>
  </si>
  <si>
    <r>
      <t>heartwood area (m</t>
    </r>
    <r>
      <rPr>
        <vertAlign val="superscript"/>
        <sz val="12"/>
        <color theme="0"/>
        <rFont val="Calibri"/>
        <family val="2"/>
        <scheme val="minor"/>
      </rPr>
      <t>2</t>
    </r>
    <r>
      <rPr>
        <sz val="12"/>
        <color theme="0"/>
        <rFont val="Calibri"/>
        <family val="2"/>
        <scheme val="minor"/>
      </rPr>
      <t>)</t>
    </r>
  </si>
  <si>
    <t>notes</t>
  </si>
  <si>
    <t>o/e</t>
  </si>
  <si>
    <t>se base wood radius</t>
  </si>
  <si>
    <t>se top wood radius</t>
  </si>
  <si>
    <t>se base heart radius</t>
  </si>
  <si>
    <t>se top heart radius</t>
  </si>
  <si>
    <r>
      <t>SE wood volume (m</t>
    </r>
    <r>
      <rPr>
        <vertAlign val="superscript"/>
        <sz val="12"/>
        <color rgb="FFFFFFFF"/>
        <rFont val="Calibri"/>
        <family val="2"/>
        <scheme val="minor"/>
      </rPr>
      <t>3</t>
    </r>
    <r>
      <rPr>
        <sz val="12"/>
        <color rgb="FFFFFFFF"/>
        <rFont val="Calibri"/>
        <family val="2"/>
        <scheme val="minor"/>
      </rPr>
      <t>)</t>
    </r>
  </si>
  <si>
    <t>sort</t>
  </si>
  <si>
    <t>0-2 branchelets</t>
  </si>
  <si>
    <t>2-4 branchlets</t>
  </si>
  <si>
    <t>treeName</t>
  </si>
  <si>
    <t>branchName</t>
  </si>
  <si>
    <t>extension (m)</t>
  </si>
  <si>
    <t>base diam (cm)</t>
  </si>
  <si>
    <t>(m)</t>
  </si>
  <si>
    <t>count</t>
  </si>
  <si>
    <r>
      <t>(kg/m</t>
    </r>
    <r>
      <rPr>
        <vertAlign val="superscript"/>
        <sz val="12"/>
        <color theme="1"/>
        <rFont val="Calibri"/>
        <family val="2"/>
        <scheme val="minor"/>
      </rPr>
      <t>3</t>
    </r>
    <r>
      <rPr>
        <sz val="12"/>
        <color theme="1"/>
        <rFont val="Calibri"/>
        <family val="2"/>
        <scheme val="minor"/>
      </rPr>
      <t>)</t>
    </r>
  </si>
  <si>
    <t>predicted using equations in Appendix C, Table2, units in (m)</t>
  </si>
  <si>
    <t>(cm)</t>
  </si>
  <si>
    <t xml:space="preserve"> 0 - 2 branchlets</t>
  </si>
  <si>
    <t xml:space="preserve"> 2 - 4 branchlets</t>
  </si>
  <si>
    <t>(count)</t>
  </si>
  <si>
    <r>
      <t>trunk-segments only (kg/m</t>
    </r>
    <r>
      <rPr>
        <vertAlign val="superscript"/>
        <sz val="12"/>
        <color theme="1"/>
        <rFont val="Calibri"/>
        <family val="2"/>
        <scheme val="minor"/>
      </rPr>
      <t>3</t>
    </r>
    <r>
      <rPr>
        <sz val="12"/>
        <color theme="1"/>
        <rFont val="Calibri"/>
        <family val="2"/>
        <scheme val="minor"/>
      </rPr>
      <t>)</t>
    </r>
  </si>
  <si>
    <t>Equations from Appendix C, Table 6 applied depending on segment type (B and L, or T), units in (m)</t>
  </si>
  <si>
    <t>MAIN TRUNK ONLY (no branchlets): Densities from equations in Appendix C, Table 5, volumes and surface areas as conic frusta</t>
  </si>
  <si>
    <t>SEGMENTS ONLY (no branchlets), densities from Appendix C, Table 5 for trunk-segments, and Table 4 for branch- and limb-segments, volumes and surface areas calculated as conic frusta</t>
  </si>
  <si>
    <t>Branch Parameters</t>
  </si>
  <si>
    <t>length (SD) in (m)</t>
  </si>
  <si>
    <t>top diam (cm)</t>
  </si>
  <si>
    <t>D path &gt; 4 (m)</t>
  </si>
  <si>
    <t>Predicted using equations in Appendix C, Table 3</t>
  </si>
  <si>
    <t>FINAL VALUES, accounts for percent dead and mass implied by volume and density</t>
  </si>
  <si>
    <t>implied by volume and density, densities in Appendix C, Table 6</t>
  </si>
  <si>
    <t>MAIN TRUNK BRANCHLETS: Mulitpliers in Appendix C, Table 4, densities from Appendix C, Table 6</t>
  </si>
  <si>
    <t>SEGMENT BRANCHLETS, multipliers from Appendix C, Table 4, densities from Appendix C, Table 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</si>
</sst>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00"/>
    <numFmt numFmtId="168" formatCode="0.0000E+00"/>
    <numFmt numFmtId="169" formatCode="0.000E+00"/>
  </numFmts>
  <fonts count="4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b/>
      <sz val="12"/>
      <color indexed="81"/>
      <name val="Calibri"/>
      <family val="2"/>
    </font>
    <font>
      <sz val="12"/>
      <color theme="1"/>
      <name val="Calibri"/>
      <family val="2"/>
    </font>
    <font>
      <sz val="12"/>
      <color theme="0"/>
      <name val="Calibri"/>
      <family val="2"/>
    </font>
    <font>
      <b/>
      <sz val="12"/>
      <color theme="0"/>
      <name val="Calibri"/>
      <family val="2"/>
    </font>
    <font>
      <sz val="12"/>
      <name val="Calibri"/>
      <family val="2"/>
    </font>
    <font>
      <sz val="10"/>
      <name val="Arial"/>
      <family val="2"/>
    </font>
    <font>
      <sz val="12"/>
      <name val="Calibri"/>
      <family val="2"/>
      <scheme val="minor"/>
    </font>
    <font>
      <sz val="11"/>
      <color theme="1"/>
      <name val="Calibri"/>
      <family val="2"/>
      <scheme val="minor"/>
    </font>
    <font>
      <vertAlign val="superscript"/>
      <sz val="12"/>
      <color theme="0"/>
      <name val="Calibri"/>
      <family val="2"/>
      <scheme val="minor"/>
    </font>
    <font>
      <vertAlign val="superscript"/>
      <sz val="12"/>
      <color theme="1"/>
      <name val="Calibri"/>
      <family val="2"/>
      <scheme val="minor"/>
    </font>
    <font>
      <b/>
      <sz val="12"/>
      <color theme="0"/>
      <name val="Calibri"/>
      <family val="2"/>
      <scheme val="minor"/>
    </font>
    <font>
      <b/>
      <sz val="12"/>
      <color theme="1"/>
      <name val="Calibri"/>
      <family val="2"/>
      <scheme val="minor"/>
    </font>
    <font>
      <b/>
      <sz val="12"/>
      <name val="Calibri"/>
      <family val="2"/>
      <scheme val="minor"/>
    </font>
    <font>
      <b/>
      <sz val="12"/>
      <color rgb="FFFFFF00"/>
      <name val="Calibri"/>
      <family val="2"/>
      <scheme val="minor"/>
    </font>
    <font>
      <b/>
      <vertAlign val="superscript"/>
      <sz val="12"/>
      <color rgb="FFFFFF00"/>
      <name val="Calibri"/>
      <family val="2"/>
      <scheme val="minor"/>
    </font>
    <font>
      <sz val="12"/>
      <color rgb="FFFFFF00"/>
      <name val="Calibri"/>
      <family val="2"/>
      <scheme val="minor"/>
    </font>
    <font>
      <sz val="12"/>
      <color rgb="FF000000"/>
      <name val="Calibri"/>
      <family val="2"/>
      <scheme val="minor"/>
    </font>
    <font>
      <sz val="12"/>
      <color rgb="FFFFFFFF"/>
      <name val="Calibri"/>
      <family val="2"/>
      <scheme val="minor"/>
    </font>
    <font>
      <i/>
      <sz val="12"/>
      <color rgb="FFFFFFFF"/>
      <name val="Calibri"/>
      <family val="2"/>
      <scheme val="minor"/>
    </font>
    <font>
      <i/>
      <vertAlign val="superscript"/>
      <sz val="12"/>
      <color rgb="FFFFFFFF"/>
      <name val="Calibri"/>
      <family val="2"/>
      <scheme val="minor"/>
    </font>
    <font>
      <i/>
      <sz val="12"/>
      <color rgb="FF000000"/>
      <name val="Calibri"/>
      <family val="2"/>
      <scheme val="minor"/>
    </font>
    <font>
      <b/>
      <vertAlign val="superscript"/>
      <sz val="12"/>
      <color theme="0"/>
      <name val="Calibri"/>
      <family val="2"/>
      <scheme val="minor"/>
    </font>
    <font>
      <vertAlign val="superscript"/>
      <sz val="12"/>
      <color theme="0"/>
      <name val="Calibri"/>
      <family val="2"/>
    </font>
    <font>
      <sz val="11"/>
      <color theme="1"/>
      <name val="Calibri"/>
      <family val="2"/>
    </font>
    <font>
      <i/>
      <vertAlign val="superscript"/>
      <sz val="12"/>
      <color rgb="FF000000"/>
      <name val="Calibri"/>
      <family val="2"/>
      <scheme val="minor"/>
    </font>
    <font>
      <b/>
      <sz val="11"/>
      <color theme="1" tint="0.14996795556505021"/>
      <name val="Calibri"/>
      <family val="2"/>
      <scheme val="minor"/>
    </font>
    <font>
      <b/>
      <sz val="11"/>
      <color rgb="FF3F3F3F"/>
      <name val="Calibri"/>
      <family val="2"/>
      <scheme val="minor"/>
    </font>
    <font>
      <sz val="12"/>
      <color rgb="FFFF0000"/>
      <name val="Calibri"/>
      <family val="2"/>
      <scheme val="minor"/>
    </font>
    <font>
      <b/>
      <sz val="12"/>
      <color rgb="FF000000"/>
      <name val="Calibri"/>
      <family val="2"/>
    </font>
    <font>
      <vertAlign val="superscript"/>
      <sz val="12"/>
      <color rgb="FFFFFFFF"/>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99FF9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B0F0"/>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00FF"/>
        <bgColor indexed="64"/>
      </patternFill>
    </fill>
    <fill>
      <patternFill patternType="solid">
        <fgColor theme="5"/>
        <bgColor indexed="64"/>
      </patternFill>
    </fill>
    <fill>
      <patternFill patternType="solid">
        <fgColor rgb="FF800000"/>
        <bgColor indexed="64"/>
      </patternFill>
    </fill>
    <fill>
      <patternFill patternType="solid">
        <fgColor theme="2" tint="-0.749992370372631"/>
        <bgColor indexed="64"/>
      </patternFill>
    </fill>
    <fill>
      <patternFill patternType="solid">
        <fgColor theme="9"/>
        <bgColor indexed="64"/>
      </patternFill>
    </fill>
    <fill>
      <patternFill patternType="solid">
        <fgColor theme="6" tint="-0.499984740745262"/>
        <bgColor indexed="64"/>
      </patternFill>
    </fill>
    <fill>
      <patternFill patternType="solid">
        <fgColor rgb="FF008000"/>
        <bgColor indexed="64"/>
      </patternFill>
    </fill>
    <fill>
      <patternFill patternType="solid">
        <fgColor rgb="FF660066"/>
        <bgColor indexed="64"/>
      </patternFill>
    </fill>
    <fill>
      <patternFill patternType="solid">
        <fgColor rgb="FF000000"/>
        <bgColor rgb="FF000000"/>
      </patternFill>
    </fill>
    <fill>
      <patternFill patternType="solid">
        <fgColor rgb="FFF2F2F2"/>
      </patternFill>
    </fill>
    <fill>
      <patternFill patternType="solid">
        <fgColor rgb="FFCCFFCC"/>
        <bgColor indexed="64"/>
      </patternFill>
    </fill>
    <fill>
      <patternFill patternType="solid">
        <fgColor rgb="FFFFFF00"/>
        <bgColor indexed="64"/>
      </patternFill>
    </fill>
    <fill>
      <patternFill patternType="solid">
        <fgColor rgb="FF92D050"/>
        <bgColor indexed="64"/>
      </patternFill>
    </fill>
    <fill>
      <patternFill patternType="solid">
        <fgColor theme="6"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258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0" fontId="13" fillId="0" borderId="0"/>
    <xf numFmtId="0" fontId="13" fillId="0" borderId="0"/>
    <xf numFmtId="0" fontId="4" fillId="0" borderId="0"/>
    <xf numFmtId="0" fontId="4" fillId="0" borderId="0"/>
    <xf numFmtId="0" fontId="14" fillId="0" borderId="0"/>
    <xf numFmtId="0" fontId="4" fillId="0" borderId="0"/>
    <xf numFmtId="0" fontId="4" fillId="0" borderId="0"/>
    <xf numFmtId="0" fontId="4" fillId="0" borderId="0"/>
    <xf numFmtId="0" fontId="4" fillId="0" borderId="0"/>
    <xf numFmtId="0" fontId="4" fillId="0" borderId="0"/>
    <xf numFmtId="0" fontId="13" fillId="0" borderId="0"/>
    <xf numFmtId="0" fontId="15" fillId="0" borderId="0"/>
    <xf numFmtId="0" fontId="4"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3" fillId="28" borderId="1" applyNumberFormat="0" applyAlignment="0" applyProtection="0"/>
    <xf numFmtId="0" fontId="12"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34" fillId="28" borderId="2" applyNumberFormat="0" applyAlignment="0" applyProtection="0"/>
    <xf numFmtId="0" fontId="15" fillId="3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99">
    <xf numFmtId="0" fontId="0" fillId="0" borderId="0" xfId="0"/>
    <xf numFmtId="0" fontId="9" fillId="2" borderId="0" xfId="0" applyFont="1" applyFill="1" applyAlignment="1">
      <alignment horizontal="center"/>
    </xf>
    <xf numFmtId="0" fontId="9" fillId="2" borderId="0" xfId="0" applyFont="1" applyFill="1"/>
    <xf numFmtId="49" fontId="9" fillId="2" borderId="0" xfId="0" applyNumberFormat="1" applyFont="1" applyFill="1" applyAlignment="1">
      <alignment horizontal="right"/>
    </xf>
    <xf numFmtId="49" fontId="11" fillId="2" borderId="0" xfId="0" applyNumberFormat="1" applyFont="1" applyFill="1" applyAlignment="1">
      <alignment horizontal="center"/>
    </xf>
    <xf numFmtId="2" fontId="10" fillId="2" borderId="0" xfId="0" applyNumberFormat="1" applyFont="1" applyFill="1" applyAlignment="1">
      <alignment horizontal="right"/>
    </xf>
    <xf numFmtId="165" fontId="10" fillId="2" borderId="0" xfId="0" applyNumberFormat="1" applyFont="1" applyFill="1" applyAlignment="1">
      <alignment horizontal="right"/>
    </xf>
    <xf numFmtId="164" fontId="10" fillId="2" borderId="0" xfId="0" applyNumberFormat="1" applyFont="1" applyFill="1" applyAlignment="1">
      <alignment horizontal="right"/>
    </xf>
    <xf numFmtId="1" fontId="10" fillId="2" borderId="0" xfId="0" applyNumberFormat="1" applyFont="1" applyFill="1" applyAlignment="1">
      <alignment horizontal="right"/>
    </xf>
    <xf numFmtId="49" fontId="10" fillId="2" borderId="0" xfId="0" applyNumberFormat="1" applyFont="1" applyFill="1" applyAlignment="1">
      <alignment horizontal="right"/>
    </xf>
    <xf numFmtId="2" fontId="9" fillId="2" borderId="0" xfId="0" applyNumberFormat="1" applyFont="1" applyFill="1"/>
    <xf numFmtId="2" fontId="0" fillId="0" borderId="0" xfId="0" applyNumberFormat="1" applyAlignment="1">
      <alignment horizontal="right"/>
    </xf>
    <xf numFmtId="2" fontId="9" fillId="2" borderId="0" xfId="0" applyNumberFormat="1" applyFont="1" applyFill="1" applyAlignment="1">
      <alignment horizontal="right"/>
    </xf>
    <xf numFmtId="164" fontId="9" fillId="2" borderId="0" xfId="0" applyNumberFormat="1" applyFont="1" applyFill="1" applyAlignment="1">
      <alignment horizontal="right"/>
    </xf>
    <xf numFmtId="1" fontId="9" fillId="2" borderId="0" xfId="0" applyNumberFormat="1" applyFont="1" applyFill="1"/>
    <xf numFmtId="2" fontId="9" fillId="0" borderId="0" xfId="0" applyNumberFormat="1" applyFont="1" applyFill="1"/>
    <xf numFmtId="2" fontId="9" fillId="0" borderId="0" xfId="0" applyNumberFormat="1" applyFont="1" applyFill="1" applyAlignment="1">
      <alignment horizontal="right"/>
    </xf>
    <xf numFmtId="2" fontId="0" fillId="0" borderId="0" xfId="0" applyNumberFormat="1"/>
    <xf numFmtId="0" fontId="0" fillId="0" borderId="0" xfId="0" applyFill="1"/>
    <xf numFmtId="164" fontId="9" fillId="0" borderId="0" xfId="0" applyNumberFormat="1" applyFont="1" applyFill="1" applyAlignment="1">
      <alignment horizontal="right"/>
    </xf>
    <xf numFmtId="0" fontId="9" fillId="0" borderId="0" xfId="0" applyFont="1" applyFill="1" applyAlignment="1">
      <alignment horizontal="center"/>
    </xf>
    <xf numFmtId="49" fontId="9" fillId="0" borderId="0" xfId="0" applyNumberFormat="1" applyFont="1" applyFill="1" applyAlignment="1">
      <alignment horizontal="center"/>
    </xf>
    <xf numFmtId="165" fontId="9" fillId="0" borderId="0" xfId="0" applyNumberFormat="1" applyFont="1" applyFill="1"/>
    <xf numFmtId="164" fontId="9" fillId="0" borderId="0" xfId="0" applyNumberFormat="1" applyFont="1" applyFill="1"/>
    <xf numFmtId="1" fontId="9" fillId="0" borderId="0" xfId="0" applyNumberFormat="1" applyFont="1" applyFill="1"/>
    <xf numFmtId="0" fontId="0" fillId="2" borderId="0" xfId="0" applyFill="1"/>
    <xf numFmtId="2" fontId="5" fillId="2" borderId="0" xfId="0" applyNumberFormat="1" applyFont="1" applyFill="1" applyAlignment="1">
      <alignment horizontal="right"/>
    </xf>
    <xf numFmtId="165" fontId="5" fillId="2" borderId="0" xfId="0" applyNumberFormat="1" applyFont="1" applyFill="1" applyAlignment="1">
      <alignment horizontal="right"/>
    </xf>
    <xf numFmtId="164" fontId="5" fillId="2" borderId="0" xfId="0" applyNumberFormat="1" applyFont="1" applyFill="1" applyAlignment="1">
      <alignment horizontal="right"/>
    </xf>
    <xf numFmtId="166" fontId="5" fillId="2" borderId="0" xfId="0" applyNumberFormat="1" applyFont="1" applyFill="1" applyAlignment="1">
      <alignment horizontal="right"/>
    </xf>
    <xf numFmtId="0" fontId="5" fillId="2" borderId="0" xfId="0" applyFont="1" applyFill="1" applyAlignment="1">
      <alignment horizontal="right"/>
    </xf>
    <xf numFmtId="1" fontId="5" fillId="2" borderId="0" xfId="0" applyNumberFormat="1" applyFont="1" applyFill="1" applyAlignment="1">
      <alignment horizontal="right"/>
    </xf>
    <xf numFmtId="165" fontId="0" fillId="0" borderId="0" xfId="0" applyNumberFormat="1"/>
    <xf numFmtId="164" fontId="0" fillId="0" borderId="0" xfId="0" applyNumberFormat="1"/>
    <xf numFmtId="166" fontId="0" fillId="0" borderId="0" xfId="0" applyNumberFormat="1"/>
    <xf numFmtId="167" fontId="0" fillId="0" borderId="0" xfId="0" applyNumberFormat="1"/>
    <xf numFmtId="166" fontId="0" fillId="0" borderId="0" xfId="0" applyNumberFormat="1" applyAlignment="1">
      <alignment horizontal="right"/>
    </xf>
    <xf numFmtId="1" fontId="0" fillId="0" borderId="0" xfId="0" applyNumberFormat="1"/>
    <xf numFmtId="165" fontId="0" fillId="0" borderId="0" xfId="0" applyNumberFormat="1" applyAlignment="1">
      <alignment horizontal="right"/>
    </xf>
    <xf numFmtId="0" fontId="0" fillId="0" borderId="0" xfId="0" applyAlignment="1">
      <alignment horizontal="right"/>
    </xf>
    <xf numFmtId="165" fontId="0" fillId="2" borderId="0" xfId="0" applyNumberFormat="1" applyFill="1" applyAlignment="1">
      <alignment horizontal="right"/>
    </xf>
    <xf numFmtId="165" fontId="0" fillId="2" borderId="0" xfId="0" applyNumberFormat="1" applyFill="1"/>
    <xf numFmtId="1" fontId="0" fillId="2" borderId="0" xfId="0" applyNumberFormat="1" applyFill="1"/>
    <xf numFmtId="164" fontId="0" fillId="0" borderId="0" xfId="0" applyNumberFormat="1" applyAlignment="1">
      <alignment horizontal="right"/>
    </xf>
    <xf numFmtId="0" fontId="0" fillId="0" borderId="0" xfId="0" applyAlignment="1">
      <alignment horizontal="center"/>
    </xf>
    <xf numFmtId="0" fontId="0" fillId="2" borderId="0" xfId="0" applyFill="1" applyAlignment="1">
      <alignment horizontal="center"/>
    </xf>
    <xf numFmtId="1" fontId="0" fillId="0" borderId="0" xfId="0" applyNumberFormat="1" applyAlignment="1">
      <alignment horizontal="right"/>
    </xf>
    <xf numFmtId="1" fontId="0" fillId="2" borderId="0" xfId="0" applyNumberFormat="1" applyFill="1" applyAlignment="1">
      <alignment horizontal="right"/>
    </xf>
    <xf numFmtId="0" fontId="5" fillId="2" borderId="0" xfId="0" applyFont="1" applyFill="1" applyAlignment="1">
      <alignment horizontal="center"/>
    </xf>
    <xf numFmtId="0" fontId="0" fillId="0" borderId="0" xfId="0" applyFill="1" applyAlignment="1">
      <alignment horizontal="center"/>
    </xf>
    <xf numFmtId="49" fontId="18" fillId="2" borderId="0" xfId="702" applyNumberFormat="1" applyFont="1" applyFill="1" applyAlignment="1">
      <alignment horizontal="right"/>
    </xf>
    <xf numFmtId="2" fontId="18" fillId="2" borderId="0" xfId="702" applyNumberFormat="1" applyFont="1" applyFill="1" applyAlignment="1">
      <alignment horizontal="right"/>
    </xf>
    <xf numFmtId="165" fontId="18" fillId="2" borderId="0" xfId="702" applyNumberFormat="1" applyFont="1" applyFill="1" applyAlignment="1">
      <alignment horizontal="right"/>
    </xf>
    <xf numFmtId="164" fontId="18" fillId="2" borderId="0" xfId="702" applyNumberFormat="1" applyFont="1" applyFill="1" applyAlignment="1">
      <alignment horizontal="right"/>
    </xf>
    <xf numFmtId="164" fontId="19" fillId="0" borderId="0" xfId="0" applyNumberFormat="1" applyFont="1"/>
    <xf numFmtId="49" fontId="20" fillId="13" borderId="0" xfId="702" applyNumberFormat="1" applyFont="1" applyFill="1" applyAlignment="1">
      <alignment horizontal="right"/>
    </xf>
    <xf numFmtId="164" fontId="3" fillId="13" borderId="0" xfId="702" applyNumberFormat="1" applyFill="1"/>
    <xf numFmtId="49" fontId="20" fillId="15" borderId="0" xfId="702" applyNumberFormat="1" applyFont="1" applyFill="1" applyBorder="1" applyAlignment="1">
      <alignment horizontal="right"/>
    </xf>
    <xf numFmtId="1" fontId="3" fillId="15" borderId="0" xfId="702" applyNumberFormat="1" applyFill="1" applyBorder="1"/>
    <xf numFmtId="49" fontId="20" fillId="8" borderId="0" xfId="702" applyNumberFormat="1" applyFont="1" applyFill="1" applyBorder="1" applyAlignment="1">
      <alignment horizontal="right"/>
    </xf>
    <xf numFmtId="1" fontId="5" fillId="8" borderId="0" xfId="702" applyNumberFormat="1" applyFont="1" applyFill="1" applyBorder="1" applyAlignment="1">
      <alignment horizontal="right"/>
    </xf>
    <xf numFmtId="49" fontId="19" fillId="8" borderId="0" xfId="702" applyNumberFormat="1" applyFont="1" applyFill="1" applyBorder="1" applyAlignment="1">
      <alignment horizontal="right"/>
    </xf>
    <xf numFmtId="49" fontId="19" fillId="8" borderId="0" xfId="702" applyNumberFormat="1" applyFont="1" applyFill="1" applyAlignment="1">
      <alignment horizontal="right"/>
    </xf>
    <xf numFmtId="49" fontId="18" fillId="14" borderId="0" xfId="702" applyNumberFormat="1" applyFont="1" applyFill="1" applyBorder="1" applyAlignment="1">
      <alignment horizontal="right"/>
    </xf>
    <xf numFmtId="0" fontId="3" fillId="14" borderId="0" xfId="702" applyFill="1" applyBorder="1"/>
    <xf numFmtId="49" fontId="18" fillId="14" borderId="0" xfId="702" applyNumberFormat="1" applyFont="1" applyFill="1" applyAlignment="1">
      <alignment horizontal="right"/>
    </xf>
    <xf numFmtId="166" fontId="3" fillId="0" borderId="0" xfId="702" applyNumberFormat="1"/>
    <xf numFmtId="166" fontId="3" fillId="0" borderId="0" xfId="702" applyNumberFormat="1" applyFill="1" applyBorder="1"/>
    <xf numFmtId="49" fontId="19" fillId="16" borderId="0" xfId="702" applyNumberFormat="1" applyFont="1" applyFill="1" applyBorder="1" applyAlignment="1">
      <alignment horizontal="right"/>
    </xf>
    <xf numFmtId="166" fontId="3" fillId="16" borderId="0" xfId="702" applyNumberFormat="1" applyFill="1" applyBorder="1"/>
    <xf numFmtId="49" fontId="20" fillId="16" borderId="0" xfId="702" applyNumberFormat="1" applyFont="1" applyFill="1" applyAlignment="1">
      <alignment horizontal="right"/>
    </xf>
    <xf numFmtId="49" fontId="19" fillId="17" borderId="0" xfId="702" applyNumberFormat="1" applyFont="1" applyFill="1" applyBorder="1" applyAlignment="1">
      <alignment horizontal="right"/>
    </xf>
    <xf numFmtId="166" fontId="3" fillId="17" borderId="0" xfId="702" applyNumberFormat="1" applyFill="1" applyBorder="1"/>
    <xf numFmtId="49" fontId="20" fillId="17" borderId="0" xfId="702" applyNumberFormat="1" applyFont="1" applyFill="1" applyAlignment="1">
      <alignment horizontal="right"/>
    </xf>
    <xf numFmtId="49" fontId="19" fillId="18" borderId="0" xfId="702" applyNumberFormat="1" applyFont="1" applyFill="1" applyBorder="1" applyAlignment="1">
      <alignment horizontal="right"/>
    </xf>
    <xf numFmtId="166" fontId="3" fillId="18" borderId="0" xfId="702" applyNumberFormat="1" applyFill="1" applyBorder="1"/>
    <xf numFmtId="49" fontId="20" fillId="18" borderId="0" xfId="702" applyNumberFormat="1" applyFont="1" applyFill="1" applyAlignment="1">
      <alignment horizontal="right"/>
    </xf>
    <xf numFmtId="49" fontId="21" fillId="19" borderId="0" xfId="702" applyNumberFormat="1" applyFont="1" applyFill="1" applyBorder="1" applyAlignment="1">
      <alignment horizontal="right"/>
    </xf>
    <xf numFmtId="166" fontId="23" fillId="19" borderId="0" xfId="702" applyNumberFormat="1" applyFont="1" applyFill="1" applyBorder="1"/>
    <xf numFmtId="49" fontId="18" fillId="19" borderId="0" xfId="702" applyNumberFormat="1" applyFont="1" applyFill="1" applyAlignment="1">
      <alignment horizontal="right"/>
    </xf>
    <xf numFmtId="49" fontId="21" fillId="20" borderId="0" xfId="702" applyNumberFormat="1" applyFont="1" applyFill="1" applyBorder="1" applyAlignment="1">
      <alignment horizontal="right"/>
    </xf>
    <xf numFmtId="166" fontId="23" fillId="20" borderId="0" xfId="702" applyNumberFormat="1" applyFont="1" applyFill="1" applyBorder="1"/>
    <xf numFmtId="49" fontId="18" fillId="20" borderId="0" xfId="702" applyNumberFormat="1" applyFont="1" applyFill="1" applyAlignment="1">
      <alignment horizontal="right"/>
    </xf>
    <xf numFmtId="49" fontId="21" fillId="21" borderId="0" xfId="702" applyNumberFormat="1" applyFont="1" applyFill="1" applyBorder="1" applyAlignment="1">
      <alignment horizontal="right"/>
    </xf>
    <xf numFmtId="166" fontId="23" fillId="21" borderId="0" xfId="702" applyNumberFormat="1" applyFont="1" applyFill="1" applyBorder="1"/>
    <xf numFmtId="49" fontId="18" fillId="21" borderId="0" xfId="702" applyNumberFormat="1" applyFont="1" applyFill="1" applyAlignment="1">
      <alignment horizontal="right"/>
    </xf>
    <xf numFmtId="49" fontId="21" fillId="22" borderId="0" xfId="702" applyNumberFormat="1" applyFont="1" applyFill="1" applyBorder="1" applyAlignment="1">
      <alignment horizontal="right"/>
    </xf>
    <xf numFmtId="166" fontId="23" fillId="22" borderId="0" xfId="702" applyNumberFormat="1" applyFont="1" applyFill="1" applyBorder="1"/>
    <xf numFmtId="49" fontId="18" fillId="22" borderId="0" xfId="702" applyNumberFormat="1" applyFont="1" applyFill="1" applyAlignment="1">
      <alignment horizontal="right"/>
    </xf>
    <xf numFmtId="49" fontId="21" fillId="23" borderId="0" xfId="702" applyNumberFormat="1" applyFont="1" applyFill="1" applyBorder="1" applyAlignment="1">
      <alignment horizontal="right"/>
    </xf>
    <xf numFmtId="166" fontId="23" fillId="23" borderId="0" xfId="702" applyNumberFormat="1" applyFont="1" applyFill="1" applyBorder="1"/>
    <xf numFmtId="49" fontId="18" fillId="23" borderId="0" xfId="702" applyNumberFormat="1" applyFont="1" applyFill="1" applyAlignment="1">
      <alignment horizontal="right"/>
    </xf>
    <xf numFmtId="49" fontId="21" fillId="24" borderId="0" xfId="702" applyNumberFormat="1" applyFont="1" applyFill="1" applyBorder="1" applyAlignment="1">
      <alignment horizontal="right"/>
    </xf>
    <xf numFmtId="166" fontId="23" fillId="24" borderId="0" xfId="702" applyNumberFormat="1" applyFont="1" applyFill="1" applyBorder="1"/>
    <xf numFmtId="49" fontId="18" fillId="24" borderId="0" xfId="702" applyNumberFormat="1" applyFont="1" applyFill="1" applyAlignment="1">
      <alignment horizontal="right"/>
    </xf>
    <xf numFmtId="49" fontId="21" fillId="25" borderId="0" xfId="702" applyNumberFormat="1" applyFont="1" applyFill="1" applyBorder="1" applyAlignment="1">
      <alignment horizontal="right"/>
    </xf>
    <xf numFmtId="166" fontId="23" fillId="25" borderId="0" xfId="702" applyNumberFormat="1" applyFont="1" applyFill="1" applyBorder="1"/>
    <xf numFmtId="49" fontId="18" fillId="25" borderId="0" xfId="702" applyNumberFormat="1" applyFont="1" applyFill="1" applyAlignment="1">
      <alignment horizontal="right"/>
    </xf>
    <xf numFmtId="49" fontId="21" fillId="26" borderId="0" xfId="702" applyNumberFormat="1" applyFont="1" applyFill="1" applyBorder="1" applyAlignment="1">
      <alignment horizontal="right"/>
    </xf>
    <xf numFmtId="166" fontId="23" fillId="26" borderId="0" xfId="702" applyNumberFormat="1" applyFont="1" applyFill="1" applyBorder="1"/>
    <xf numFmtId="49" fontId="18" fillId="26" borderId="0" xfId="702" applyNumberFormat="1" applyFont="1" applyFill="1" applyAlignment="1">
      <alignment horizontal="right"/>
    </xf>
    <xf numFmtId="0" fontId="3" fillId="2" borderId="0" xfId="702" applyFill="1"/>
    <xf numFmtId="49" fontId="3" fillId="0" borderId="0" xfId="702" applyNumberFormat="1" applyAlignment="1">
      <alignment horizontal="right"/>
    </xf>
    <xf numFmtId="1" fontId="9" fillId="0" borderId="0" xfId="0" applyNumberFormat="1" applyFont="1" applyFill="1" applyAlignment="1">
      <alignment horizontal="right"/>
    </xf>
    <xf numFmtId="0" fontId="2" fillId="0" borderId="0" xfId="131" applyFont="1" applyAlignment="1">
      <alignment horizontal="left"/>
    </xf>
    <xf numFmtId="0" fontId="2" fillId="0" borderId="0" xfId="131" applyFont="1" applyAlignment="1">
      <alignment horizontal="center"/>
    </xf>
    <xf numFmtId="0" fontId="2" fillId="12" borderId="0" xfId="131" applyFont="1" applyFill="1"/>
    <xf numFmtId="0" fontId="2" fillId="0" borderId="0" xfId="131" applyFont="1"/>
    <xf numFmtId="0" fontId="2" fillId="9" borderId="0" xfId="131" applyFont="1" applyFill="1" applyBorder="1" applyAlignment="1">
      <alignment horizontal="center"/>
    </xf>
    <xf numFmtId="0" fontId="2" fillId="10" borderId="0" xfId="131" applyFont="1" applyFill="1" applyBorder="1" applyAlignment="1">
      <alignment horizontal="center"/>
    </xf>
    <xf numFmtId="0" fontId="2" fillId="11" borderId="0" xfId="131" applyFont="1" applyFill="1" applyBorder="1" applyAlignment="1">
      <alignment horizontal="center"/>
    </xf>
    <xf numFmtId="0" fontId="2" fillId="0" borderId="0" xfId="131" applyNumberFormat="1" applyFont="1" applyAlignment="1">
      <alignment horizontal="right"/>
    </xf>
    <xf numFmtId="2" fontId="2" fillId="0" borderId="0" xfId="131" applyNumberFormat="1" applyFont="1" applyAlignment="1">
      <alignment horizontal="right"/>
    </xf>
    <xf numFmtId="0" fontId="2" fillId="0" borderId="0" xfId="131" applyFont="1" applyAlignment="1">
      <alignment horizontal="right"/>
    </xf>
    <xf numFmtId="2" fontId="2" fillId="9" borderId="0" xfId="131" applyNumberFormat="1" applyFont="1" applyFill="1" applyBorder="1" applyAlignment="1">
      <alignment horizontal="right"/>
    </xf>
    <xf numFmtId="165" fontId="2" fillId="10" borderId="0" xfId="131" applyNumberFormat="1" applyFont="1" applyFill="1" applyBorder="1" applyAlignment="1">
      <alignment horizontal="right"/>
    </xf>
    <xf numFmtId="165" fontId="2" fillId="11" borderId="0" xfId="131" applyNumberFormat="1" applyFont="1" applyFill="1" applyBorder="1" applyAlignment="1">
      <alignment horizontal="right"/>
    </xf>
    <xf numFmtId="2" fontId="2" fillId="0" borderId="0" xfId="131" applyNumberFormat="1" applyFont="1"/>
    <xf numFmtId="164" fontId="2" fillId="0" borderId="0" xfId="131" applyNumberFormat="1" applyFont="1"/>
    <xf numFmtId="165" fontId="2" fillId="0" borderId="0" xfId="131" applyNumberFormat="1" applyFont="1"/>
    <xf numFmtId="0" fontId="2" fillId="0" borderId="0" xfId="131" applyFont="1" applyFill="1" applyAlignment="1">
      <alignment horizontal="right"/>
    </xf>
    <xf numFmtId="0" fontId="2" fillId="0" borderId="0" xfId="131" applyFont="1" applyFill="1" applyAlignment="1">
      <alignment horizontal="center"/>
    </xf>
    <xf numFmtId="0" fontId="2" fillId="0" borderId="0" xfId="131" applyNumberFormat="1" applyFont="1" applyFill="1" applyAlignment="1">
      <alignment horizontal="right"/>
    </xf>
    <xf numFmtId="2" fontId="2" fillId="0" borderId="0" xfId="131" applyNumberFormat="1" applyFont="1" applyFill="1" applyAlignment="1">
      <alignment horizontal="right"/>
    </xf>
    <xf numFmtId="0" fontId="2" fillId="0" borderId="0" xfId="131" applyFont="1" applyFill="1"/>
    <xf numFmtId="2" fontId="2" fillId="0" borderId="0" xfId="131" applyNumberFormat="1" applyFont="1" applyFill="1" applyBorder="1" applyAlignment="1">
      <alignment horizontal="right"/>
    </xf>
    <xf numFmtId="167" fontId="5" fillId="2" borderId="0" xfId="0" applyNumberFormat="1" applyFont="1" applyFill="1" applyAlignment="1">
      <alignment horizontal="right"/>
    </xf>
    <xf numFmtId="0" fontId="24" fillId="0" borderId="0" xfId="0" applyFont="1"/>
    <xf numFmtId="0" fontId="24" fillId="27" borderId="0" xfId="0" applyFont="1" applyFill="1"/>
    <xf numFmtId="0" fontId="25" fillId="27" borderId="0" xfId="0" applyFont="1" applyFill="1" applyAlignment="1">
      <alignment horizontal="center"/>
    </xf>
    <xf numFmtId="0" fontId="26" fillId="27" borderId="0" xfId="0" applyFont="1" applyFill="1" applyAlignment="1">
      <alignment horizontal="center"/>
    </xf>
    <xf numFmtId="0" fontId="24" fillId="0" borderId="0" xfId="0" applyFont="1" applyAlignment="1">
      <alignment horizontal="center"/>
    </xf>
    <xf numFmtId="168" fontId="24" fillId="0" borderId="0" xfId="0" applyNumberFormat="1" applyFont="1" applyAlignment="1">
      <alignment horizontal="center"/>
    </xf>
    <xf numFmtId="165" fontId="24" fillId="0" borderId="0" xfId="0" applyNumberFormat="1" applyFont="1" applyAlignment="1">
      <alignment horizontal="center"/>
    </xf>
    <xf numFmtId="0" fontId="28" fillId="0" borderId="0" xfId="0" applyFont="1" applyAlignment="1">
      <alignment horizontal="center"/>
    </xf>
    <xf numFmtId="0" fontId="24" fillId="2" borderId="0" xfId="0" applyFont="1" applyFill="1"/>
    <xf numFmtId="49" fontId="20" fillId="0" borderId="0" xfId="702" applyNumberFormat="1" applyFont="1" applyFill="1" applyAlignment="1">
      <alignment horizontal="right"/>
    </xf>
    <xf numFmtId="0" fontId="10" fillId="19" borderId="0" xfId="0" applyFont="1" applyFill="1" applyAlignment="1">
      <alignment horizontal="right"/>
    </xf>
    <xf numFmtId="1" fontId="9" fillId="2" borderId="0" xfId="0" applyNumberFormat="1" applyFont="1" applyFill="1" applyAlignment="1">
      <alignment horizontal="right"/>
    </xf>
    <xf numFmtId="165" fontId="9" fillId="0" borderId="0" xfId="0" applyNumberFormat="1" applyFont="1" applyFill="1" applyAlignment="1">
      <alignment horizontal="right"/>
    </xf>
    <xf numFmtId="0" fontId="24" fillId="0" borderId="0" xfId="0" applyFont="1" applyFill="1"/>
    <xf numFmtId="2" fontId="20" fillId="0" borderId="0" xfId="702" applyNumberFormat="1" applyFont="1" applyFill="1" applyAlignment="1">
      <alignment horizontal="right"/>
    </xf>
    <xf numFmtId="165" fontId="14" fillId="16" borderId="0" xfId="702" applyNumberFormat="1" applyFont="1" applyFill="1"/>
    <xf numFmtId="1" fontId="5" fillId="2" borderId="0" xfId="0" applyNumberFormat="1" applyFont="1" applyFill="1"/>
    <xf numFmtId="0" fontId="24" fillId="2" borderId="0" xfId="0" applyFont="1" applyFill="1" applyAlignment="1">
      <alignment horizontal="center"/>
    </xf>
    <xf numFmtId="168" fontId="26" fillId="27" borderId="0" xfId="0" applyNumberFormat="1" applyFont="1" applyFill="1" applyAlignment="1">
      <alignment horizontal="center"/>
    </xf>
    <xf numFmtId="168" fontId="24" fillId="2" borderId="0" xfId="0" applyNumberFormat="1" applyFont="1" applyFill="1" applyAlignment="1">
      <alignment horizontal="center"/>
    </xf>
    <xf numFmtId="168" fontId="0" fillId="0" borderId="0" xfId="0" applyNumberFormat="1"/>
    <xf numFmtId="165" fontId="26" fillId="27" borderId="0" xfId="0" applyNumberFormat="1" applyFont="1" applyFill="1" applyAlignment="1">
      <alignment horizontal="center"/>
    </xf>
    <xf numFmtId="165" fontId="24" fillId="2" borderId="0" xfId="0" applyNumberFormat="1" applyFont="1" applyFill="1" applyAlignment="1">
      <alignment horizontal="center"/>
    </xf>
    <xf numFmtId="168" fontId="0" fillId="2" borderId="0" xfId="0" applyNumberFormat="1" applyFill="1"/>
    <xf numFmtId="0" fontId="5" fillId="2" borderId="0" xfId="0" applyFont="1" applyFill="1" applyAlignment="1"/>
    <xf numFmtId="169" fontId="0" fillId="0" borderId="0" xfId="0" applyNumberFormat="1" applyAlignment="1">
      <alignment horizontal="right"/>
    </xf>
    <xf numFmtId="2" fontId="25" fillId="27" borderId="0" xfId="0" applyNumberFormat="1" applyFont="1" applyFill="1" applyAlignment="1">
      <alignment horizontal="right"/>
    </xf>
    <xf numFmtId="1" fontId="25" fillId="27" borderId="0" xfId="0" applyNumberFormat="1" applyFont="1" applyFill="1" applyAlignment="1">
      <alignment horizontal="right"/>
    </xf>
    <xf numFmtId="166" fontId="25" fillId="27" borderId="0" xfId="0" applyNumberFormat="1" applyFont="1" applyFill="1"/>
    <xf numFmtId="165" fontId="25" fillId="27" borderId="0" xfId="0" applyNumberFormat="1" applyFont="1" applyFill="1" applyAlignment="1">
      <alignment horizontal="right"/>
    </xf>
    <xf numFmtId="1" fontId="0" fillId="0" borderId="0" xfId="0" applyNumberFormat="1" applyFill="1"/>
    <xf numFmtId="2" fontId="5" fillId="2" borderId="0" xfId="0" applyNumberFormat="1" applyFont="1" applyFill="1" applyAlignment="1">
      <alignment horizontal="center"/>
    </xf>
    <xf numFmtId="0" fontId="0" fillId="0" borderId="0" xfId="0" applyFont="1"/>
    <xf numFmtId="165" fontId="35" fillId="2" borderId="0" xfId="0" applyNumberFormat="1" applyFont="1" applyFill="1" applyAlignment="1">
      <alignment horizontal="right"/>
    </xf>
    <xf numFmtId="165" fontId="0" fillId="0" borderId="0" xfId="0" applyNumberFormat="1" applyFont="1"/>
    <xf numFmtId="165" fontId="23" fillId="25" borderId="0" xfId="0" applyNumberFormat="1" applyFont="1" applyFill="1" applyAlignment="1">
      <alignment horizontal="center"/>
    </xf>
    <xf numFmtId="165" fontId="23" fillId="25" borderId="0" xfId="0" applyNumberFormat="1" applyFont="1" applyFill="1" applyAlignment="1"/>
    <xf numFmtId="0" fontId="0" fillId="2" borderId="0" xfId="0" applyFill="1"/>
    <xf numFmtId="0" fontId="0" fillId="2" borderId="0" xfId="0" applyFill="1" applyAlignment="1">
      <alignment horizontal="center"/>
    </xf>
    <xf numFmtId="1" fontId="0" fillId="2" borderId="0" xfId="0" applyNumberFormat="1" applyFill="1"/>
    <xf numFmtId="1" fontId="0" fillId="2" borderId="0" xfId="0" applyNumberFormat="1" applyFill="1" applyAlignment="1">
      <alignment horizontal="right"/>
    </xf>
    <xf numFmtId="165" fontId="0" fillId="2" borderId="0" xfId="0" applyNumberFormat="1" applyFont="1" applyFill="1"/>
    <xf numFmtId="0" fontId="5" fillId="2" borderId="0" xfId="0" applyFont="1" applyFill="1"/>
    <xf numFmtId="0" fontId="5" fillId="2" borderId="0" xfId="0" applyFont="1" applyFill="1" applyAlignment="1">
      <alignment horizontal="center"/>
    </xf>
    <xf numFmtId="49" fontId="10" fillId="2" borderId="0" xfId="0" applyNumberFormat="1" applyFont="1" applyFill="1" applyAlignment="1">
      <alignment horizontal="center"/>
    </xf>
    <xf numFmtId="164" fontId="5" fillId="2" borderId="0" xfId="0" applyNumberFormat="1" applyFont="1" applyFill="1" applyAlignment="1">
      <alignment horizontal="center"/>
    </xf>
    <xf numFmtId="2" fontId="5" fillId="2" borderId="0" xfId="0" applyNumberFormat="1" applyFont="1" applyFill="1" applyAlignment="1">
      <alignment horizontal="left"/>
    </xf>
    <xf numFmtId="2" fontId="9" fillId="7" borderId="0" xfId="0" applyNumberFormat="1" applyFont="1" applyFill="1" applyAlignment="1">
      <alignment horizontal="center"/>
    </xf>
    <xf numFmtId="2" fontId="9" fillId="8" borderId="0" xfId="0" applyNumberFormat="1" applyFont="1" applyFill="1" applyAlignment="1">
      <alignment horizontal="center"/>
    </xf>
    <xf numFmtId="49" fontId="10" fillId="2" borderId="0" xfId="0" applyNumberFormat="1" applyFont="1" applyFill="1" applyAlignment="1">
      <alignment horizontal="center"/>
    </xf>
    <xf numFmtId="49" fontId="9" fillId="3" borderId="0" xfId="0" applyNumberFormat="1" applyFont="1" applyFill="1" applyAlignment="1">
      <alignment horizontal="center"/>
    </xf>
    <xf numFmtId="2" fontId="9" fillId="4" borderId="0" xfId="0" applyNumberFormat="1" applyFont="1" applyFill="1" applyAlignment="1">
      <alignment horizontal="center"/>
    </xf>
    <xf numFmtId="164" fontId="9" fillId="5" borderId="0" xfId="0" applyNumberFormat="1" applyFont="1" applyFill="1" applyAlignment="1">
      <alignment horizontal="center"/>
    </xf>
    <xf numFmtId="2" fontId="9" fillId="6" borderId="0" xfId="0" applyNumberFormat="1" applyFont="1" applyFill="1" applyAlignment="1">
      <alignment horizontal="center"/>
    </xf>
    <xf numFmtId="165" fontId="23" fillId="25" borderId="0" xfId="0" applyNumberFormat="1" applyFont="1" applyFill="1" applyAlignment="1">
      <alignment horizontal="center"/>
    </xf>
    <xf numFmtId="165" fontId="0" fillId="29" borderId="0" xfId="0" applyNumberFormat="1" applyFill="1" applyAlignment="1">
      <alignment horizontal="center"/>
    </xf>
    <xf numFmtId="2" fontId="0" fillId="31" borderId="0" xfId="0" applyNumberFormat="1" applyFill="1" applyAlignment="1">
      <alignment horizontal="center"/>
    </xf>
    <xf numFmtId="1" fontId="0" fillId="31" borderId="0" xfId="0" applyNumberFormat="1" applyFont="1" applyFill="1" applyAlignment="1">
      <alignment horizontal="center"/>
    </xf>
    <xf numFmtId="1" fontId="0" fillId="31" borderId="0" xfId="0" applyNumberFormat="1" applyFill="1" applyAlignment="1">
      <alignment horizontal="center"/>
    </xf>
    <xf numFmtId="166" fontId="0" fillId="4" borderId="0" xfId="0" applyNumberFormat="1" applyFill="1" applyAlignment="1">
      <alignment horizontal="center"/>
    </xf>
    <xf numFmtId="166" fontId="0" fillId="31" borderId="0" xfId="0" applyNumberFormat="1" applyFill="1" applyAlignment="1">
      <alignment horizontal="center"/>
    </xf>
    <xf numFmtId="166" fontId="0" fillId="31" borderId="0" xfId="0" applyNumberFormat="1" applyFont="1" applyFill="1" applyAlignment="1">
      <alignment horizontal="center"/>
    </xf>
    <xf numFmtId="164" fontId="0" fillId="31" borderId="0" xfId="0" applyNumberFormat="1" applyFont="1" applyFill="1" applyAlignment="1">
      <alignment horizontal="center"/>
    </xf>
    <xf numFmtId="166" fontId="0" fillId="32" borderId="0" xfId="0" applyNumberFormat="1" applyFill="1" applyAlignment="1">
      <alignment horizontal="center"/>
    </xf>
    <xf numFmtId="165" fontId="0" fillId="16" borderId="0" xfId="0" applyNumberFormat="1" applyFill="1" applyAlignment="1">
      <alignment horizontal="center"/>
    </xf>
    <xf numFmtId="0" fontId="0" fillId="16" borderId="0" xfId="0" applyFont="1" applyFill="1" applyAlignment="1">
      <alignment horizontal="center"/>
    </xf>
    <xf numFmtId="0" fontId="0" fillId="32" borderId="0" xfId="0" applyFill="1" applyAlignment="1">
      <alignment horizontal="center"/>
    </xf>
    <xf numFmtId="0" fontId="2" fillId="0" borderId="0" xfId="131" applyFont="1" applyAlignment="1">
      <alignment horizontal="center"/>
    </xf>
    <xf numFmtId="0" fontId="2" fillId="9" borderId="0" xfId="131" applyFont="1" applyFill="1" applyBorder="1" applyAlignment="1">
      <alignment horizontal="center"/>
    </xf>
    <xf numFmtId="0" fontId="2" fillId="10" borderId="0" xfId="131" applyFont="1" applyFill="1" applyBorder="1" applyAlignment="1">
      <alignment horizontal="center"/>
    </xf>
    <xf numFmtId="0" fontId="2" fillId="11" borderId="0" xfId="131" applyFont="1" applyFill="1" applyBorder="1" applyAlignment="1">
      <alignment horizontal="center"/>
    </xf>
    <xf numFmtId="0" fontId="23" fillId="25" borderId="0" xfId="0" applyFont="1" applyFill="1" applyAlignment="1">
      <alignment horizontal="center"/>
    </xf>
  </cellXfs>
  <cellStyles count="2581">
    <cellStyle name="Calculation 2" xfId="1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Normal" xfId="0" builtinId="0"/>
    <cellStyle name="Normal 10" xfId="1593"/>
    <cellStyle name="Normal 11" xfId="1594"/>
    <cellStyle name="Normal 12" xfId="1595"/>
    <cellStyle name="Normal 2" xfId="119"/>
    <cellStyle name="Normal 2 2" xfId="120"/>
    <cellStyle name="Normal 2 2 2" xfId="121"/>
    <cellStyle name="Normal 2 3" xfId="122"/>
    <cellStyle name="Normal 2 4" xfId="1145"/>
    <cellStyle name="Normal 3" xfId="123"/>
    <cellStyle name="Normal 3 2" xfId="124"/>
    <cellStyle name="Normal 3 2 2" xfId="1596"/>
    <cellStyle name="Normal 3 3" xfId="125"/>
    <cellStyle name="Normal 3 3 2" xfId="1597"/>
    <cellStyle name="Normal 3 3 2 2" xfId="1598"/>
    <cellStyle name="Normal 3 3 3" xfId="1599"/>
    <cellStyle name="Normal 3 3 4" xfId="1600"/>
    <cellStyle name="Normal 3 3 4 2" xfId="1601"/>
    <cellStyle name="Normal 3 4" xfId="126"/>
    <cellStyle name="Normal 3 5" xfId="1602"/>
    <cellStyle name="Normal 4" xfId="127"/>
    <cellStyle name="Normal 4 2" xfId="128"/>
    <cellStyle name="Normal 4 2 2" xfId="1603"/>
    <cellStyle name="Normal 4 2 3" xfId="1604"/>
    <cellStyle name="Normal 4 3" xfId="129"/>
    <cellStyle name="Normal 4 3 2" xfId="1605"/>
    <cellStyle name="Normal 4 3 3" xfId="1606"/>
    <cellStyle name="Normal 4 4" xfId="702"/>
    <cellStyle name="Normal 5" xfId="130"/>
    <cellStyle name="Normal 6" xfId="131"/>
    <cellStyle name="Normal 6 2" xfId="132"/>
    <cellStyle name="Normal 6 2 2" xfId="1607"/>
    <cellStyle name="Normal 7" xfId="133"/>
    <cellStyle name="Normal 8" xfId="1608"/>
    <cellStyle name="Normal 8 2" xfId="1609"/>
    <cellStyle name="Normal 9" xfId="1610"/>
    <cellStyle name="Output 2" xfId="1611"/>
    <cellStyle name="WTF" xfId="161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9525</xdr:rowOff>
    </xdr:from>
    <xdr:to>
      <xdr:col>11</xdr:col>
      <xdr:colOff>428625</xdr:colOff>
      <xdr:row>7</xdr:row>
      <xdr:rowOff>133350</xdr:rowOff>
    </xdr:to>
    <xdr:sp macro="" textlink="">
      <xdr:nvSpPr>
        <xdr:cNvPr id="2" name="TextBox 1"/>
        <xdr:cNvSpPr txBox="1"/>
      </xdr:nvSpPr>
      <xdr:spPr>
        <a:xfrm>
          <a:off x="28575" y="9525"/>
          <a:ext cx="794385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file is to serve as a template for calculating whole-tree</a:t>
          </a:r>
          <a:r>
            <a:rPr lang="en-US" sz="1100" baseline="0"/>
            <a:t> numbers. Equations are filled in for volume and surface area calculations. Variblaes of mass use </a:t>
          </a:r>
          <a:r>
            <a:rPr lang="en-US" sz="1100" i="1" baseline="0"/>
            <a:t>Picea sitchensis-</a:t>
          </a:r>
          <a:r>
            <a:rPr lang="en-US" sz="1100" i="0" baseline="0"/>
            <a:t>specific densities in Appendix C. Bark and sapwood thickness are also predicted using equations in Appendix C. If using this template for another species, augment any columns with hard-coded equations or densities. To get final numbers for each tree it is efficient to use a pivot table for each tab of "main trunk", "segments", and "branches", placing each in the the same new tab. Lastly, use the consolidate function in the DATA section of the ribbon to consolidated the tree pivot tables by tree. </a:t>
          </a:r>
        </a:p>
        <a:p>
          <a:endParaRPr lang="en-US" sz="1100" i="0" baseline="0"/>
        </a:p>
        <a:p>
          <a:r>
            <a:rPr lang="en-US" sz="1100" i="0"/>
            <a:t>An example row was left in for each section to clarify the process.</a:t>
          </a:r>
          <a:r>
            <a:rPr lang="en-US" sz="1100" i="0" baseline="0"/>
            <a:t> </a:t>
          </a:r>
          <a:endParaRPr lang="en-US" sz="1100" i="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46</xdr:col>
      <xdr:colOff>247650</xdr:colOff>
      <xdr:row>3</xdr:row>
      <xdr:rowOff>0</xdr:rowOff>
    </xdr:from>
    <xdr:ext cx="184731" cy="264560"/>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9856450" y="1409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46</xdr:col>
      <xdr:colOff>247650</xdr:colOff>
      <xdr:row>23</xdr:row>
      <xdr:rowOff>0</xdr:rowOff>
    </xdr:from>
    <xdr:ext cx="184731" cy="264560"/>
    <xdr:sp macro="" textlink="">
      <xdr:nvSpPr>
        <xdr:cNvPr id="3" name="TextBox 2">
          <a:extLst>
            <a:ext uri="{FF2B5EF4-FFF2-40B4-BE49-F238E27FC236}">
              <a16:creationId xmlns="" xmlns:a16="http://schemas.microsoft.com/office/drawing/2014/main" id="{00000000-0008-0000-0100-000003000000}"/>
            </a:ext>
          </a:extLst>
        </xdr:cNvPr>
        <xdr:cNvSpPr txBox="1"/>
      </xdr:nvSpPr>
      <xdr:spPr>
        <a:xfrm>
          <a:off x="28619450" y="476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X41"/>
  <sheetViews>
    <sheetView workbookViewId="0">
      <pane ySplit="2" topLeftCell="A3" activePane="bottomLeft" state="frozen"/>
      <selection pane="bottomLeft" activeCell="Q18" sqref="Q18"/>
    </sheetView>
  </sheetViews>
  <sheetFormatPr defaultColWidth="10.875" defaultRowHeight="15.75" x14ac:dyDescent="0.25"/>
  <cols>
    <col min="1" max="1" width="3.875" style="15" customWidth="1"/>
    <col min="2" max="2" width="9.5" style="20" customWidth="1"/>
    <col min="3" max="3" width="9.375" style="21" bestFit="1" customWidth="1"/>
    <col min="4" max="4" width="7.5" style="21" bestFit="1" customWidth="1"/>
    <col min="5" max="5" width="10.125" style="15" customWidth="1"/>
    <col min="6" max="6" width="13.375" style="15" customWidth="1"/>
    <col min="7" max="7" width="7.625" style="22" customWidth="1"/>
    <col min="8" max="8" width="9.5" style="23" bestFit="1" customWidth="1"/>
    <col min="9" max="9" width="10.125" style="22" bestFit="1" customWidth="1"/>
    <col min="10" max="10" width="7.625" style="24" customWidth="1"/>
    <col min="11" max="11" width="8.125" style="24" customWidth="1"/>
    <col min="12" max="13" width="6.5" style="23" customWidth="1"/>
    <col min="14" max="14" width="6.375" style="24" customWidth="1"/>
    <col min="15" max="15" width="8.375" style="24" bestFit="1" customWidth="1"/>
    <col min="16" max="16" width="13.125" style="23" bestFit="1" customWidth="1"/>
    <col min="17" max="17" width="13" style="23" bestFit="1" customWidth="1"/>
    <col min="18" max="18" width="3.875" style="24" customWidth="1"/>
    <col min="19" max="19" width="14.125" style="103" bestFit="1" customWidth="1"/>
    <col min="20" max="20" width="16.625" style="103" bestFit="1" customWidth="1"/>
    <col min="21" max="21" width="3.875" style="24" customWidth="1"/>
    <col min="22" max="23" width="7.875" style="16" customWidth="1"/>
    <col min="24" max="24" width="3.875" style="24" customWidth="1"/>
    <col min="25" max="25" width="9.125" style="19" bestFit="1" customWidth="1"/>
    <col min="26" max="26" width="10.125" style="19" bestFit="1" customWidth="1"/>
    <col min="27" max="27" width="9" style="19" bestFit="1" customWidth="1"/>
    <col min="28" max="28" width="9.875" style="19" bestFit="1" customWidth="1"/>
    <col min="29" max="29" width="10.625" style="19" bestFit="1" customWidth="1"/>
    <col min="30" max="30" width="10.375" style="19" bestFit="1" customWidth="1"/>
    <col min="31" max="32" width="6.875" style="19" bestFit="1" customWidth="1"/>
    <col min="33" max="34" width="5.875" style="19" customWidth="1"/>
    <col min="35" max="37" width="6.875" style="19" bestFit="1" customWidth="1"/>
    <col min="38" max="38" width="8.125" style="19" bestFit="1" customWidth="1"/>
    <col min="39" max="39" width="3.875" style="24" customWidth="1"/>
    <col min="40" max="40" width="9.125" style="16" bestFit="1" customWidth="1"/>
    <col min="41" max="41" width="9" style="16" bestFit="1" customWidth="1"/>
    <col min="42" max="42" width="5.875" style="16" bestFit="1" customWidth="1"/>
    <col min="43" max="43" width="3.875" style="16" customWidth="1"/>
    <col min="44" max="44" width="7.875" style="16" bestFit="1" customWidth="1"/>
    <col min="45" max="46" width="5.875" style="15" bestFit="1" customWidth="1"/>
    <col min="47" max="47" width="5.375" style="15" bestFit="1" customWidth="1"/>
    <col min="48" max="52" width="4.875" style="15" bestFit="1" customWidth="1"/>
    <col min="53" max="53" width="5.875" style="15" bestFit="1" customWidth="1"/>
    <col min="54" max="56" width="6.875" style="15" bestFit="1" customWidth="1"/>
    <col min="57" max="60" width="6.875" style="15" customWidth="1"/>
    <col min="61" max="61" width="3.875" style="24" customWidth="1"/>
    <col min="62" max="62" width="5.625" style="15" bestFit="1" customWidth="1"/>
    <col min="63" max="63" width="4.875" style="15" bestFit="1" customWidth="1"/>
    <col min="64" max="64" width="5" style="15" bestFit="1" customWidth="1"/>
    <col min="65" max="66" width="4.875" style="15" bestFit="1" customWidth="1"/>
    <col min="67" max="67" width="5" style="15" bestFit="1" customWidth="1"/>
    <col min="68" max="68" width="4.875" style="15" bestFit="1" customWidth="1"/>
    <col min="69" max="73" width="5" style="15" bestFit="1" customWidth="1"/>
    <col min="74" max="74" width="5.875" style="15" bestFit="1" customWidth="1"/>
    <col min="75" max="76" width="5" style="15" customWidth="1"/>
    <col min="77" max="77" width="5.5" style="15" bestFit="1" customWidth="1"/>
    <col min="78" max="79" width="5.5" style="15" customWidth="1"/>
    <col min="80" max="80" width="3.875" style="24" customWidth="1"/>
    <col min="81" max="81" width="5.625" style="15" bestFit="1" customWidth="1"/>
    <col min="82" max="82" width="4.875" style="15" customWidth="1"/>
    <col min="83" max="83" width="4.875" style="15" bestFit="1" customWidth="1"/>
    <col min="84" max="89" width="5.875" style="15" bestFit="1" customWidth="1"/>
    <col min="90" max="93" width="5.875" style="15" customWidth="1"/>
    <col min="94" max="96" width="6.875" style="15" bestFit="1" customWidth="1"/>
    <col min="97" max="97" width="6.875" style="15" customWidth="1"/>
    <col min="98" max="98" width="6.875" style="15" bestFit="1" customWidth="1"/>
    <col min="99" max="99" width="3.875" style="15" customWidth="1"/>
    <col min="100" max="16384" width="10.875" style="18"/>
  </cols>
  <sheetData>
    <row r="1" spans="1:102" customFormat="1" x14ac:dyDescent="0.25">
      <c r="A1" s="1"/>
      <c r="B1" s="176"/>
      <c r="C1" s="176"/>
      <c r="D1" s="177" t="s">
        <v>33</v>
      </c>
      <c r="E1" s="177"/>
      <c r="F1" s="177"/>
      <c r="G1" s="177"/>
      <c r="H1" s="177"/>
      <c r="I1" s="177"/>
      <c r="J1" s="177"/>
      <c r="K1" s="177"/>
      <c r="L1" s="177"/>
      <c r="M1" s="177"/>
      <c r="N1" s="177"/>
      <c r="O1" s="177"/>
      <c r="P1" s="177"/>
      <c r="Q1" s="177"/>
      <c r="R1" s="2"/>
      <c r="S1" s="138"/>
      <c r="T1" s="138"/>
      <c r="U1" s="2"/>
      <c r="V1" s="178" t="s">
        <v>34</v>
      </c>
      <c r="W1" s="178"/>
      <c r="X1" s="178"/>
      <c r="Y1" s="178"/>
      <c r="Z1" s="2"/>
      <c r="AA1" s="179" t="s">
        <v>35</v>
      </c>
      <c r="AB1" s="179"/>
      <c r="AC1" s="179"/>
      <c r="AD1" s="179"/>
      <c r="AE1" s="179"/>
      <c r="AF1" s="179"/>
      <c r="AG1" s="179"/>
      <c r="AH1" s="179"/>
      <c r="AI1" s="179"/>
      <c r="AJ1" s="179"/>
      <c r="AK1" s="179"/>
      <c r="AL1" s="179"/>
      <c r="AM1" s="179"/>
      <c r="AN1" s="179"/>
      <c r="AO1" s="179"/>
      <c r="AP1" s="179"/>
      <c r="AQ1" s="2"/>
      <c r="AR1" s="180" t="s">
        <v>65</v>
      </c>
      <c r="AS1" s="180"/>
      <c r="AT1" s="180"/>
      <c r="AU1" s="180"/>
      <c r="AV1" s="180"/>
      <c r="AW1" s="180"/>
      <c r="AX1" s="180"/>
      <c r="AY1" s="180"/>
      <c r="AZ1" s="180"/>
      <c r="BA1" s="180"/>
      <c r="BB1" s="180"/>
      <c r="BC1" s="180"/>
      <c r="BD1" s="180"/>
      <c r="BE1" s="180"/>
      <c r="BF1" s="180"/>
      <c r="BG1" s="180"/>
      <c r="BH1" s="180"/>
      <c r="BI1" s="180"/>
      <c r="BJ1" s="180"/>
      <c r="BK1" s="180"/>
      <c r="BL1" s="180"/>
      <c r="BM1" s="2"/>
      <c r="BN1" s="174" t="s">
        <v>36</v>
      </c>
      <c r="BO1" s="174"/>
      <c r="BP1" s="174"/>
      <c r="BQ1" s="174"/>
      <c r="BR1" s="174"/>
      <c r="BS1" s="174"/>
      <c r="BT1" s="174"/>
      <c r="BU1" s="174"/>
      <c r="BV1" s="174"/>
      <c r="BW1" s="174"/>
      <c r="BX1" s="174"/>
      <c r="BY1" s="174"/>
      <c r="BZ1" s="174"/>
      <c r="CA1" s="174"/>
      <c r="CB1" s="174"/>
      <c r="CC1" s="174"/>
      <c r="CD1" s="174"/>
      <c r="CE1" s="174"/>
      <c r="CF1" s="2"/>
      <c r="CG1" s="175" t="s">
        <v>37</v>
      </c>
      <c r="CH1" s="175"/>
      <c r="CI1" s="175"/>
      <c r="CJ1" s="175"/>
      <c r="CK1" s="175"/>
      <c r="CL1" s="175"/>
      <c r="CM1" s="175"/>
      <c r="CN1" s="175"/>
      <c r="CO1" s="175"/>
      <c r="CP1" s="175"/>
      <c r="CQ1" s="175"/>
      <c r="CR1" s="175"/>
      <c r="CS1" s="175"/>
      <c r="CT1" s="175"/>
      <c r="CU1" s="175"/>
      <c r="CV1" s="175"/>
      <c r="CW1" s="175"/>
      <c r="CX1" s="175"/>
    </row>
    <row r="2" spans="1:102" customFormat="1" ht="18" x14ac:dyDescent="0.25">
      <c r="A2" s="3"/>
      <c r="B2" s="4" t="s">
        <v>0</v>
      </c>
      <c r="C2" s="4" t="s">
        <v>1</v>
      </c>
      <c r="D2" s="171" t="s">
        <v>18</v>
      </c>
      <c r="E2" s="5" t="s">
        <v>38</v>
      </c>
      <c r="F2" s="5" t="s">
        <v>39</v>
      </c>
      <c r="G2" s="6" t="s">
        <v>40</v>
      </c>
      <c r="H2" s="7" t="s">
        <v>143</v>
      </c>
      <c r="I2" s="6" t="s">
        <v>71</v>
      </c>
      <c r="J2" s="8" t="s">
        <v>28</v>
      </c>
      <c r="K2" s="8" t="s">
        <v>29</v>
      </c>
      <c r="L2" s="7" t="s">
        <v>41</v>
      </c>
      <c r="M2" s="7" t="s">
        <v>142</v>
      </c>
      <c r="N2" s="8" t="s">
        <v>42</v>
      </c>
      <c r="O2" s="8" t="s">
        <v>90</v>
      </c>
      <c r="P2" s="7" t="s">
        <v>43</v>
      </c>
      <c r="Q2" s="7" t="s">
        <v>31</v>
      </c>
      <c r="R2" s="9"/>
      <c r="S2" s="137" t="s">
        <v>153</v>
      </c>
      <c r="T2" s="137" t="s">
        <v>154</v>
      </c>
      <c r="U2" s="9"/>
      <c r="V2" s="5" t="s">
        <v>44</v>
      </c>
      <c r="W2" s="5" t="s">
        <v>45</v>
      </c>
      <c r="X2" s="5" t="s">
        <v>73</v>
      </c>
      <c r="Y2" s="5" t="s">
        <v>62</v>
      </c>
      <c r="Z2" s="9"/>
      <c r="AA2" s="7" t="s">
        <v>76</v>
      </c>
      <c r="AB2" s="7" t="s">
        <v>67</v>
      </c>
      <c r="AC2" s="7" t="s">
        <v>73</v>
      </c>
      <c r="AD2" s="7" t="s">
        <v>72</v>
      </c>
      <c r="AE2" s="7" t="s">
        <v>77</v>
      </c>
      <c r="AF2" s="7" t="s">
        <v>78</v>
      </c>
      <c r="AG2" s="9" t="s">
        <v>79</v>
      </c>
      <c r="AH2" s="7" t="s">
        <v>66</v>
      </c>
      <c r="AI2" s="7" t="s">
        <v>75</v>
      </c>
      <c r="AJ2" s="9" t="s">
        <v>48</v>
      </c>
      <c r="AK2" s="9" t="s">
        <v>49</v>
      </c>
      <c r="AL2" s="7" t="s">
        <v>80</v>
      </c>
      <c r="AM2" s="7" t="s">
        <v>61</v>
      </c>
      <c r="AN2" s="7" t="s">
        <v>46</v>
      </c>
      <c r="AO2" s="7" t="s">
        <v>62</v>
      </c>
      <c r="AP2" s="7" t="s">
        <v>74</v>
      </c>
      <c r="AQ2" s="9"/>
      <c r="AR2" s="5" t="s">
        <v>76</v>
      </c>
      <c r="AS2" s="5" t="s">
        <v>72</v>
      </c>
      <c r="AT2" s="5" t="s">
        <v>66</v>
      </c>
      <c r="AU2" s="5"/>
      <c r="AV2" s="5" t="s">
        <v>64</v>
      </c>
      <c r="AW2" s="5" t="s">
        <v>48</v>
      </c>
      <c r="AX2" s="5" t="s">
        <v>49</v>
      </c>
      <c r="AY2" s="5" t="s">
        <v>50</v>
      </c>
      <c r="AZ2" s="5" t="s">
        <v>51</v>
      </c>
      <c r="BA2" s="5" t="s">
        <v>52</v>
      </c>
      <c r="BB2" s="5" t="s">
        <v>32</v>
      </c>
      <c r="BC2" s="5" t="s">
        <v>53</v>
      </c>
      <c r="BD2" s="5" t="s">
        <v>54</v>
      </c>
      <c r="BE2" s="5" t="s">
        <v>55</v>
      </c>
      <c r="BF2" s="5" t="s">
        <v>56</v>
      </c>
      <c r="BG2" s="5" t="s">
        <v>57</v>
      </c>
      <c r="BH2" s="5" t="s">
        <v>58</v>
      </c>
      <c r="BI2" s="5" t="s">
        <v>59</v>
      </c>
      <c r="BJ2" s="5" t="s">
        <v>60</v>
      </c>
      <c r="BK2" s="5" t="s">
        <v>63</v>
      </c>
      <c r="BL2" s="5" t="s">
        <v>93</v>
      </c>
      <c r="BM2" s="9"/>
      <c r="BN2" s="5" t="s">
        <v>122</v>
      </c>
      <c r="BO2" s="5" t="s">
        <v>2</v>
      </c>
      <c r="BP2" s="5" t="s">
        <v>4</v>
      </c>
      <c r="BQ2" s="5" t="s">
        <v>3</v>
      </c>
      <c r="BR2" s="5" t="s">
        <v>6</v>
      </c>
      <c r="BS2" s="5" t="s">
        <v>5</v>
      </c>
      <c r="BT2" s="5" t="s">
        <v>7</v>
      </c>
      <c r="BU2" s="5" t="s">
        <v>8</v>
      </c>
      <c r="BV2" s="5" t="s">
        <v>10</v>
      </c>
      <c r="BW2" s="5" t="s">
        <v>9</v>
      </c>
      <c r="BX2" s="5" t="s">
        <v>12</v>
      </c>
      <c r="BY2" s="5" t="s">
        <v>11</v>
      </c>
      <c r="BZ2" s="5" t="s">
        <v>13</v>
      </c>
      <c r="CA2" s="8">
        <v>13</v>
      </c>
      <c r="CB2" s="8">
        <v>14</v>
      </c>
      <c r="CC2" s="8">
        <v>15</v>
      </c>
      <c r="CD2" s="8">
        <v>16</v>
      </c>
      <c r="CE2" s="5" t="s">
        <v>139</v>
      </c>
      <c r="CF2" s="9"/>
      <c r="CG2" s="5" t="s">
        <v>122</v>
      </c>
      <c r="CH2" s="5" t="s">
        <v>2</v>
      </c>
      <c r="CI2" s="5" t="s">
        <v>4</v>
      </c>
      <c r="CJ2" s="5" t="s">
        <v>3</v>
      </c>
      <c r="CK2" s="5" t="s">
        <v>6</v>
      </c>
      <c r="CL2" s="5" t="s">
        <v>5</v>
      </c>
      <c r="CM2" s="5" t="s">
        <v>7</v>
      </c>
      <c r="CN2" s="5" t="s">
        <v>8</v>
      </c>
      <c r="CO2" s="5" t="s">
        <v>10</v>
      </c>
      <c r="CP2" s="5" t="s">
        <v>9</v>
      </c>
      <c r="CQ2" s="5" t="s">
        <v>12</v>
      </c>
      <c r="CR2" s="5" t="s">
        <v>11</v>
      </c>
      <c r="CS2" s="5" t="s">
        <v>13</v>
      </c>
      <c r="CT2" s="8">
        <v>13</v>
      </c>
      <c r="CU2" s="8">
        <v>14</v>
      </c>
      <c r="CV2" s="8">
        <v>15</v>
      </c>
      <c r="CW2" s="8">
        <v>16</v>
      </c>
      <c r="CX2" s="5" t="s">
        <v>139</v>
      </c>
    </row>
    <row r="3" spans="1:102" x14ac:dyDescent="0.25">
      <c r="A3" s="10"/>
      <c r="B3" s="20" t="s">
        <v>235</v>
      </c>
      <c r="C3" s="21" t="s">
        <v>236</v>
      </c>
      <c r="D3" s="21" t="s">
        <v>19</v>
      </c>
      <c r="E3" s="15">
        <v>73.2</v>
      </c>
      <c r="F3" s="15">
        <v>47.3</v>
      </c>
      <c r="G3" s="22">
        <f t="shared" ref="G3" si="0">F3/E3</f>
        <v>0.64617486338797803</v>
      </c>
      <c r="H3" s="23">
        <v>16.600000000000001</v>
      </c>
      <c r="I3" s="22">
        <f>0.0031351*F3+0.0979181</f>
        <v>0.24620832999999998</v>
      </c>
      <c r="J3" s="24">
        <v>265</v>
      </c>
      <c r="K3" s="24">
        <v>265</v>
      </c>
      <c r="L3" s="23">
        <v>6.6</v>
      </c>
      <c r="M3" s="23">
        <f>SQRT(L3^2+(O3-F3)^2)</f>
        <v>7.961038460125776</v>
      </c>
      <c r="N3" s="24">
        <v>34</v>
      </c>
      <c r="O3" s="15">
        <v>51.751756211160014</v>
      </c>
      <c r="P3" s="23">
        <v>6.9</v>
      </c>
      <c r="Q3" s="23">
        <v>0</v>
      </c>
      <c r="R3" s="14"/>
      <c r="S3" s="139">
        <v>0.11146794469155326</v>
      </c>
      <c r="T3" s="103">
        <f>(AL3/1000)/S3</f>
        <v>66.549177169516085</v>
      </c>
      <c r="U3" s="14"/>
      <c r="V3" s="12"/>
      <c r="W3" s="12"/>
      <c r="X3" s="12"/>
      <c r="Y3" s="12"/>
      <c r="Z3" s="14"/>
      <c r="AA3" s="13"/>
      <c r="AB3" s="13"/>
      <c r="AC3" s="13"/>
      <c r="AD3" s="13"/>
      <c r="AE3" s="13"/>
      <c r="AF3" s="13"/>
      <c r="AG3" s="13"/>
      <c r="AH3" s="13"/>
      <c r="AI3" s="13"/>
      <c r="AJ3" s="13"/>
      <c r="AK3" s="13"/>
      <c r="AL3" s="103">
        <v>7418.0999999999985</v>
      </c>
      <c r="AM3" s="103">
        <v>8446.0000000000018</v>
      </c>
      <c r="AN3" s="19">
        <v>2.2000000000000002</v>
      </c>
      <c r="AO3" s="19">
        <v>63</v>
      </c>
      <c r="AP3" s="13"/>
      <c r="AQ3" s="14"/>
      <c r="AR3" s="12"/>
      <c r="AS3" s="12"/>
      <c r="AT3" s="12"/>
      <c r="AU3" s="12"/>
      <c r="AV3" s="16">
        <v>1398.6770939731234</v>
      </c>
      <c r="AW3" s="15">
        <v>16.009999999999998</v>
      </c>
      <c r="AX3" s="15">
        <v>6.49</v>
      </c>
      <c r="AY3" s="15">
        <v>2.78</v>
      </c>
      <c r="AZ3" s="15">
        <v>1.25</v>
      </c>
      <c r="BA3" s="15">
        <v>0</v>
      </c>
      <c r="BB3" s="15">
        <v>1.37</v>
      </c>
      <c r="BC3" s="15">
        <v>0.56999999999999995</v>
      </c>
      <c r="BD3" s="15">
        <v>0.33</v>
      </c>
      <c r="BE3" s="15">
        <v>0.82</v>
      </c>
      <c r="BF3" s="15">
        <v>0.78</v>
      </c>
      <c r="BG3" s="15">
        <v>1.2</v>
      </c>
      <c r="BH3" s="15">
        <v>0.76</v>
      </c>
      <c r="BI3" s="15">
        <v>0.85</v>
      </c>
      <c r="BJ3" s="15">
        <v>0.49</v>
      </c>
      <c r="BK3" s="15">
        <v>0.32</v>
      </c>
      <c r="BL3" s="15">
        <v>0.23</v>
      </c>
      <c r="BM3" s="14"/>
      <c r="BN3" s="15">
        <f t="shared" ref="BN3" si="1">10*I3/4</f>
        <v>0.61552082499999994</v>
      </c>
      <c r="BO3" s="15">
        <v>1.4392538298505344</v>
      </c>
      <c r="BP3" s="15">
        <v>2.080122699152156</v>
      </c>
      <c r="BQ3" s="15">
        <v>2.65</v>
      </c>
      <c r="BR3" s="15">
        <v>2.77</v>
      </c>
      <c r="BS3" s="15">
        <v>3.37</v>
      </c>
      <c r="BT3" s="15">
        <v>4.1100000000000003</v>
      </c>
      <c r="BU3" s="15">
        <v>4.5999999999999996</v>
      </c>
      <c r="BV3" s="15">
        <v>4.7300000000000004</v>
      </c>
      <c r="BW3" s="15">
        <v>4.6311901367840536</v>
      </c>
      <c r="BX3" s="15">
        <v>3.36</v>
      </c>
      <c r="BY3" s="15">
        <v>2.87</v>
      </c>
      <c r="BZ3" s="15">
        <v>3.81</v>
      </c>
      <c r="CA3" s="15">
        <v>4.7300000000000004</v>
      </c>
      <c r="CB3" s="15">
        <v>4.37</v>
      </c>
      <c r="CC3" s="15">
        <v>4.5199999999999996</v>
      </c>
      <c r="CD3" s="15">
        <v>3.9</v>
      </c>
      <c r="CE3" s="15">
        <f>AVERAGE(3.73,3.99)</f>
        <v>3.8600000000000003</v>
      </c>
      <c r="CF3" s="14"/>
      <c r="CG3" s="15">
        <v>0</v>
      </c>
      <c r="CH3" s="15">
        <v>0</v>
      </c>
      <c r="CI3" s="15">
        <v>0</v>
      </c>
      <c r="CJ3" s="15">
        <v>0</v>
      </c>
      <c r="CK3" s="15">
        <v>4.59</v>
      </c>
      <c r="CL3" s="15">
        <f>2*(1.23772504805808*CL$2^1.42954222534891-2.5568771609923)</f>
        <v>19.595595106990633</v>
      </c>
      <c r="CM3" s="15">
        <v>25.61</v>
      </c>
      <c r="CN3" s="15">
        <v>13.18</v>
      </c>
      <c r="CO3" s="15">
        <v>38.24</v>
      </c>
      <c r="CP3" s="15">
        <v>43.22</v>
      </c>
      <c r="CQ3" s="15">
        <v>50.31</v>
      </c>
      <c r="CR3" s="15">
        <v>69.680000000000007</v>
      </c>
      <c r="CS3" s="15">
        <v>75.489999999999995</v>
      </c>
      <c r="CT3" s="15">
        <v>83.61</v>
      </c>
      <c r="CU3" s="15">
        <v>95.93</v>
      </c>
      <c r="CV3" s="15">
        <v>103.63</v>
      </c>
      <c r="CW3" s="15">
        <v>119.76</v>
      </c>
      <c r="CX3" s="15">
        <v>125.17</v>
      </c>
    </row>
    <row r="4" spans="1:102" x14ac:dyDescent="0.25">
      <c r="A4" s="10"/>
      <c r="AR4" s="103"/>
      <c r="AS4" s="103"/>
      <c r="AT4" s="103"/>
      <c r="AU4" s="103"/>
      <c r="AV4" s="103"/>
      <c r="AW4" s="103"/>
      <c r="AX4" s="103"/>
      <c r="AY4" s="103"/>
      <c r="AZ4" s="103"/>
      <c r="BA4" s="103"/>
      <c r="BB4" s="103"/>
      <c r="BC4" s="103"/>
      <c r="BD4" s="103"/>
      <c r="BE4" s="24"/>
      <c r="BF4" s="24"/>
      <c r="BG4" s="24"/>
      <c r="BH4" s="24"/>
      <c r="CU4" s="10"/>
    </row>
    <row r="5" spans="1:102" x14ac:dyDescent="0.25">
      <c r="A5" s="10"/>
      <c r="AR5" s="103"/>
      <c r="AS5" s="103"/>
      <c r="AT5" s="103"/>
      <c r="AU5" s="103"/>
      <c r="AV5" s="103"/>
      <c r="AW5" s="103"/>
      <c r="AX5" s="103"/>
      <c r="AY5" s="103"/>
      <c r="AZ5" s="103"/>
      <c r="BA5" s="103"/>
      <c r="BB5" s="103"/>
      <c r="BC5" s="24"/>
      <c r="BD5" s="24"/>
      <c r="BE5" s="24"/>
      <c r="BF5" s="24"/>
      <c r="BG5" s="24"/>
      <c r="BH5" s="24"/>
      <c r="CU5" s="10"/>
    </row>
    <row r="6" spans="1:102" x14ac:dyDescent="0.25">
      <c r="A6" s="10"/>
      <c r="AR6" s="103"/>
      <c r="AS6" s="103"/>
      <c r="AT6" s="103"/>
      <c r="AU6" s="103"/>
      <c r="AV6" s="103"/>
      <c r="AW6" s="103"/>
      <c r="AX6" s="103"/>
      <c r="AY6" s="103"/>
      <c r="AZ6" s="103"/>
      <c r="BA6" s="103"/>
      <c r="BB6" s="24"/>
      <c r="BC6" s="24"/>
      <c r="BD6" s="24"/>
      <c r="BE6" s="24"/>
      <c r="BF6" s="24"/>
      <c r="BG6" s="24"/>
      <c r="BH6" s="24"/>
      <c r="CU6" s="10"/>
    </row>
    <row r="7" spans="1:102" x14ac:dyDescent="0.25">
      <c r="A7" s="10"/>
      <c r="AR7" s="103"/>
      <c r="AS7" s="103"/>
      <c r="AT7" s="103"/>
      <c r="AU7" s="103"/>
      <c r="AV7" s="103"/>
      <c r="AW7" s="103"/>
      <c r="AX7" s="103"/>
      <c r="AY7" s="103"/>
      <c r="AZ7" s="103"/>
      <c r="BA7" s="24"/>
      <c r="BB7" s="24"/>
      <c r="BC7" s="24"/>
      <c r="BD7" s="24"/>
      <c r="BE7" s="24"/>
      <c r="BF7" s="24"/>
      <c r="BG7" s="24"/>
      <c r="BH7" s="24"/>
      <c r="CU7" s="10"/>
    </row>
    <row r="8" spans="1:102" x14ac:dyDescent="0.25">
      <c r="A8" s="10"/>
      <c r="AR8" s="103"/>
      <c r="AS8" s="103"/>
      <c r="AT8" s="103"/>
      <c r="AU8" s="103"/>
      <c r="AV8" s="103"/>
      <c r="AW8" s="103"/>
      <c r="AX8" s="103"/>
      <c r="AY8" s="103"/>
      <c r="AZ8" s="24"/>
      <c r="BA8" s="24"/>
      <c r="BB8" s="24"/>
      <c r="BC8" s="24"/>
      <c r="BD8" s="24"/>
      <c r="BE8" s="24"/>
      <c r="BF8" s="24"/>
      <c r="BG8" s="24"/>
      <c r="BH8" s="24"/>
      <c r="CU8" s="10"/>
    </row>
    <row r="9" spans="1:102" x14ac:dyDescent="0.25">
      <c r="A9" s="10"/>
      <c r="AR9" s="103"/>
      <c r="AS9" s="103"/>
      <c r="AT9" s="103"/>
      <c r="AU9" s="103"/>
      <c r="AV9" s="103"/>
      <c r="AW9" s="103"/>
      <c r="AX9" s="24"/>
      <c r="AY9" s="24"/>
      <c r="AZ9" s="24"/>
      <c r="BA9" s="24"/>
      <c r="BB9" s="24"/>
      <c r="BC9" s="24"/>
      <c r="BD9" s="24"/>
      <c r="BE9" s="24"/>
      <c r="BF9" s="24"/>
      <c r="BG9" s="24"/>
      <c r="BH9" s="24"/>
      <c r="CU9" s="10"/>
    </row>
    <row r="10" spans="1:102" x14ac:dyDescent="0.25">
      <c r="A10" s="10"/>
      <c r="AR10" s="103"/>
      <c r="AS10" s="103"/>
      <c r="AT10" s="103"/>
      <c r="AU10" s="103"/>
      <c r="AV10" s="103"/>
      <c r="AW10" s="103"/>
      <c r="AX10" s="24"/>
      <c r="AY10" s="24"/>
      <c r="AZ10" s="24"/>
      <c r="BA10" s="24"/>
      <c r="BB10" s="24"/>
      <c r="BC10" s="24"/>
      <c r="BD10" s="24"/>
      <c r="BE10" s="24"/>
      <c r="BF10" s="24"/>
      <c r="BG10" s="24"/>
      <c r="BH10" s="24"/>
      <c r="CU10" s="10"/>
    </row>
    <row r="11" spans="1:102" x14ac:dyDescent="0.25">
      <c r="A11" s="10"/>
      <c r="AR11" s="103"/>
      <c r="AS11" s="103"/>
      <c r="AT11" s="103"/>
      <c r="AU11" s="103"/>
      <c r="AV11" s="103"/>
      <c r="AW11" s="103"/>
      <c r="AX11" s="24"/>
      <c r="AY11" s="24"/>
      <c r="AZ11" s="24"/>
      <c r="BA11" s="24"/>
      <c r="BB11" s="24"/>
      <c r="BC11" s="24"/>
      <c r="BD11" s="24"/>
      <c r="BE11" s="24"/>
      <c r="BF11" s="24"/>
      <c r="BG11" s="24"/>
      <c r="BH11" s="24"/>
      <c r="CU11" s="10"/>
    </row>
    <row r="12" spans="1:102" x14ac:dyDescent="0.25">
      <c r="A12" s="10"/>
      <c r="AR12" s="103"/>
      <c r="AS12" s="103"/>
      <c r="AT12" s="103"/>
      <c r="AU12" s="103"/>
      <c r="AV12" s="24"/>
      <c r="AW12" s="24"/>
      <c r="AX12" s="24"/>
      <c r="AY12" s="24"/>
      <c r="AZ12" s="24"/>
      <c r="BA12" s="24"/>
      <c r="BB12" s="24"/>
      <c r="BC12" s="24"/>
      <c r="BD12" s="24"/>
      <c r="BE12" s="24"/>
      <c r="BF12" s="24"/>
      <c r="BG12" s="24"/>
      <c r="BH12" s="24"/>
      <c r="CU12" s="10"/>
    </row>
    <row r="13" spans="1:102" x14ac:dyDescent="0.25">
      <c r="A13" s="10"/>
      <c r="AR13" s="103"/>
      <c r="AS13" s="103"/>
      <c r="AT13" s="103"/>
      <c r="AU13" s="103"/>
      <c r="AV13" s="24"/>
      <c r="AW13" s="24"/>
      <c r="AX13" s="24"/>
      <c r="AY13" s="24"/>
      <c r="AZ13" s="24"/>
      <c r="BA13" s="24"/>
      <c r="BB13" s="24"/>
      <c r="BC13" s="24"/>
      <c r="BD13" s="24"/>
      <c r="BE13" s="24"/>
      <c r="BF13" s="24"/>
      <c r="BG13" s="24"/>
      <c r="BH13" s="24"/>
      <c r="CU13" s="10"/>
    </row>
    <row r="14" spans="1:102" x14ac:dyDescent="0.25">
      <c r="A14" s="10"/>
      <c r="AR14" s="103"/>
      <c r="AS14" s="103"/>
      <c r="AT14" s="103"/>
      <c r="AU14" s="24"/>
      <c r="AV14" s="24"/>
      <c r="AW14" s="24"/>
      <c r="AX14" s="24"/>
      <c r="AY14" s="24"/>
      <c r="AZ14" s="24"/>
      <c r="BA14" s="24"/>
      <c r="BB14" s="24"/>
      <c r="BC14" s="24"/>
      <c r="BD14" s="24"/>
      <c r="BE14" s="24"/>
      <c r="BF14" s="24"/>
      <c r="BG14" s="24"/>
      <c r="BH14" s="24"/>
      <c r="CU14" s="10"/>
    </row>
    <row r="15" spans="1:102" x14ac:dyDescent="0.25">
      <c r="A15" s="10"/>
      <c r="AR15" s="103"/>
      <c r="AS15" s="103"/>
      <c r="AT15" s="103"/>
      <c r="AU15" s="103"/>
      <c r="AV15" s="103"/>
      <c r="AW15" s="24"/>
      <c r="AX15" s="24"/>
      <c r="AY15" s="24"/>
      <c r="AZ15" s="24"/>
      <c r="BA15" s="24"/>
      <c r="BB15" s="24"/>
      <c r="BC15" s="24"/>
      <c r="BD15" s="24"/>
      <c r="BE15" s="24"/>
      <c r="BF15" s="24"/>
      <c r="BG15" s="24"/>
      <c r="BH15" s="24"/>
      <c r="CU15" s="10"/>
    </row>
    <row r="16" spans="1:102" x14ac:dyDescent="0.25">
      <c r="A16" s="10"/>
      <c r="AR16" s="103"/>
      <c r="AS16" s="103"/>
      <c r="AT16" s="103"/>
      <c r="AU16" s="103"/>
      <c r="AV16" s="103"/>
      <c r="AW16" s="103"/>
      <c r="AX16" s="103"/>
      <c r="AY16" s="103"/>
      <c r="AZ16" s="24"/>
      <c r="BA16" s="24"/>
      <c r="BB16" s="24"/>
      <c r="BC16" s="24"/>
      <c r="BD16" s="24"/>
      <c r="BE16" s="24"/>
      <c r="BF16" s="24"/>
      <c r="BG16" s="24"/>
      <c r="BH16" s="24"/>
      <c r="CU16" s="10"/>
    </row>
    <row r="17" spans="1:99" x14ac:dyDescent="0.25">
      <c r="A17" s="10"/>
      <c r="AR17" s="103"/>
      <c r="AS17" s="103"/>
      <c r="AT17" s="103"/>
      <c r="AU17" s="103"/>
      <c r="AV17" s="103"/>
      <c r="AW17" s="103"/>
      <c r="AX17" s="103"/>
      <c r="AY17" s="103"/>
      <c r="AZ17" s="24"/>
      <c r="BA17" s="24"/>
      <c r="BB17" s="24"/>
      <c r="BC17" s="24"/>
      <c r="BD17" s="24"/>
      <c r="BE17" s="24"/>
      <c r="BF17" s="24"/>
      <c r="BG17" s="24"/>
      <c r="BH17" s="24"/>
      <c r="CU17" s="10"/>
    </row>
    <row r="18" spans="1:99" x14ac:dyDescent="0.25">
      <c r="A18" s="10"/>
      <c r="AR18" s="103"/>
      <c r="AS18" s="103"/>
      <c r="AT18" s="103"/>
      <c r="AU18" s="103"/>
      <c r="AV18" s="103"/>
      <c r="AW18" s="103"/>
      <c r="AX18" s="103"/>
      <c r="AY18" s="103"/>
      <c r="AZ18" s="103"/>
      <c r="BA18" s="103"/>
      <c r="BB18" s="103"/>
      <c r="BC18" s="103"/>
      <c r="BD18" s="24"/>
      <c r="BE18" s="24"/>
      <c r="BF18" s="24"/>
      <c r="BG18" s="24"/>
      <c r="BH18" s="24"/>
      <c r="CU18" s="10"/>
    </row>
    <row r="19" spans="1:99" x14ac:dyDescent="0.25">
      <c r="A19" s="10"/>
      <c r="AR19" s="103"/>
      <c r="AS19" s="103"/>
      <c r="AT19" s="103"/>
      <c r="AU19" s="103"/>
      <c r="AV19" s="103"/>
      <c r="AW19" s="103"/>
      <c r="AX19" s="103"/>
      <c r="AY19" s="103"/>
      <c r="AZ19" s="103"/>
      <c r="BA19" s="103"/>
      <c r="BB19" s="103"/>
      <c r="BC19" s="103"/>
      <c r="BD19" s="103"/>
      <c r="BE19" s="103"/>
      <c r="BF19" s="103"/>
      <c r="BG19" s="103"/>
      <c r="BH19" s="24"/>
      <c r="CU19" s="10"/>
    </row>
    <row r="20" spans="1:99" x14ac:dyDescent="0.25">
      <c r="A20" s="10"/>
      <c r="AR20" s="103"/>
      <c r="AS20" s="103"/>
      <c r="AT20" s="103"/>
      <c r="AU20" s="103"/>
      <c r="AV20" s="103"/>
      <c r="AW20" s="103"/>
      <c r="AX20" s="24"/>
      <c r="AY20" s="24"/>
      <c r="AZ20" s="24"/>
      <c r="BA20" s="24"/>
      <c r="BB20" s="24"/>
      <c r="BC20" s="24"/>
      <c r="BD20" s="24"/>
      <c r="BE20" s="24"/>
      <c r="BF20" s="24"/>
      <c r="BG20" s="24"/>
      <c r="BH20" s="24"/>
      <c r="CU20" s="10"/>
    </row>
    <row r="21" spans="1:99" x14ac:dyDescent="0.25">
      <c r="A21" s="10"/>
      <c r="AR21" s="103"/>
      <c r="AS21" s="103"/>
      <c r="AT21" s="103"/>
      <c r="AU21" s="103"/>
      <c r="AV21" s="103"/>
      <c r="AW21" s="103"/>
      <c r="AX21" s="103"/>
      <c r="AY21" s="103"/>
      <c r="AZ21" s="103"/>
      <c r="BA21" s="103"/>
      <c r="BB21" s="24"/>
      <c r="BC21" s="24"/>
      <c r="BD21" s="24"/>
      <c r="BE21" s="24"/>
      <c r="BF21" s="24"/>
      <c r="BG21" s="24"/>
      <c r="BH21" s="24"/>
      <c r="CU21" s="10"/>
    </row>
    <row r="22" spans="1:99" x14ac:dyDescent="0.25">
      <c r="A22" s="10"/>
      <c r="AR22" s="103"/>
      <c r="AS22" s="103"/>
      <c r="AT22" s="103"/>
      <c r="AU22" s="103"/>
      <c r="AV22" s="103"/>
      <c r="AW22" s="24"/>
      <c r="AX22" s="24"/>
      <c r="AY22" s="24"/>
      <c r="AZ22" s="24"/>
      <c r="BA22" s="24"/>
      <c r="BB22" s="24"/>
      <c r="BC22" s="24"/>
      <c r="BD22" s="24"/>
      <c r="BE22" s="24"/>
      <c r="BF22" s="24"/>
      <c r="BG22" s="24"/>
      <c r="BH22" s="24"/>
      <c r="CU22" s="10"/>
    </row>
    <row r="23" spans="1:99" x14ac:dyDescent="0.25">
      <c r="A23" s="10"/>
      <c r="AR23" s="103"/>
      <c r="AS23" s="103"/>
      <c r="AT23" s="103"/>
      <c r="AU23" s="103"/>
      <c r="AV23" s="103"/>
      <c r="AW23" s="103"/>
      <c r="AX23" s="24"/>
      <c r="AY23" s="24"/>
      <c r="AZ23" s="24"/>
      <c r="BA23" s="24"/>
      <c r="BB23" s="24"/>
      <c r="BC23" s="24"/>
      <c r="BD23" s="24"/>
      <c r="BE23" s="24"/>
      <c r="BF23" s="24"/>
      <c r="BG23" s="24"/>
      <c r="BH23" s="24"/>
      <c r="CU23" s="10"/>
    </row>
    <row r="24" spans="1:99" x14ac:dyDescent="0.25">
      <c r="A24" s="10"/>
      <c r="AR24" s="103"/>
      <c r="AS24" s="103"/>
      <c r="AT24" s="103"/>
      <c r="AU24" s="103"/>
      <c r="AV24" s="103"/>
      <c r="AW24" s="103"/>
      <c r="AX24" s="103"/>
      <c r="AY24" s="24"/>
      <c r="AZ24" s="24"/>
      <c r="BA24" s="24"/>
      <c r="BB24" s="24"/>
      <c r="BC24" s="24"/>
      <c r="BD24" s="24"/>
      <c r="BE24" s="24"/>
      <c r="BF24" s="24"/>
      <c r="BG24" s="24"/>
      <c r="BH24" s="24"/>
      <c r="CU24" s="10"/>
    </row>
    <row r="25" spans="1:99" x14ac:dyDescent="0.25">
      <c r="A25" s="10"/>
      <c r="AR25" s="103"/>
      <c r="AS25" s="103"/>
      <c r="AT25" s="103"/>
      <c r="AU25" s="103"/>
      <c r="AV25" s="103"/>
      <c r="AW25" s="103"/>
      <c r="AX25" s="103"/>
      <c r="AY25" s="103"/>
      <c r="AZ25" s="103"/>
      <c r="BA25" s="103"/>
      <c r="BB25" s="103"/>
      <c r="BC25" s="103"/>
      <c r="BD25" s="103"/>
      <c r="BE25" s="24"/>
      <c r="BF25" s="24"/>
      <c r="BG25" s="24"/>
      <c r="BH25" s="24"/>
      <c r="CU25" s="10"/>
    </row>
    <row r="26" spans="1:99" x14ac:dyDescent="0.25">
      <c r="A26" s="10"/>
      <c r="AR26" s="103"/>
      <c r="AS26" s="103"/>
      <c r="AT26" s="103"/>
      <c r="AU26" s="103"/>
      <c r="AV26" s="103"/>
      <c r="AW26" s="103"/>
      <c r="AX26" s="24"/>
      <c r="AY26" s="24"/>
      <c r="AZ26" s="24"/>
      <c r="BA26" s="24"/>
      <c r="BB26" s="24"/>
      <c r="BC26" s="24"/>
      <c r="BD26" s="24"/>
      <c r="BE26" s="24"/>
      <c r="BF26" s="24"/>
      <c r="BG26" s="24"/>
      <c r="BH26" s="24"/>
      <c r="CU26" s="10"/>
    </row>
    <row r="27" spans="1:99" x14ac:dyDescent="0.25">
      <c r="A27" s="10"/>
      <c r="AR27" s="103"/>
      <c r="AS27" s="103"/>
      <c r="AT27" s="103"/>
      <c r="AU27" s="103"/>
      <c r="AV27" s="103"/>
      <c r="AW27" s="103"/>
      <c r="AX27" s="103"/>
      <c r="AY27" s="103"/>
      <c r="AZ27" s="103"/>
      <c r="BA27" s="103"/>
      <c r="BB27" s="103"/>
      <c r="BC27" s="103"/>
      <c r="BD27" s="103"/>
      <c r="BE27" s="103"/>
      <c r="BF27" s="103"/>
      <c r="BG27" s="103"/>
      <c r="BH27" s="24"/>
      <c r="CU27" s="10"/>
    </row>
    <row r="28" spans="1:99" x14ac:dyDescent="0.25">
      <c r="A28" s="10"/>
      <c r="AR28" s="103"/>
      <c r="AS28" s="103"/>
      <c r="AT28" s="103"/>
      <c r="AU28" s="103"/>
      <c r="AV28" s="103"/>
      <c r="AW28" s="103"/>
      <c r="AX28" s="103"/>
      <c r="AY28" s="103"/>
      <c r="AZ28" s="103"/>
      <c r="BA28" s="103"/>
      <c r="BB28" s="103"/>
      <c r="BC28" s="103"/>
      <c r="BD28" s="103"/>
      <c r="BE28" s="24"/>
      <c r="BF28" s="24"/>
      <c r="BG28" s="24"/>
      <c r="BH28" s="24"/>
      <c r="CU28" s="10"/>
    </row>
    <row r="29" spans="1:99" x14ac:dyDescent="0.25">
      <c r="A29" s="10"/>
      <c r="AR29" s="103"/>
      <c r="AS29" s="103"/>
      <c r="AT29" s="103"/>
      <c r="AU29" s="103"/>
      <c r="AV29" s="103"/>
      <c r="AW29" s="103"/>
      <c r="AX29" s="103"/>
      <c r="AY29" s="103"/>
      <c r="AZ29" s="103"/>
      <c r="BA29" s="103"/>
      <c r="BB29" s="103"/>
      <c r="BC29" s="103"/>
      <c r="BD29" s="24"/>
      <c r="BE29" s="24"/>
      <c r="BF29" s="24"/>
      <c r="BG29" s="24"/>
      <c r="BH29" s="24"/>
      <c r="CU29" s="10"/>
    </row>
    <row r="30" spans="1:99" x14ac:dyDescent="0.25">
      <c r="A30" s="10"/>
      <c r="AR30" s="103"/>
      <c r="AS30" s="103"/>
      <c r="AT30" s="103"/>
      <c r="AU30" s="103"/>
      <c r="AV30" s="103"/>
      <c r="AW30" s="103"/>
      <c r="AX30" s="24"/>
      <c r="AY30" s="24"/>
      <c r="AZ30" s="24"/>
      <c r="BA30" s="24"/>
      <c r="BB30" s="24"/>
      <c r="BC30" s="24"/>
      <c r="BD30" s="24"/>
      <c r="BE30" s="24"/>
      <c r="BF30" s="24"/>
      <c r="BG30" s="24"/>
      <c r="BH30" s="24"/>
      <c r="CU30" s="10"/>
    </row>
    <row r="31" spans="1:99" x14ac:dyDescent="0.25">
      <c r="A31" s="10"/>
      <c r="AR31" s="103"/>
      <c r="AS31" s="103"/>
      <c r="AT31" s="103"/>
      <c r="AU31" s="103"/>
      <c r="AV31" s="103"/>
      <c r="AW31" s="103"/>
      <c r="AX31" s="103"/>
      <c r="AY31" s="103"/>
      <c r="AZ31" s="103"/>
      <c r="BA31" s="103"/>
      <c r="BB31" s="103"/>
      <c r="BC31" s="103"/>
      <c r="BD31" s="103"/>
      <c r="BE31" s="24"/>
      <c r="BF31" s="24"/>
      <c r="BG31" s="24"/>
      <c r="BH31" s="24"/>
      <c r="CU31" s="10"/>
    </row>
    <row r="32" spans="1:99" x14ac:dyDescent="0.25">
      <c r="A32" s="10"/>
      <c r="AR32" s="103"/>
      <c r="AS32" s="103"/>
      <c r="AT32" s="103"/>
      <c r="AU32" s="103"/>
      <c r="AV32" s="103"/>
      <c r="AW32" s="103"/>
      <c r="AX32" s="103"/>
      <c r="AY32" s="24"/>
      <c r="AZ32" s="24"/>
      <c r="BA32" s="24"/>
      <c r="BB32" s="24"/>
      <c r="BC32" s="24"/>
      <c r="BD32" s="24"/>
      <c r="BE32" s="24"/>
      <c r="BF32" s="24"/>
      <c r="BG32" s="24"/>
      <c r="BH32" s="24"/>
      <c r="CU32" s="10"/>
    </row>
    <row r="33" spans="1:99" x14ac:dyDescent="0.25">
      <c r="A33" s="10"/>
      <c r="AR33" s="103"/>
      <c r="AS33" s="103"/>
      <c r="AT33" s="103"/>
      <c r="AU33" s="103"/>
      <c r="AV33" s="103"/>
      <c r="AW33" s="24"/>
      <c r="AX33" s="24"/>
      <c r="AY33" s="24"/>
      <c r="AZ33" s="24"/>
      <c r="BA33" s="24"/>
      <c r="BB33" s="24"/>
      <c r="BC33" s="24"/>
      <c r="BD33" s="24"/>
      <c r="BE33" s="24"/>
      <c r="BF33" s="24"/>
      <c r="BG33" s="24"/>
      <c r="BH33" s="24"/>
      <c r="CU33" s="10"/>
    </row>
    <row r="34" spans="1:99" x14ac:dyDescent="0.25">
      <c r="A34" s="10"/>
      <c r="AR34" s="103"/>
      <c r="AS34" s="103"/>
      <c r="AT34" s="103"/>
      <c r="AU34" s="103"/>
      <c r="AV34" s="103"/>
      <c r="AW34" s="103"/>
      <c r="AX34" s="103"/>
      <c r="AY34" s="103"/>
      <c r="AZ34" s="103"/>
      <c r="BA34" s="103"/>
      <c r="BB34" s="24"/>
      <c r="BC34" s="24"/>
      <c r="BD34" s="24"/>
      <c r="BE34" s="24"/>
      <c r="BF34" s="24"/>
      <c r="BG34" s="24"/>
      <c r="BH34" s="24"/>
      <c r="CU34" s="10"/>
    </row>
    <row r="35" spans="1:99" x14ac:dyDescent="0.25">
      <c r="A35" s="10"/>
      <c r="AR35" s="103"/>
      <c r="AS35" s="103"/>
      <c r="AT35" s="103"/>
      <c r="AU35" s="103"/>
      <c r="AV35" s="103"/>
      <c r="AW35" s="103"/>
      <c r="AX35" s="103"/>
      <c r="AY35" s="24"/>
      <c r="AZ35" s="24"/>
      <c r="BA35" s="24"/>
      <c r="BB35" s="24"/>
      <c r="BC35" s="24"/>
      <c r="BD35" s="24"/>
      <c r="BE35" s="24"/>
      <c r="BF35" s="24"/>
      <c r="BG35" s="24"/>
      <c r="BH35" s="24"/>
      <c r="CU35" s="10"/>
    </row>
    <row r="36" spans="1:99" x14ac:dyDescent="0.25">
      <c r="A36" s="10"/>
      <c r="AR36" s="103"/>
      <c r="AS36" s="103"/>
      <c r="AT36" s="103"/>
      <c r="AU36" s="103"/>
      <c r="AV36" s="103"/>
      <c r="AW36" s="103"/>
      <c r="AX36" s="103"/>
      <c r="AY36" s="103"/>
      <c r="AZ36" s="24"/>
      <c r="BA36" s="24"/>
      <c r="BB36" s="24"/>
      <c r="BC36" s="24"/>
      <c r="BD36" s="24"/>
      <c r="BE36" s="24"/>
      <c r="BF36" s="24"/>
      <c r="BG36" s="24"/>
      <c r="BH36" s="24"/>
      <c r="CU36" s="10"/>
    </row>
    <row r="37" spans="1:99" x14ac:dyDescent="0.25">
      <c r="A37" s="10"/>
      <c r="AR37" s="103"/>
      <c r="AS37" s="103"/>
      <c r="AT37" s="103"/>
      <c r="AU37" s="103"/>
      <c r="AV37" s="103"/>
      <c r="AW37" s="103"/>
      <c r="AX37" s="103"/>
      <c r="AY37" s="103"/>
      <c r="AZ37" s="103"/>
      <c r="BA37" s="103"/>
      <c r="BB37" s="24"/>
      <c r="BC37" s="24"/>
      <c r="BD37" s="24"/>
      <c r="BE37" s="24"/>
      <c r="BF37" s="24"/>
      <c r="BG37" s="24"/>
      <c r="BH37" s="24"/>
      <c r="CU37" s="10"/>
    </row>
    <row r="38" spans="1:99" x14ac:dyDescent="0.25">
      <c r="A38" s="10"/>
      <c r="AR38" s="103"/>
      <c r="AS38" s="103"/>
      <c r="AT38" s="103"/>
      <c r="AU38" s="103"/>
      <c r="AV38" s="103"/>
      <c r="AW38" s="103"/>
      <c r="AX38" s="103"/>
      <c r="AY38" s="103"/>
      <c r="AZ38" s="103"/>
      <c r="BA38" s="103"/>
      <c r="BB38" s="103"/>
      <c r="BC38" s="103"/>
      <c r="BD38" s="103"/>
      <c r="BE38" s="103"/>
      <c r="BF38" s="24"/>
      <c r="BG38" s="24"/>
      <c r="BH38" s="24"/>
      <c r="CU38" s="10"/>
    </row>
    <row r="39" spans="1:99" x14ac:dyDescent="0.25">
      <c r="A39" s="10"/>
      <c r="AR39" s="103"/>
      <c r="AS39" s="103"/>
      <c r="AT39" s="103"/>
      <c r="AU39" s="103"/>
      <c r="AV39" s="103"/>
      <c r="AW39" s="103"/>
      <c r="AX39" s="103"/>
      <c r="AY39" s="103"/>
      <c r="AZ39" s="103"/>
      <c r="BA39" s="103"/>
      <c r="BB39" s="103"/>
      <c r="BC39" s="103"/>
      <c r="BD39" s="24"/>
      <c r="BE39" s="24"/>
      <c r="BF39" s="24"/>
      <c r="BG39" s="24"/>
      <c r="BH39" s="24"/>
      <c r="CU39" s="10"/>
    </row>
    <row r="40" spans="1:99" x14ac:dyDescent="0.25">
      <c r="A40" s="10"/>
      <c r="AR40" s="103"/>
      <c r="AS40" s="103"/>
      <c r="AT40" s="103"/>
      <c r="AU40" s="103"/>
      <c r="AV40" s="103"/>
      <c r="AW40" s="103"/>
      <c r="AX40" s="103"/>
      <c r="AY40" s="103"/>
      <c r="AZ40" s="103"/>
      <c r="BA40" s="24"/>
      <c r="BB40" s="24"/>
      <c r="BC40" s="24"/>
      <c r="BD40" s="24"/>
      <c r="BE40" s="24"/>
      <c r="BF40" s="24"/>
      <c r="BG40" s="24"/>
      <c r="BH40" s="24"/>
      <c r="CU40" s="10"/>
    </row>
    <row r="41" spans="1:99" x14ac:dyDescent="0.25">
      <c r="A41" s="10"/>
      <c r="CU41" s="10"/>
    </row>
  </sheetData>
  <sortState ref="A3:CO28">
    <sortCondition ref="B3:B28"/>
    <sortCondition ref="C3:C28"/>
  </sortState>
  <mergeCells count="7">
    <mergeCell ref="BN1:CE1"/>
    <mergeCell ref="CG1:CX1"/>
    <mergeCell ref="B1:C1"/>
    <mergeCell ref="D1:Q1"/>
    <mergeCell ref="V1:Y1"/>
    <mergeCell ref="AA1:AP1"/>
    <mergeCell ref="AR1:BL1"/>
  </mergeCell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23"/>
  <sheetViews>
    <sheetView workbookViewId="0">
      <pane xSplit="1" ySplit="10" topLeftCell="B74" activePane="bottomRight" state="frozen"/>
      <selection pane="topRight" activeCell="B1" sqref="B1"/>
      <selection pane="bottomLeft" activeCell="A10" sqref="A10"/>
      <selection pane="bottomRight" activeCell="D307" sqref="D307"/>
    </sheetView>
  </sheetViews>
  <sheetFormatPr defaultColWidth="11" defaultRowHeight="15.75" x14ac:dyDescent="0.25"/>
  <cols>
    <col min="1" max="1" width="24.5" style="102" bestFit="1" customWidth="1"/>
    <col min="2" max="2" width="7.875" bestFit="1" customWidth="1"/>
  </cols>
  <sheetData>
    <row r="1" spans="1:2" x14ac:dyDescent="0.25">
      <c r="A1" s="50" t="s">
        <v>0</v>
      </c>
      <c r="B1" s="44" t="s">
        <v>235</v>
      </c>
    </row>
    <row r="2" spans="1:2" s="44" customFormat="1" x14ac:dyDescent="0.25">
      <c r="A2" s="50" t="s">
        <v>1</v>
      </c>
      <c r="B2" s="44" t="s">
        <v>236</v>
      </c>
    </row>
    <row r="3" spans="1:2" s="44" customFormat="1" x14ac:dyDescent="0.25">
      <c r="A3" s="50" t="s">
        <v>18</v>
      </c>
      <c r="B3" s="44" t="s">
        <v>19</v>
      </c>
    </row>
    <row r="4" spans="1:2" s="17" customFormat="1" x14ac:dyDescent="0.25">
      <c r="A4" s="51" t="s">
        <v>38</v>
      </c>
      <c r="B4" s="17">
        <v>73.2</v>
      </c>
    </row>
    <row r="5" spans="1:2" s="17" customFormat="1" x14ac:dyDescent="0.25">
      <c r="A5" s="51" t="s">
        <v>123</v>
      </c>
      <c r="B5" s="17">
        <v>47.3</v>
      </c>
    </row>
    <row r="6" spans="1:2" s="32" customFormat="1" x14ac:dyDescent="0.25">
      <c r="A6" s="52" t="s">
        <v>40</v>
      </c>
      <c r="B6" s="32">
        <v>0.64617486338797803</v>
      </c>
    </row>
    <row r="7" spans="1:2" s="54" customFormat="1" x14ac:dyDescent="0.25">
      <c r="A7" s="53" t="s">
        <v>140</v>
      </c>
      <c r="B7" s="54">
        <v>16.600000000000001</v>
      </c>
    </row>
    <row r="8" spans="1:2" s="32" customFormat="1" x14ac:dyDescent="0.25">
      <c r="A8" s="52" t="s">
        <v>141</v>
      </c>
      <c r="B8" s="32">
        <v>0.24620832999999998</v>
      </c>
    </row>
    <row r="9" spans="1:2" s="33" customFormat="1" x14ac:dyDescent="0.25">
      <c r="A9" s="53" t="s">
        <v>142</v>
      </c>
      <c r="B9" s="33">
        <v>7.961038460125776</v>
      </c>
    </row>
    <row r="10" spans="1:2" x14ac:dyDescent="0.25">
      <c r="A10" s="53" t="s">
        <v>43</v>
      </c>
      <c r="B10" s="33">
        <v>6.9</v>
      </c>
    </row>
    <row r="11" spans="1:2" x14ac:dyDescent="0.25">
      <c r="A11" s="55" t="s">
        <v>124</v>
      </c>
      <c r="B11" s="56"/>
    </row>
    <row r="12" spans="1:2" x14ac:dyDescent="0.25">
      <c r="A12" s="55" t="s">
        <v>64</v>
      </c>
      <c r="B12" s="37">
        <v>139867.70939731234</v>
      </c>
    </row>
    <row r="13" spans="1:2" x14ac:dyDescent="0.25">
      <c r="A13" s="55" t="s">
        <v>48</v>
      </c>
      <c r="B13" s="37">
        <v>1600.9999999999998</v>
      </c>
    </row>
    <row r="14" spans="1:2" x14ac:dyDescent="0.25">
      <c r="A14" s="55" t="s">
        <v>49</v>
      </c>
      <c r="B14" s="37">
        <v>649</v>
      </c>
    </row>
    <row r="15" spans="1:2" x14ac:dyDescent="0.25">
      <c r="A15" s="55" t="s">
        <v>50</v>
      </c>
      <c r="B15" s="37">
        <v>278</v>
      </c>
    </row>
    <row r="16" spans="1:2" x14ac:dyDescent="0.25">
      <c r="A16" s="55" t="s">
        <v>51</v>
      </c>
      <c r="B16" s="37">
        <v>125</v>
      </c>
    </row>
    <row r="17" spans="1:2" x14ac:dyDescent="0.25">
      <c r="A17" s="55" t="s">
        <v>52</v>
      </c>
      <c r="B17" s="37">
        <v>1</v>
      </c>
    </row>
    <row r="18" spans="1:2" x14ac:dyDescent="0.25">
      <c r="A18" s="55" t="s">
        <v>32</v>
      </c>
      <c r="B18" s="37">
        <v>137</v>
      </c>
    </row>
    <row r="19" spans="1:2" x14ac:dyDescent="0.25">
      <c r="A19" s="55" t="s">
        <v>53</v>
      </c>
      <c r="B19" s="37">
        <v>56.999999999999993</v>
      </c>
    </row>
    <row r="20" spans="1:2" x14ac:dyDescent="0.25">
      <c r="A20" s="55" t="s">
        <v>54</v>
      </c>
      <c r="B20" s="37">
        <v>33</v>
      </c>
    </row>
    <row r="21" spans="1:2" x14ac:dyDescent="0.25">
      <c r="A21" s="55" t="s">
        <v>55</v>
      </c>
      <c r="B21" s="37">
        <v>82</v>
      </c>
    </row>
    <row r="22" spans="1:2" x14ac:dyDescent="0.25">
      <c r="A22" s="55" t="s">
        <v>56</v>
      </c>
      <c r="B22" s="37">
        <v>78</v>
      </c>
    </row>
    <row r="23" spans="1:2" x14ac:dyDescent="0.25">
      <c r="A23" s="55" t="s">
        <v>57</v>
      </c>
      <c r="B23" s="37">
        <v>120</v>
      </c>
    </row>
    <row r="24" spans="1:2" x14ac:dyDescent="0.25">
      <c r="A24" s="55" t="s">
        <v>58</v>
      </c>
      <c r="B24" s="37">
        <v>76</v>
      </c>
    </row>
    <row r="25" spans="1:2" x14ac:dyDescent="0.25">
      <c r="A25" s="55" t="s">
        <v>59</v>
      </c>
      <c r="B25" s="37">
        <v>85</v>
      </c>
    </row>
    <row r="26" spans="1:2" x14ac:dyDescent="0.25">
      <c r="A26" s="55" t="s">
        <v>60</v>
      </c>
      <c r="B26" s="37">
        <v>49</v>
      </c>
    </row>
    <row r="27" spans="1:2" x14ac:dyDescent="0.25">
      <c r="A27" s="55" t="s">
        <v>63</v>
      </c>
      <c r="B27" s="37">
        <v>32</v>
      </c>
    </row>
    <row r="28" spans="1:2" x14ac:dyDescent="0.25">
      <c r="A28" s="55" t="s">
        <v>93</v>
      </c>
      <c r="B28" s="37">
        <v>23</v>
      </c>
    </row>
    <row r="29" spans="1:2" x14ac:dyDescent="0.25">
      <c r="A29" s="57" t="s">
        <v>125</v>
      </c>
      <c r="B29" s="58"/>
    </row>
    <row r="30" spans="1:2" x14ac:dyDescent="0.25">
      <c r="A30" s="57" t="s">
        <v>122</v>
      </c>
      <c r="B30" s="17">
        <v>0.61552082499999994</v>
      </c>
    </row>
    <row r="31" spans="1:2" x14ac:dyDescent="0.25">
      <c r="A31" s="57">
        <v>1</v>
      </c>
      <c r="B31" s="17">
        <v>1.4392538298505344</v>
      </c>
    </row>
    <row r="32" spans="1:2" x14ac:dyDescent="0.25">
      <c r="A32" s="57">
        <v>2</v>
      </c>
      <c r="B32" s="17">
        <v>2.080122699152156</v>
      </c>
    </row>
    <row r="33" spans="1:2" x14ac:dyDescent="0.25">
      <c r="A33" s="57">
        <v>3</v>
      </c>
      <c r="B33" s="17">
        <v>2.65</v>
      </c>
    </row>
    <row r="34" spans="1:2" x14ac:dyDescent="0.25">
      <c r="A34" s="57">
        <v>4</v>
      </c>
      <c r="B34" s="17">
        <v>2.77</v>
      </c>
    </row>
    <row r="35" spans="1:2" x14ac:dyDescent="0.25">
      <c r="A35" s="57">
        <v>5</v>
      </c>
      <c r="B35" s="17">
        <v>3.37</v>
      </c>
    </row>
    <row r="36" spans="1:2" x14ac:dyDescent="0.25">
      <c r="A36" s="57">
        <v>6</v>
      </c>
      <c r="B36" s="17">
        <v>4.1100000000000003</v>
      </c>
    </row>
    <row r="37" spans="1:2" x14ac:dyDescent="0.25">
      <c r="A37" s="57">
        <v>7</v>
      </c>
      <c r="B37" s="17">
        <v>4.5999999999999996</v>
      </c>
    </row>
    <row r="38" spans="1:2" x14ac:dyDescent="0.25">
      <c r="A38" s="57">
        <v>8</v>
      </c>
      <c r="B38" s="17">
        <v>4.7300000000000004</v>
      </c>
    </row>
    <row r="39" spans="1:2" x14ac:dyDescent="0.25">
      <c r="A39" s="57">
        <v>9</v>
      </c>
      <c r="B39" s="17">
        <v>4.6311901367840536</v>
      </c>
    </row>
    <row r="40" spans="1:2" x14ac:dyDescent="0.25">
      <c r="A40" s="57">
        <v>10</v>
      </c>
      <c r="B40" s="17">
        <v>3.36</v>
      </c>
    </row>
    <row r="41" spans="1:2" x14ac:dyDescent="0.25">
      <c r="A41" s="57">
        <v>11</v>
      </c>
      <c r="B41" s="17">
        <v>2.87</v>
      </c>
    </row>
    <row r="42" spans="1:2" x14ac:dyDescent="0.25">
      <c r="A42" s="57">
        <v>12</v>
      </c>
      <c r="B42" s="17">
        <v>3.81</v>
      </c>
    </row>
    <row r="43" spans="1:2" x14ac:dyDescent="0.25">
      <c r="A43" s="57" t="s">
        <v>15</v>
      </c>
      <c r="B43" s="17">
        <v>4.7300000000000004</v>
      </c>
    </row>
    <row r="44" spans="1:2" x14ac:dyDescent="0.25">
      <c r="A44" s="57" t="s">
        <v>16</v>
      </c>
      <c r="B44" s="17">
        <v>4.37</v>
      </c>
    </row>
    <row r="45" spans="1:2" x14ac:dyDescent="0.25">
      <c r="A45" s="57" t="s">
        <v>14</v>
      </c>
      <c r="B45" s="17">
        <v>4.5199999999999996</v>
      </c>
    </row>
    <row r="46" spans="1:2" x14ac:dyDescent="0.25">
      <c r="A46" s="57" t="s">
        <v>17</v>
      </c>
      <c r="B46" s="17">
        <v>3.9</v>
      </c>
    </row>
    <row r="47" spans="1:2" x14ac:dyDescent="0.25">
      <c r="A47" s="57" t="s">
        <v>139</v>
      </c>
      <c r="B47" s="17">
        <v>3.8600000000000003</v>
      </c>
    </row>
    <row r="48" spans="1:2" x14ac:dyDescent="0.25">
      <c r="A48" s="59" t="s">
        <v>126</v>
      </c>
      <c r="B48" s="60"/>
    </row>
    <row r="49" spans="1:2" x14ac:dyDescent="0.25">
      <c r="A49" s="59" t="s">
        <v>122</v>
      </c>
      <c r="B49" s="17">
        <v>0</v>
      </c>
    </row>
    <row r="50" spans="1:2" x14ac:dyDescent="0.25">
      <c r="A50" s="61">
        <v>1</v>
      </c>
      <c r="B50" s="17">
        <v>0</v>
      </c>
    </row>
    <row r="51" spans="1:2" x14ac:dyDescent="0.25">
      <c r="A51" s="62">
        <v>2</v>
      </c>
      <c r="B51" s="17">
        <v>0</v>
      </c>
    </row>
    <row r="52" spans="1:2" x14ac:dyDescent="0.25">
      <c r="A52" s="62">
        <v>3</v>
      </c>
      <c r="B52" s="17">
        <v>0</v>
      </c>
    </row>
    <row r="53" spans="1:2" x14ac:dyDescent="0.25">
      <c r="A53" s="62">
        <v>4</v>
      </c>
      <c r="B53" s="17">
        <v>4.59</v>
      </c>
    </row>
    <row r="54" spans="1:2" x14ac:dyDescent="0.25">
      <c r="A54" s="62">
        <v>5</v>
      </c>
      <c r="B54" s="17">
        <v>19.595595106990672</v>
      </c>
    </row>
    <row r="55" spans="1:2" x14ac:dyDescent="0.25">
      <c r="A55" s="62">
        <v>6</v>
      </c>
      <c r="B55" s="17">
        <v>25.61</v>
      </c>
    </row>
    <row r="56" spans="1:2" x14ac:dyDescent="0.25">
      <c r="A56" s="62">
        <v>7</v>
      </c>
      <c r="B56" s="17">
        <v>13.18</v>
      </c>
    </row>
    <row r="57" spans="1:2" x14ac:dyDescent="0.25">
      <c r="A57" s="62">
        <v>8</v>
      </c>
      <c r="B57" s="17">
        <v>38.24</v>
      </c>
    </row>
    <row r="58" spans="1:2" x14ac:dyDescent="0.25">
      <c r="A58" s="62">
        <v>9</v>
      </c>
      <c r="B58" s="17">
        <v>43.22</v>
      </c>
    </row>
    <row r="59" spans="1:2" x14ac:dyDescent="0.25">
      <c r="A59" s="62">
        <v>10</v>
      </c>
      <c r="B59" s="17">
        <v>50.31</v>
      </c>
    </row>
    <row r="60" spans="1:2" x14ac:dyDescent="0.25">
      <c r="A60" s="62">
        <v>11</v>
      </c>
      <c r="B60" s="17">
        <v>69.680000000000007</v>
      </c>
    </row>
    <row r="61" spans="1:2" x14ac:dyDescent="0.25">
      <c r="A61" s="62">
        <v>12</v>
      </c>
      <c r="B61" s="17">
        <v>75.489999999999995</v>
      </c>
    </row>
    <row r="62" spans="1:2" x14ac:dyDescent="0.25">
      <c r="A62" s="62" t="s">
        <v>15</v>
      </c>
      <c r="B62" s="17">
        <v>83.61</v>
      </c>
    </row>
    <row r="63" spans="1:2" x14ac:dyDescent="0.25">
      <c r="A63" s="62" t="s">
        <v>16</v>
      </c>
      <c r="B63" s="17">
        <v>95.93</v>
      </c>
    </row>
    <row r="64" spans="1:2" x14ac:dyDescent="0.25">
      <c r="A64" s="62" t="s">
        <v>14</v>
      </c>
      <c r="B64" s="17">
        <v>103.63</v>
      </c>
    </row>
    <row r="65" spans="1:2" x14ac:dyDescent="0.25">
      <c r="A65" s="62" t="s">
        <v>17</v>
      </c>
      <c r="B65" s="17">
        <v>119.76</v>
      </c>
    </row>
    <row r="66" spans="1:2" x14ac:dyDescent="0.25">
      <c r="A66" s="61" t="s">
        <v>139</v>
      </c>
      <c r="B66" s="17">
        <v>125.17</v>
      </c>
    </row>
    <row r="67" spans="1:2" x14ac:dyDescent="0.25">
      <c r="A67" s="63" t="s">
        <v>127</v>
      </c>
      <c r="B67" s="64"/>
    </row>
    <row r="68" spans="1:2" x14ac:dyDescent="0.25">
      <c r="A68" s="65" t="s">
        <v>122</v>
      </c>
      <c r="B68" s="66">
        <f t="shared" ref="B68" si="0">IF(B12&gt;0,B8/200,"")</f>
        <v>1.2310416499999998E-3</v>
      </c>
    </row>
    <row r="69" spans="1:2" x14ac:dyDescent="0.25">
      <c r="A69" s="65">
        <v>1</v>
      </c>
      <c r="B69" s="66">
        <f t="shared" ref="B69:B84" si="1">IF(B13&gt;0,$A69/200,"")</f>
        <v>5.0000000000000001E-3</v>
      </c>
    </row>
    <row r="70" spans="1:2" x14ac:dyDescent="0.25">
      <c r="A70" s="65">
        <v>2</v>
      </c>
      <c r="B70" s="66">
        <f t="shared" si="1"/>
        <v>0.01</v>
      </c>
    </row>
    <row r="71" spans="1:2" x14ac:dyDescent="0.25">
      <c r="A71" s="65">
        <v>3</v>
      </c>
      <c r="B71" s="66">
        <f t="shared" si="1"/>
        <v>1.4999999999999999E-2</v>
      </c>
    </row>
    <row r="72" spans="1:2" x14ac:dyDescent="0.25">
      <c r="A72" s="65">
        <v>4</v>
      </c>
      <c r="B72" s="66">
        <f t="shared" si="1"/>
        <v>0.02</v>
      </c>
    </row>
    <row r="73" spans="1:2" x14ac:dyDescent="0.25">
      <c r="A73" s="65">
        <v>5</v>
      </c>
      <c r="B73" s="66">
        <f t="shared" si="1"/>
        <v>2.5000000000000001E-2</v>
      </c>
    </row>
    <row r="74" spans="1:2" x14ac:dyDescent="0.25">
      <c r="A74" s="65">
        <v>6</v>
      </c>
      <c r="B74" s="66">
        <f t="shared" si="1"/>
        <v>0.03</v>
      </c>
    </row>
    <row r="75" spans="1:2" x14ac:dyDescent="0.25">
      <c r="A75" s="65">
        <v>7</v>
      </c>
      <c r="B75" s="66">
        <f t="shared" si="1"/>
        <v>3.5000000000000003E-2</v>
      </c>
    </row>
    <row r="76" spans="1:2" x14ac:dyDescent="0.25">
      <c r="A76" s="65">
        <v>8</v>
      </c>
      <c r="B76" s="66">
        <f t="shared" si="1"/>
        <v>0.04</v>
      </c>
    </row>
    <row r="77" spans="1:2" x14ac:dyDescent="0.25">
      <c r="A77" s="65">
        <v>9</v>
      </c>
      <c r="B77" s="66">
        <f t="shared" si="1"/>
        <v>4.4999999999999998E-2</v>
      </c>
    </row>
    <row r="78" spans="1:2" x14ac:dyDescent="0.25">
      <c r="A78" s="65">
        <v>10</v>
      </c>
      <c r="B78" s="66">
        <f t="shared" si="1"/>
        <v>0.05</v>
      </c>
    </row>
    <row r="79" spans="1:2" x14ac:dyDescent="0.25">
      <c r="A79" s="65">
        <v>11</v>
      </c>
      <c r="B79" s="66">
        <f t="shared" si="1"/>
        <v>5.5E-2</v>
      </c>
    </row>
    <row r="80" spans="1:2" x14ac:dyDescent="0.25">
      <c r="A80" s="65">
        <v>12</v>
      </c>
      <c r="B80" s="66">
        <f t="shared" si="1"/>
        <v>0.06</v>
      </c>
    </row>
    <row r="81" spans="1:2" x14ac:dyDescent="0.25">
      <c r="A81" s="65" t="s">
        <v>15</v>
      </c>
      <c r="B81" s="66">
        <f t="shared" si="1"/>
        <v>6.5000000000000002E-2</v>
      </c>
    </row>
    <row r="82" spans="1:2" x14ac:dyDescent="0.25">
      <c r="A82" s="65" t="s">
        <v>16</v>
      </c>
      <c r="B82" s="66">
        <f t="shared" si="1"/>
        <v>7.0000000000000007E-2</v>
      </c>
    </row>
    <row r="83" spans="1:2" x14ac:dyDescent="0.25">
      <c r="A83" s="65" t="s">
        <v>14</v>
      </c>
      <c r="B83" s="66">
        <f t="shared" si="1"/>
        <v>7.4999999999999997E-2</v>
      </c>
    </row>
    <row r="84" spans="1:2" x14ac:dyDescent="0.25">
      <c r="A84" s="65" t="s">
        <v>17</v>
      </c>
      <c r="B84" s="66">
        <f t="shared" si="1"/>
        <v>0.08</v>
      </c>
    </row>
    <row r="85" spans="1:2" x14ac:dyDescent="0.25">
      <c r="A85" s="65" t="s">
        <v>139</v>
      </c>
      <c r="B85" s="67">
        <f t="shared" ref="B85" si="2">B7/200</f>
        <v>8.3000000000000004E-2</v>
      </c>
    </row>
    <row r="86" spans="1:2" x14ac:dyDescent="0.25">
      <c r="A86" s="68" t="s">
        <v>128</v>
      </c>
      <c r="B86" s="69"/>
    </row>
    <row r="87" spans="1:2" x14ac:dyDescent="0.25">
      <c r="A87" s="70" t="s">
        <v>122</v>
      </c>
      <c r="B87" s="66">
        <f t="shared" ref="B87:B103" si="3">B68-B30/1000</f>
        <v>6.1552082499999989E-4</v>
      </c>
    </row>
    <row r="88" spans="1:2" x14ac:dyDescent="0.25">
      <c r="A88" s="70">
        <v>1</v>
      </c>
      <c r="B88" s="66">
        <f t="shared" si="3"/>
        <v>3.5607461701494657E-3</v>
      </c>
    </row>
    <row r="89" spans="1:2" x14ac:dyDescent="0.25">
      <c r="A89" s="70">
        <v>2</v>
      </c>
      <c r="B89" s="66">
        <f t="shared" si="3"/>
        <v>7.9198773008478437E-3</v>
      </c>
    </row>
    <row r="90" spans="1:2" x14ac:dyDescent="0.25">
      <c r="A90" s="70">
        <v>3</v>
      </c>
      <c r="B90" s="66">
        <f t="shared" si="3"/>
        <v>1.235E-2</v>
      </c>
    </row>
    <row r="91" spans="1:2" x14ac:dyDescent="0.25">
      <c r="A91" s="70">
        <v>4</v>
      </c>
      <c r="B91" s="66">
        <f t="shared" si="3"/>
        <v>1.7230000000000002E-2</v>
      </c>
    </row>
    <row r="92" spans="1:2" x14ac:dyDescent="0.25">
      <c r="A92" s="70">
        <v>5</v>
      </c>
      <c r="B92" s="66">
        <f t="shared" si="3"/>
        <v>2.163E-2</v>
      </c>
    </row>
    <row r="93" spans="1:2" x14ac:dyDescent="0.25">
      <c r="A93" s="70">
        <v>6</v>
      </c>
      <c r="B93" s="66">
        <f t="shared" si="3"/>
        <v>2.589E-2</v>
      </c>
    </row>
    <row r="94" spans="1:2" x14ac:dyDescent="0.25">
      <c r="A94" s="70">
        <v>7</v>
      </c>
      <c r="B94" s="66">
        <f t="shared" si="3"/>
        <v>3.0400000000000003E-2</v>
      </c>
    </row>
    <row r="95" spans="1:2" x14ac:dyDescent="0.25">
      <c r="A95" s="70">
        <v>8</v>
      </c>
      <c r="B95" s="66">
        <f t="shared" si="3"/>
        <v>3.5270000000000003E-2</v>
      </c>
    </row>
    <row r="96" spans="1:2" x14ac:dyDescent="0.25">
      <c r="A96" s="70">
        <v>9</v>
      </c>
      <c r="B96" s="66">
        <f t="shared" si="3"/>
        <v>4.0368809863215949E-2</v>
      </c>
    </row>
    <row r="97" spans="1:2" x14ac:dyDescent="0.25">
      <c r="A97" s="70">
        <v>10</v>
      </c>
      <c r="B97" s="66">
        <f t="shared" si="3"/>
        <v>4.6640000000000001E-2</v>
      </c>
    </row>
    <row r="98" spans="1:2" x14ac:dyDescent="0.25">
      <c r="A98" s="70">
        <v>11</v>
      </c>
      <c r="B98" s="66">
        <f t="shared" si="3"/>
        <v>5.2130000000000003E-2</v>
      </c>
    </row>
    <row r="99" spans="1:2" x14ac:dyDescent="0.25">
      <c r="A99" s="70">
        <v>12</v>
      </c>
      <c r="B99" s="66">
        <f t="shared" si="3"/>
        <v>5.6189999999999997E-2</v>
      </c>
    </row>
    <row r="100" spans="1:2" x14ac:dyDescent="0.25">
      <c r="A100" s="70" t="s">
        <v>15</v>
      </c>
      <c r="B100" s="66">
        <f t="shared" si="3"/>
        <v>6.0270000000000004E-2</v>
      </c>
    </row>
    <row r="101" spans="1:2" x14ac:dyDescent="0.25">
      <c r="A101" s="70" t="s">
        <v>16</v>
      </c>
      <c r="B101" s="66">
        <f t="shared" si="3"/>
        <v>6.5630000000000008E-2</v>
      </c>
    </row>
    <row r="102" spans="1:2" x14ac:dyDescent="0.25">
      <c r="A102" s="70" t="s">
        <v>14</v>
      </c>
      <c r="B102" s="66">
        <f t="shared" si="3"/>
        <v>7.0480000000000001E-2</v>
      </c>
    </row>
    <row r="103" spans="1:2" x14ac:dyDescent="0.25">
      <c r="A103" s="70" t="s">
        <v>17</v>
      </c>
      <c r="B103" s="66">
        <f t="shared" si="3"/>
        <v>7.6100000000000001E-2</v>
      </c>
    </row>
    <row r="104" spans="1:2" x14ac:dyDescent="0.25">
      <c r="A104" s="70" t="s">
        <v>139</v>
      </c>
      <c r="B104" s="66">
        <f t="shared" ref="B104" si="4">B85-B47/1000</f>
        <v>7.9140000000000002E-2</v>
      </c>
    </row>
    <row r="105" spans="1:2" x14ac:dyDescent="0.25">
      <c r="A105" s="71" t="s">
        <v>129</v>
      </c>
      <c r="B105" s="72"/>
    </row>
    <row r="106" spans="1:2" x14ac:dyDescent="0.25">
      <c r="A106" s="73" t="s">
        <v>122</v>
      </c>
      <c r="B106" s="66">
        <f t="shared" ref="B106:B122" si="5">IF(B49&gt;0,B49/2000,0)</f>
        <v>0</v>
      </c>
    </row>
    <row r="107" spans="1:2" x14ac:dyDescent="0.25">
      <c r="A107" s="73">
        <v>1</v>
      </c>
      <c r="B107" s="66">
        <f t="shared" si="5"/>
        <v>0</v>
      </c>
    </row>
    <row r="108" spans="1:2" x14ac:dyDescent="0.25">
      <c r="A108" s="73">
        <v>2</v>
      </c>
      <c r="B108" s="66">
        <f t="shared" si="5"/>
        <v>0</v>
      </c>
    </row>
    <row r="109" spans="1:2" x14ac:dyDescent="0.25">
      <c r="A109" s="73">
        <v>3</v>
      </c>
      <c r="B109" s="66">
        <f t="shared" si="5"/>
        <v>0</v>
      </c>
    </row>
    <row r="110" spans="1:2" x14ac:dyDescent="0.25">
      <c r="A110" s="73">
        <v>4</v>
      </c>
      <c r="B110" s="66">
        <f t="shared" si="5"/>
        <v>2.2949999999999997E-3</v>
      </c>
    </row>
    <row r="111" spans="1:2" x14ac:dyDescent="0.25">
      <c r="A111" s="73">
        <v>5</v>
      </c>
      <c r="B111" s="66">
        <f t="shared" si="5"/>
        <v>9.7977975534953351E-3</v>
      </c>
    </row>
    <row r="112" spans="1:2" x14ac:dyDescent="0.25">
      <c r="A112" s="73">
        <v>6</v>
      </c>
      <c r="B112" s="66">
        <f t="shared" si="5"/>
        <v>1.2805E-2</v>
      </c>
    </row>
    <row r="113" spans="1:2" x14ac:dyDescent="0.25">
      <c r="A113" s="73">
        <v>7</v>
      </c>
      <c r="B113" s="66">
        <f t="shared" si="5"/>
        <v>6.5899999999999995E-3</v>
      </c>
    </row>
    <row r="114" spans="1:2" x14ac:dyDescent="0.25">
      <c r="A114" s="73">
        <v>8</v>
      </c>
      <c r="B114" s="66">
        <f t="shared" si="5"/>
        <v>1.9120000000000002E-2</v>
      </c>
    </row>
    <row r="115" spans="1:2" x14ac:dyDescent="0.25">
      <c r="A115" s="73">
        <v>9</v>
      </c>
      <c r="B115" s="66">
        <f t="shared" si="5"/>
        <v>2.1610000000000001E-2</v>
      </c>
    </row>
    <row r="116" spans="1:2" x14ac:dyDescent="0.25">
      <c r="A116" s="73">
        <v>10</v>
      </c>
      <c r="B116" s="66">
        <f t="shared" si="5"/>
        <v>2.5155E-2</v>
      </c>
    </row>
    <row r="117" spans="1:2" x14ac:dyDescent="0.25">
      <c r="A117" s="73">
        <v>11</v>
      </c>
      <c r="B117" s="66">
        <f t="shared" si="5"/>
        <v>3.4840000000000003E-2</v>
      </c>
    </row>
    <row r="118" spans="1:2" x14ac:dyDescent="0.25">
      <c r="A118" s="73">
        <v>12</v>
      </c>
      <c r="B118" s="66">
        <f t="shared" si="5"/>
        <v>3.7745000000000001E-2</v>
      </c>
    </row>
    <row r="119" spans="1:2" x14ac:dyDescent="0.25">
      <c r="A119" s="73" t="s">
        <v>15</v>
      </c>
      <c r="B119" s="66">
        <f t="shared" si="5"/>
        <v>4.1805000000000002E-2</v>
      </c>
    </row>
    <row r="120" spans="1:2" x14ac:dyDescent="0.25">
      <c r="A120" s="73" t="s">
        <v>16</v>
      </c>
      <c r="B120" s="66">
        <f t="shared" si="5"/>
        <v>4.7965000000000001E-2</v>
      </c>
    </row>
    <row r="121" spans="1:2" x14ac:dyDescent="0.25">
      <c r="A121" s="73" t="s">
        <v>14</v>
      </c>
      <c r="B121" s="66">
        <f t="shared" si="5"/>
        <v>5.1815E-2</v>
      </c>
    </row>
    <row r="122" spans="1:2" x14ac:dyDescent="0.25">
      <c r="A122" s="73" t="s">
        <v>17</v>
      </c>
      <c r="B122" s="66">
        <f t="shared" si="5"/>
        <v>5.9880000000000003E-2</v>
      </c>
    </row>
    <row r="123" spans="1:2" x14ac:dyDescent="0.25">
      <c r="A123" s="73" t="s">
        <v>139</v>
      </c>
      <c r="B123" s="66">
        <f t="shared" ref="B123" si="6">IF(B66&gt;0,B66/2000,0)</f>
        <v>6.2585000000000002E-2</v>
      </c>
    </row>
    <row r="124" spans="1:2" x14ac:dyDescent="0.25">
      <c r="A124" s="74" t="s">
        <v>130</v>
      </c>
      <c r="B124" s="75"/>
    </row>
    <row r="125" spans="1:2" x14ac:dyDescent="0.25">
      <c r="A125" s="76" t="s">
        <v>122</v>
      </c>
      <c r="B125" s="66">
        <f t="shared" ref="B125:B141" si="7">IF(B87&gt;0,B87-B106,"")</f>
        <v>6.1552082499999989E-4</v>
      </c>
    </row>
    <row r="126" spans="1:2" x14ac:dyDescent="0.25">
      <c r="A126" s="76">
        <v>1</v>
      </c>
      <c r="B126" s="66">
        <f t="shared" si="7"/>
        <v>3.5607461701494657E-3</v>
      </c>
    </row>
    <row r="127" spans="1:2" x14ac:dyDescent="0.25">
      <c r="A127" s="76">
        <v>2</v>
      </c>
      <c r="B127" s="66">
        <f t="shared" si="7"/>
        <v>7.9198773008478437E-3</v>
      </c>
    </row>
    <row r="128" spans="1:2" x14ac:dyDescent="0.25">
      <c r="A128" s="76">
        <v>3</v>
      </c>
      <c r="B128" s="66">
        <f t="shared" si="7"/>
        <v>1.235E-2</v>
      </c>
    </row>
    <row r="129" spans="1:2" x14ac:dyDescent="0.25">
      <c r="A129" s="76">
        <v>4</v>
      </c>
      <c r="B129" s="66">
        <f t="shared" si="7"/>
        <v>1.4935000000000002E-2</v>
      </c>
    </row>
    <row r="130" spans="1:2" x14ac:dyDescent="0.25">
      <c r="A130" s="76">
        <v>5</v>
      </c>
      <c r="B130" s="66">
        <f t="shared" si="7"/>
        <v>1.1832202446504665E-2</v>
      </c>
    </row>
    <row r="131" spans="1:2" x14ac:dyDescent="0.25">
      <c r="A131" s="76">
        <v>6</v>
      </c>
      <c r="B131" s="66">
        <f t="shared" si="7"/>
        <v>1.3084999999999999E-2</v>
      </c>
    </row>
    <row r="132" spans="1:2" x14ac:dyDescent="0.25">
      <c r="A132" s="76">
        <v>7</v>
      </c>
      <c r="B132" s="66">
        <f t="shared" si="7"/>
        <v>2.3810000000000005E-2</v>
      </c>
    </row>
    <row r="133" spans="1:2" x14ac:dyDescent="0.25">
      <c r="A133" s="76">
        <v>8</v>
      </c>
      <c r="B133" s="66">
        <f t="shared" si="7"/>
        <v>1.6150000000000001E-2</v>
      </c>
    </row>
    <row r="134" spans="1:2" x14ac:dyDescent="0.25">
      <c r="A134" s="76">
        <v>9</v>
      </c>
      <c r="B134" s="66">
        <f t="shared" si="7"/>
        <v>1.8758809863215948E-2</v>
      </c>
    </row>
    <row r="135" spans="1:2" x14ac:dyDescent="0.25">
      <c r="A135" s="76">
        <v>10</v>
      </c>
      <c r="B135" s="66">
        <f t="shared" si="7"/>
        <v>2.1485000000000001E-2</v>
      </c>
    </row>
    <row r="136" spans="1:2" x14ac:dyDescent="0.25">
      <c r="A136" s="76">
        <v>11</v>
      </c>
      <c r="B136" s="66">
        <f t="shared" si="7"/>
        <v>1.729E-2</v>
      </c>
    </row>
    <row r="137" spans="1:2" x14ac:dyDescent="0.25">
      <c r="A137" s="76">
        <v>12</v>
      </c>
      <c r="B137" s="66">
        <f t="shared" si="7"/>
        <v>1.8444999999999996E-2</v>
      </c>
    </row>
    <row r="138" spans="1:2" x14ac:dyDescent="0.25">
      <c r="A138" s="76" t="s">
        <v>15</v>
      </c>
      <c r="B138" s="66">
        <f t="shared" si="7"/>
        <v>1.8465000000000002E-2</v>
      </c>
    </row>
    <row r="139" spans="1:2" x14ac:dyDescent="0.25">
      <c r="A139" s="76" t="s">
        <v>16</v>
      </c>
      <c r="B139" s="66">
        <f t="shared" si="7"/>
        <v>1.7665000000000007E-2</v>
      </c>
    </row>
    <row r="140" spans="1:2" x14ac:dyDescent="0.25">
      <c r="A140" s="76" t="s">
        <v>14</v>
      </c>
      <c r="B140" s="66">
        <f t="shared" si="7"/>
        <v>1.8665000000000001E-2</v>
      </c>
    </row>
    <row r="141" spans="1:2" x14ac:dyDescent="0.25">
      <c r="A141" s="76" t="s">
        <v>17</v>
      </c>
      <c r="B141" s="66">
        <f t="shared" si="7"/>
        <v>1.6219999999999998E-2</v>
      </c>
    </row>
    <row r="142" spans="1:2" x14ac:dyDescent="0.25">
      <c r="A142" s="76" t="s">
        <v>139</v>
      </c>
      <c r="B142" s="66">
        <f t="shared" ref="B142" si="8">IF(B104&gt;0,B104-B123,"")</f>
        <v>1.6555E-2</v>
      </c>
    </row>
    <row r="143" spans="1:2" ht="18" x14ac:dyDescent="0.25">
      <c r="A143" s="77" t="s">
        <v>131</v>
      </c>
      <c r="B143" s="78">
        <f>SUM(B144:B160)</f>
        <v>0.11146794469155326</v>
      </c>
    </row>
    <row r="144" spans="1:2" x14ac:dyDescent="0.25">
      <c r="A144" s="79" t="s">
        <v>64</v>
      </c>
      <c r="B144" s="66">
        <f>PI()*B68*B69*B12/100</f>
        <v>2.7046438585757625E-2</v>
      </c>
    </row>
    <row r="145" spans="1:2" x14ac:dyDescent="0.25">
      <c r="A145" s="79" t="s">
        <v>48</v>
      </c>
      <c r="B145" s="66">
        <f>PI()*B69*B70*B13/100</f>
        <v>2.5148449191986296E-3</v>
      </c>
    </row>
    <row r="146" spans="1:2" x14ac:dyDescent="0.25">
      <c r="A146" s="79" t="s">
        <v>49</v>
      </c>
      <c r="B146" s="66">
        <f t="shared" ref="B146:B160" si="9">PI()*B70*B71*B14/100</f>
        <v>3.0583404482696641E-3</v>
      </c>
    </row>
    <row r="147" spans="1:2" x14ac:dyDescent="0.25">
      <c r="A147" s="79" t="s">
        <v>50</v>
      </c>
      <c r="B147" s="66">
        <f t="shared" si="9"/>
        <v>2.6200882730938874E-3</v>
      </c>
    </row>
    <row r="148" spans="1:2" x14ac:dyDescent="0.25">
      <c r="A148" s="79" t="s">
        <v>51</v>
      </c>
      <c r="B148" s="66">
        <f t="shared" si="9"/>
        <v>1.9634954084936209E-3</v>
      </c>
    </row>
    <row r="149" spans="1:2" x14ac:dyDescent="0.25">
      <c r="A149" s="79" t="s">
        <v>52</v>
      </c>
      <c r="B149" s="66">
        <f t="shared" si="9"/>
        <v>2.356194490192345E-5</v>
      </c>
    </row>
    <row r="150" spans="1:2" x14ac:dyDescent="0.25">
      <c r="A150" s="79" t="s">
        <v>32</v>
      </c>
      <c r="B150" s="66">
        <f t="shared" si="9"/>
        <v>4.5191810321889179E-3</v>
      </c>
    </row>
    <row r="151" spans="1:2" x14ac:dyDescent="0.25">
      <c r="A151" s="79" t="s">
        <v>53</v>
      </c>
      <c r="B151" s="66">
        <f t="shared" si="9"/>
        <v>2.5069909375646554E-3</v>
      </c>
    </row>
    <row r="152" spans="1:2" x14ac:dyDescent="0.25">
      <c r="A152" s="79" t="s">
        <v>54</v>
      </c>
      <c r="B152" s="66">
        <f t="shared" si="9"/>
        <v>1.8661060362323372E-3</v>
      </c>
    </row>
    <row r="153" spans="1:2" x14ac:dyDescent="0.25">
      <c r="A153" s="79" t="s">
        <v>55</v>
      </c>
      <c r="B153" s="66">
        <f t="shared" si="9"/>
        <v>5.7962384458731687E-3</v>
      </c>
    </row>
    <row r="154" spans="1:2" x14ac:dyDescent="0.25">
      <c r="A154" s="79" t="s">
        <v>56</v>
      </c>
      <c r="B154" s="66">
        <f t="shared" si="9"/>
        <v>6.7387162419501071E-3</v>
      </c>
    </row>
    <row r="155" spans="1:2" x14ac:dyDescent="0.25">
      <c r="A155" s="79" t="s">
        <v>57</v>
      </c>
      <c r="B155" s="66">
        <f t="shared" si="9"/>
        <v>1.244070690821558E-2</v>
      </c>
    </row>
    <row r="156" spans="1:2" x14ac:dyDescent="0.25">
      <c r="A156" s="79" t="s">
        <v>58</v>
      </c>
      <c r="B156" s="66">
        <f t="shared" si="9"/>
        <v>9.3116806252401471E-3</v>
      </c>
    </row>
    <row r="157" spans="1:2" x14ac:dyDescent="0.25">
      <c r="A157" s="79" t="s">
        <v>59</v>
      </c>
      <c r="B157" s="66">
        <f t="shared" si="9"/>
        <v>1.2150109587758527E-2</v>
      </c>
    </row>
    <row r="158" spans="1:2" x14ac:dyDescent="0.25">
      <c r="A158" s="79" t="s">
        <v>60</v>
      </c>
      <c r="B158" s="66">
        <f t="shared" si="9"/>
        <v>8.0817471013597438E-3</v>
      </c>
    </row>
    <row r="159" spans="1:2" x14ac:dyDescent="0.25">
      <c r="A159" s="79" t="s">
        <v>63</v>
      </c>
      <c r="B159" s="66">
        <f t="shared" si="9"/>
        <v>6.0318578948924031E-3</v>
      </c>
    </row>
    <row r="160" spans="1:2" x14ac:dyDescent="0.25">
      <c r="A160" s="79" t="s">
        <v>93</v>
      </c>
      <c r="B160" s="66">
        <f t="shared" si="9"/>
        <v>4.7978403005623331E-3</v>
      </c>
    </row>
    <row r="161" spans="1:2" ht="18" x14ac:dyDescent="0.25">
      <c r="A161" s="80" t="s">
        <v>132</v>
      </c>
      <c r="B161" s="81">
        <f>SUM(B162:B178)</f>
        <v>8.0529990201101978E-2</v>
      </c>
    </row>
    <row r="162" spans="1:2" x14ac:dyDescent="0.25">
      <c r="A162" s="82" t="s">
        <v>64</v>
      </c>
      <c r="B162" s="66">
        <f t="shared" ref="B162:B178" si="10">PI()*B87*B88*B12/100</f>
        <v>9.6305502610419189E-3</v>
      </c>
    </row>
    <row r="163" spans="1:2" x14ac:dyDescent="0.25">
      <c r="A163" s="82" t="s">
        <v>48</v>
      </c>
      <c r="B163" s="66">
        <f t="shared" si="10"/>
        <v>1.4184063725238586E-3</v>
      </c>
    </row>
    <row r="164" spans="1:2" x14ac:dyDescent="0.25">
      <c r="A164" s="82" t="s">
        <v>49</v>
      </c>
      <c r="B164" s="66">
        <f t="shared" si="10"/>
        <v>1.9942517434484615E-3</v>
      </c>
    </row>
    <row r="165" spans="1:2" x14ac:dyDescent="0.25">
      <c r="A165" s="82" t="s">
        <v>50</v>
      </c>
      <c r="B165" s="66">
        <f t="shared" si="10"/>
        <v>1.8584329789192832E-3</v>
      </c>
    </row>
    <row r="166" spans="1:2" x14ac:dyDescent="0.25">
      <c r="A166" s="82" t="s">
        <v>51</v>
      </c>
      <c r="B166" s="66">
        <f t="shared" si="10"/>
        <v>1.4635301799298087E-3</v>
      </c>
    </row>
    <row r="167" spans="1:2" x14ac:dyDescent="0.25">
      <c r="A167" s="82" t="s">
        <v>52</v>
      </c>
      <c r="B167" s="66">
        <f t="shared" si="10"/>
        <v>1.7592940851251417E-5</v>
      </c>
    </row>
    <row r="168" spans="1:2" x14ac:dyDescent="0.25">
      <c r="A168" s="82" t="s">
        <v>32</v>
      </c>
      <c r="B168" s="66">
        <f t="shared" si="10"/>
        <v>3.3874748061623627E-3</v>
      </c>
    </row>
    <row r="169" spans="1:2" x14ac:dyDescent="0.25">
      <c r="A169" s="82" t="s">
        <v>53</v>
      </c>
      <c r="B169" s="66">
        <f t="shared" si="10"/>
        <v>1.920011242274517E-3</v>
      </c>
    </row>
    <row r="170" spans="1:2" x14ac:dyDescent="0.25">
      <c r="A170" s="82" t="s">
        <v>54</v>
      </c>
      <c r="B170" s="66">
        <f t="shared" si="10"/>
        <v>1.4760980895442994E-3</v>
      </c>
    </row>
    <row r="171" spans="1:2" x14ac:dyDescent="0.25">
      <c r="A171" s="82" t="s">
        <v>55</v>
      </c>
      <c r="B171" s="66">
        <f t="shared" si="10"/>
        <v>4.85029565988812E-3</v>
      </c>
    </row>
    <row r="172" spans="1:2" x14ac:dyDescent="0.25">
      <c r="A172" s="82" t="s">
        <v>56</v>
      </c>
      <c r="B172" s="66">
        <f t="shared" si="10"/>
        <v>5.9578661496708894E-3</v>
      </c>
    </row>
    <row r="173" spans="1:2" x14ac:dyDescent="0.25">
      <c r="A173" s="82" t="s">
        <v>57</v>
      </c>
      <c r="B173" s="66">
        <f t="shared" si="10"/>
        <v>1.1042766161433147E-2</v>
      </c>
    </row>
    <row r="174" spans="1:2" x14ac:dyDescent="0.25">
      <c r="A174" s="82" t="s">
        <v>58</v>
      </c>
      <c r="B174" s="66">
        <f t="shared" si="10"/>
        <v>8.085812912872907E-3</v>
      </c>
    </row>
    <row r="175" spans="1:2" x14ac:dyDescent="0.25">
      <c r="A175" s="82" t="s">
        <v>59</v>
      </c>
      <c r="B175" s="66">
        <f t="shared" si="10"/>
        <v>1.0562637954193752E-2</v>
      </c>
    </row>
    <row r="176" spans="1:2" x14ac:dyDescent="0.25">
      <c r="A176" s="82" t="s">
        <v>60</v>
      </c>
      <c r="B176" s="66">
        <f t="shared" si="10"/>
        <v>7.1205616739509845E-3</v>
      </c>
    </row>
    <row r="177" spans="1:2" x14ac:dyDescent="0.25">
      <c r="A177" s="82" t="s">
        <v>63</v>
      </c>
      <c r="B177" s="66">
        <f t="shared" si="10"/>
        <v>5.3920064518794102E-3</v>
      </c>
    </row>
    <row r="178" spans="1:2" x14ac:dyDescent="0.25">
      <c r="A178" s="82" t="s">
        <v>93</v>
      </c>
      <c r="B178" s="66">
        <f t="shared" si="10"/>
        <v>4.3516946225169995E-3</v>
      </c>
    </row>
    <row r="179" spans="1:2" ht="18" x14ac:dyDescent="0.25">
      <c r="A179" s="83" t="s">
        <v>133</v>
      </c>
      <c r="B179" s="84">
        <f>SUM(B180:B196)</f>
        <v>2.8389812869307272E-2</v>
      </c>
    </row>
    <row r="180" spans="1:2" x14ac:dyDescent="0.25">
      <c r="A180" s="85" t="s">
        <v>64</v>
      </c>
      <c r="B180" s="66">
        <f t="shared" ref="B180:B196" si="11">PI()*B106*B107*B12/100</f>
        <v>0</v>
      </c>
    </row>
    <row r="181" spans="1:2" x14ac:dyDescent="0.25">
      <c r="A181" s="85" t="s">
        <v>48</v>
      </c>
      <c r="B181" s="66">
        <f t="shared" si="11"/>
        <v>0</v>
      </c>
    </row>
    <row r="182" spans="1:2" x14ac:dyDescent="0.25">
      <c r="A182" s="85" t="s">
        <v>49</v>
      </c>
      <c r="B182" s="66">
        <f t="shared" si="11"/>
        <v>0</v>
      </c>
    </row>
    <row r="183" spans="1:2" x14ac:dyDescent="0.25">
      <c r="A183" s="85" t="s">
        <v>50</v>
      </c>
      <c r="B183" s="66">
        <f t="shared" si="11"/>
        <v>0</v>
      </c>
    </row>
    <row r="184" spans="1:2" x14ac:dyDescent="0.25">
      <c r="A184" s="85" t="s">
        <v>51</v>
      </c>
      <c r="B184" s="66">
        <f t="shared" si="11"/>
        <v>8.830210103923897E-5</v>
      </c>
    </row>
    <row r="185" spans="1:2" x14ac:dyDescent="0.25">
      <c r="A185" s="85" t="s">
        <v>52</v>
      </c>
      <c r="B185" s="66">
        <f t="shared" si="11"/>
        <v>3.9414672028146582E-6</v>
      </c>
    </row>
    <row r="186" spans="1:2" x14ac:dyDescent="0.25">
      <c r="A186" s="85" t="s">
        <v>32</v>
      </c>
      <c r="B186" s="66">
        <f t="shared" si="11"/>
        <v>3.6319130042115254E-4</v>
      </c>
    </row>
    <row r="187" spans="1:2" x14ac:dyDescent="0.25">
      <c r="A187" s="85" t="s">
        <v>53</v>
      </c>
      <c r="B187" s="66">
        <f t="shared" si="11"/>
        <v>2.2563061694706895E-4</v>
      </c>
    </row>
    <row r="188" spans="1:2" x14ac:dyDescent="0.25">
      <c r="A188" s="85" t="s">
        <v>54</v>
      </c>
      <c r="B188" s="66">
        <f t="shared" si="11"/>
        <v>4.2835759088321836E-4</v>
      </c>
    </row>
    <row r="189" spans="1:2" x14ac:dyDescent="0.25">
      <c r="A189" s="85" t="s">
        <v>55</v>
      </c>
      <c r="B189" s="66">
        <f t="shared" si="11"/>
        <v>1.4003700492752685E-3</v>
      </c>
    </row>
    <row r="190" spans="1:2" x14ac:dyDescent="0.25">
      <c r="A190" s="85" t="s">
        <v>56</v>
      </c>
      <c r="B190" s="66">
        <f t="shared" si="11"/>
        <v>2.1475680953412079E-3</v>
      </c>
    </row>
    <row r="191" spans="1:2" x14ac:dyDescent="0.25">
      <c r="A191" s="85" t="s">
        <v>57</v>
      </c>
      <c r="B191" s="66">
        <f t="shared" si="11"/>
        <v>4.9575681701850925E-3</v>
      </c>
    </row>
    <row r="192" spans="1:2" x14ac:dyDescent="0.25">
      <c r="A192" s="85" t="s">
        <v>58</v>
      </c>
      <c r="B192" s="66">
        <f t="shared" si="11"/>
        <v>3.7674814482751319E-3</v>
      </c>
    </row>
    <row r="193" spans="1:2" x14ac:dyDescent="0.25">
      <c r="A193" s="85" t="s">
        <v>59</v>
      </c>
      <c r="B193" s="66">
        <f t="shared" si="11"/>
        <v>5.3545314651832314E-3</v>
      </c>
    </row>
    <row r="194" spans="1:2" x14ac:dyDescent="0.25">
      <c r="A194" s="85" t="s">
        <v>60</v>
      </c>
      <c r="B194" s="66">
        <f t="shared" si="11"/>
        <v>3.8258320762517813E-3</v>
      </c>
    </row>
    <row r="195" spans="1:2" x14ac:dyDescent="0.25">
      <c r="A195" s="85" t="s">
        <v>63</v>
      </c>
      <c r="B195" s="66">
        <f t="shared" si="11"/>
        <v>3.1191563539020219E-3</v>
      </c>
    </row>
    <row r="196" spans="1:2" x14ac:dyDescent="0.25">
      <c r="A196" s="85" t="s">
        <v>93</v>
      </c>
      <c r="B196" s="66">
        <f t="shared" si="11"/>
        <v>2.7078821344000497E-3</v>
      </c>
    </row>
    <row r="197" spans="1:2" ht="18" x14ac:dyDescent="0.25">
      <c r="A197" s="86" t="s">
        <v>134</v>
      </c>
      <c r="B197" s="87">
        <f>SUM(B198:B214)</f>
        <v>3.0937954490451298E-2</v>
      </c>
    </row>
    <row r="198" spans="1:2" x14ac:dyDescent="0.25">
      <c r="A198" s="88" t="s">
        <v>64</v>
      </c>
      <c r="B198" s="66">
        <f t="shared" ref="B198" si="12">IF(B144-B162&gt;0,B144-B162,"")</f>
        <v>1.7415888324715707E-2</v>
      </c>
    </row>
    <row r="199" spans="1:2" x14ac:dyDescent="0.25">
      <c r="A199" s="88" t="s">
        <v>48</v>
      </c>
      <c r="B199" s="66">
        <f t="shared" ref="B199" si="13">IF(B145-B163&gt;0,B145-B163,"")</f>
        <v>1.0964385466747709E-3</v>
      </c>
    </row>
    <row r="200" spans="1:2" x14ac:dyDescent="0.25">
      <c r="A200" s="88" t="s">
        <v>49</v>
      </c>
      <c r="B200" s="66">
        <f t="shared" ref="B200" si="14">IF(B146-B164&gt;0,B146-B164,"")</f>
        <v>1.0640887048212026E-3</v>
      </c>
    </row>
    <row r="201" spans="1:2" x14ac:dyDescent="0.25">
      <c r="A201" s="88" t="s">
        <v>50</v>
      </c>
      <c r="B201" s="66">
        <f t="shared" ref="B201" si="15">IF(B147-B165&gt;0,B147-B165,"")</f>
        <v>7.6165529417460414E-4</v>
      </c>
    </row>
    <row r="202" spans="1:2" x14ac:dyDescent="0.25">
      <c r="A202" s="88" t="s">
        <v>51</v>
      </c>
      <c r="B202" s="66">
        <f t="shared" ref="B202" si="16">IF(B148-B166&gt;0,B148-B166,"")</f>
        <v>4.9996522856381219E-4</v>
      </c>
    </row>
    <row r="203" spans="1:2" x14ac:dyDescent="0.25">
      <c r="A203" s="88" t="s">
        <v>52</v>
      </c>
      <c r="B203" s="66">
        <f t="shared" ref="B203" si="17">IF(B149-B167&gt;0,B149-B167,"")</f>
        <v>5.9690040506720326E-6</v>
      </c>
    </row>
    <row r="204" spans="1:2" x14ac:dyDescent="0.25">
      <c r="A204" s="88" t="s">
        <v>32</v>
      </c>
      <c r="B204" s="66">
        <f t="shared" ref="B204" si="18">IF(B150-B168&gt;0,B150-B168,"")</f>
        <v>1.1317062260265552E-3</v>
      </c>
    </row>
    <row r="205" spans="1:2" x14ac:dyDescent="0.25">
      <c r="A205" s="88" t="s">
        <v>53</v>
      </c>
      <c r="B205" s="66">
        <f t="shared" ref="B205" si="19">IF(B151-B169&gt;0,B151-B169,"")</f>
        <v>5.8697969529013846E-4</v>
      </c>
    </row>
    <row r="206" spans="1:2" x14ac:dyDescent="0.25">
      <c r="A206" s="88" t="s">
        <v>54</v>
      </c>
      <c r="B206" s="66">
        <f t="shared" ref="B206" si="20">IF(B152-B170&gt;0,B152-B170,"")</f>
        <v>3.900079466880378E-4</v>
      </c>
    </row>
    <row r="207" spans="1:2" x14ac:dyDescent="0.25">
      <c r="A207" s="88" t="s">
        <v>55</v>
      </c>
      <c r="B207" s="66">
        <f t="shared" ref="B207" si="21">IF(B153-B171&gt;0,B153-B171,"")</f>
        <v>9.4594278598504871E-4</v>
      </c>
    </row>
    <row r="208" spans="1:2" x14ac:dyDescent="0.25">
      <c r="A208" s="88" t="s">
        <v>56</v>
      </c>
      <c r="B208" s="66">
        <f t="shared" ref="B208" si="22">IF(B154-B172&gt;0,B154-B172,"")</f>
        <v>7.8085009227921772E-4</v>
      </c>
    </row>
    <row r="209" spans="1:2" x14ac:dyDescent="0.25">
      <c r="A209" s="88" t="s">
        <v>57</v>
      </c>
      <c r="B209" s="66">
        <f t="shared" ref="B209" si="23">IF(B155-B173&gt;0,B155-B173,"")</f>
        <v>1.3979407467824331E-3</v>
      </c>
    </row>
    <row r="210" spans="1:2" x14ac:dyDescent="0.25">
      <c r="A210" s="88" t="s">
        <v>58</v>
      </c>
      <c r="B210" s="66">
        <f t="shared" ref="B210" si="24">IF(B156-B174&gt;0,B156-B174,"")</f>
        <v>1.2258677123672401E-3</v>
      </c>
    </row>
    <row r="211" spans="1:2" x14ac:dyDescent="0.25">
      <c r="A211" s="88" t="s">
        <v>59</v>
      </c>
      <c r="B211" s="66">
        <f t="shared" ref="B211" si="25">IF(B157-B175&gt;0,B157-B175,"")</f>
        <v>1.5874716335647753E-3</v>
      </c>
    </row>
    <row r="212" spans="1:2" x14ac:dyDescent="0.25">
      <c r="A212" s="88" t="s">
        <v>60</v>
      </c>
      <c r="B212" s="66">
        <f t="shared" ref="B212" si="26">IF(B158-B176&gt;0,B158-B176,"")</f>
        <v>9.6118542740875924E-4</v>
      </c>
    </row>
    <row r="213" spans="1:2" x14ac:dyDescent="0.25">
      <c r="A213" s="88" t="s">
        <v>63</v>
      </c>
      <c r="B213" s="66">
        <f t="shared" ref="B213" si="27">IF(B159-B177&gt;0,B159-B177,"")</f>
        <v>6.3985144301299292E-4</v>
      </c>
    </row>
    <row r="214" spans="1:2" x14ac:dyDescent="0.25">
      <c r="A214" s="88" t="s">
        <v>93</v>
      </c>
      <c r="B214" s="66">
        <f t="shared" ref="B214" si="28">IF(B160-B178&gt;0,B160-B178,"")</f>
        <v>4.4614567804533364E-4</v>
      </c>
    </row>
    <row r="215" spans="1:2" ht="18" x14ac:dyDescent="0.25">
      <c r="A215" s="89" t="s">
        <v>135</v>
      </c>
      <c r="B215" s="90">
        <f>SUM(B216:B232)</f>
        <v>5.2140177331794699E-2</v>
      </c>
    </row>
    <row r="216" spans="1:2" x14ac:dyDescent="0.25">
      <c r="A216" s="91" t="s">
        <v>64</v>
      </c>
      <c r="B216" s="66">
        <f t="shared" ref="B216" si="29">IF(B162-B180&gt;0,B162-B180,"")</f>
        <v>9.6305502610419189E-3</v>
      </c>
    </row>
    <row r="217" spans="1:2" x14ac:dyDescent="0.25">
      <c r="A217" s="91" t="s">
        <v>48</v>
      </c>
      <c r="B217" s="66">
        <f t="shared" ref="B217" si="30">IF(B163-B181&gt;0,B163-B181,"")</f>
        <v>1.4184063725238586E-3</v>
      </c>
    </row>
    <row r="218" spans="1:2" x14ac:dyDescent="0.25">
      <c r="A218" s="91" t="s">
        <v>49</v>
      </c>
      <c r="B218" s="66">
        <f t="shared" ref="B218" si="31">IF(B164-B182&gt;0,B164-B182,"")</f>
        <v>1.9942517434484615E-3</v>
      </c>
    </row>
    <row r="219" spans="1:2" x14ac:dyDescent="0.25">
      <c r="A219" s="91" t="s">
        <v>50</v>
      </c>
      <c r="B219" s="66">
        <f t="shared" ref="B219" si="32">IF(B165-B183&gt;0,B165-B183,"")</f>
        <v>1.8584329789192832E-3</v>
      </c>
    </row>
    <row r="220" spans="1:2" x14ac:dyDescent="0.25">
      <c r="A220" s="91" t="s">
        <v>51</v>
      </c>
      <c r="B220" s="66">
        <f t="shared" ref="B220" si="33">IF(B166-B184&gt;0,B166-B184,"")</f>
        <v>1.3752280788905697E-3</v>
      </c>
    </row>
    <row r="221" spans="1:2" x14ac:dyDescent="0.25">
      <c r="A221" s="91" t="s">
        <v>52</v>
      </c>
      <c r="B221" s="66">
        <f t="shared" ref="B221" si="34">IF(B167-B185&gt;0,B167-B185,"")</f>
        <v>1.3651473648436758E-5</v>
      </c>
    </row>
    <row r="222" spans="1:2" x14ac:dyDescent="0.25">
      <c r="A222" s="91" t="s">
        <v>32</v>
      </c>
      <c r="B222" s="66">
        <f t="shared" ref="B222" si="35">IF(B168-B186&gt;0,B168-B186,"")</f>
        <v>3.0242835057412102E-3</v>
      </c>
    </row>
    <row r="223" spans="1:2" x14ac:dyDescent="0.25">
      <c r="A223" s="91" t="s">
        <v>53</v>
      </c>
      <c r="B223" s="66">
        <f t="shared" ref="B223" si="36">IF(B169-B187&gt;0,B169-B187,"")</f>
        <v>1.6943806253274479E-3</v>
      </c>
    </row>
    <row r="224" spans="1:2" x14ac:dyDescent="0.25">
      <c r="A224" s="91" t="s">
        <v>54</v>
      </c>
      <c r="B224" s="66">
        <f t="shared" ref="B224" si="37">IF(B170-B188&gt;0,B170-B188,"")</f>
        <v>1.0477404986610811E-3</v>
      </c>
    </row>
    <row r="225" spans="1:2" x14ac:dyDescent="0.25">
      <c r="A225" s="91" t="s">
        <v>55</v>
      </c>
      <c r="B225" s="66">
        <f t="shared" ref="B225" si="38">IF(B171-B189&gt;0,B171-B189,"")</f>
        <v>3.4499256106128515E-3</v>
      </c>
    </row>
    <row r="226" spans="1:2" x14ac:dyDescent="0.25">
      <c r="A226" s="91" t="s">
        <v>56</v>
      </c>
      <c r="B226" s="66">
        <f t="shared" ref="B226" si="39">IF(B172-B190&gt;0,B172-B190,"")</f>
        <v>3.8102980543296815E-3</v>
      </c>
    </row>
    <row r="227" spans="1:2" x14ac:dyDescent="0.25">
      <c r="A227" s="91" t="s">
        <v>57</v>
      </c>
      <c r="B227" s="66">
        <f t="shared" ref="B227" si="40">IF(B173-B191&gt;0,B173-B191,"")</f>
        <v>6.0851979912480546E-3</v>
      </c>
    </row>
    <row r="228" spans="1:2" x14ac:dyDescent="0.25">
      <c r="A228" s="91" t="s">
        <v>58</v>
      </c>
      <c r="B228" s="66">
        <f t="shared" ref="B228" si="41">IF(B174-B192&gt;0,B174-B192,"")</f>
        <v>4.3183314645977751E-3</v>
      </c>
    </row>
    <row r="229" spans="1:2" x14ac:dyDescent="0.25">
      <c r="A229" s="91" t="s">
        <v>59</v>
      </c>
      <c r="B229" s="66">
        <f t="shared" ref="B229" si="42">IF(B175-B193&gt;0,B175-B193,"")</f>
        <v>5.2081064890105201E-3</v>
      </c>
    </row>
    <row r="230" spans="1:2" x14ac:dyDescent="0.25">
      <c r="A230" s="91" t="s">
        <v>60</v>
      </c>
      <c r="B230" s="66">
        <f t="shared" ref="B230" si="43">IF(B176-B194&gt;0,B176-B194,"")</f>
        <v>3.2947295976992032E-3</v>
      </c>
    </row>
    <row r="231" spans="1:2" x14ac:dyDescent="0.25">
      <c r="A231" s="91" t="s">
        <v>63</v>
      </c>
      <c r="B231" s="66">
        <f t="shared" ref="B231" si="44">IF(B177-B195&gt;0,B177-B195,"")</f>
        <v>2.2728500979773882E-3</v>
      </c>
    </row>
    <row r="232" spans="1:2" x14ac:dyDescent="0.25">
      <c r="A232" s="91" t="s">
        <v>93</v>
      </c>
      <c r="B232" s="66">
        <f t="shared" ref="B232" si="45">IF(B178-B196&gt;0,B178-B196,"")</f>
        <v>1.6438124881169498E-3</v>
      </c>
    </row>
    <row r="233" spans="1:2" ht="18" x14ac:dyDescent="0.25">
      <c r="A233" s="92" t="s">
        <v>136</v>
      </c>
      <c r="B233" s="93">
        <f>SUM(B234:B250)</f>
        <v>26.084205439403956</v>
      </c>
    </row>
    <row r="234" spans="1:2" x14ac:dyDescent="0.25">
      <c r="A234" s="94" t="s">
        <v>64</v>
      </c>
      <c r="B234" s="66">
        <f t="shared" ref="B234" si="46">IF(2*PI()*(B12/100)*SQRT(B68*B69)&gt;0,2*PI()*(B12/100)*SQRT(B68*B69),"")</f>
        <v>21.803123080252419</v>
      </c>
    </row>
    <row r="235" spans="1:2" x14ac:dyDescent="0.25">
      <c r="A235" s="94" t="s">
        <v>48</v>
      </c>
      <c r="B235" s="66">
        <f t="shared" ref="B235:B250" si="47">IF(2*PI()*(B13/100)*SQRT(B69*B70)&gt;0,2*PI()*(B13/100)*SQRT(B69*B70),"")</f>
        <v>0.71130555839915433</v>
      </c>
    </row>
    <row r="236" spans="1:2" x14ac:dyDescent="0.25">
      <c r="A236" s="94" t="s">
        <v>49</v>
      </c>
      <c r="B236" s="66">
        <f t="shared" si="47"/>
        <v>0.4994249038650298</v>
      </c>
    </row>
    <row r="237" spans="1:2" x14ac:dyDescent="0.25">
      <c r="A237" s="94" t="s">
        <v>50</v>
      </c>
      <c r="B237" s="66">
        <f t="shared" si="47"/>
        <v>0.30254173395426748</v>
      </c>
    </row>
    <row r="238" spans="1:2" x14ac:dyDescent="0.25">
      <c r="A238" s="94" t="s">
        <v>51</v>
      </c>
      <c r="B238" s="66">
        <f t="shared" si="47"/>
        <v>0.17562036827601815</v>
      </c>
    </row>
    <row r="239" spans="1:2" x14ac:dyDescent="0.25">
      <c r="A239" s="94" t="s">
        <v>52</v>
      </c>
      <c r="B239" s="66">
        <f t="shared" si="47"/>
        <v>1.7207211628636431E-3</v>
      </c>
    </row>
    <row r="240" spans="1:2" x14ac:dyDescent="0.25">
      <c r="A240" s="94" t="s">
        <v>32</v>
      </c>
      <c r="B240" s="66">
        <f t="shared" si="47"/>
        <v>0.27892990894075775</v>
      </c>
    </row>
    <row r="241" spans="1:2" x14ac:dyDescent="0.25">
      <c r="A241" s="94" t="s">
        <v>53</v>
      </c>
      <c r="B241" s="66">
        <f t="shared" si="47"/>
        <v>0.13400430228734456</v>
      </c>
    </row>
    <row r="242" spans="1:2" x14ac:dyDescent="0.25">
      <c r="A242" s="94" t="s">
        <v>54</v>
      </c>
      <c r="B242" s="66">
        <f t="shared" si="47"/>
        <v>8.7969082175535659E-2</v>
      </c>
    </row>
    <row r="243" spans="1:2" x14ac:dyDescent="0.25">
      <c r="A243" s="94" t="s">
        <v>55</v>
      </c>
      <c r="B243" s="66">
        <f t="shared" si="47"/>
        <v>0.24439087133858403</v>
      </c>
    </row>
    <row r="244" spans="1:2" x14ac:dyDescent="0.25">
      <c r="A244" s="94" t="s">
        <v>56</v>
      </c>
      <c r="B244" s="66">
        <f t="shared" si="47"/>
        <v>0.25700455344964301</v>
      </c>
    </row>
    <row r="245" spans="1:2" x14ac:dyDescent="0.25">
      <c r="A245" s="94" t="s">
        <v>57</v>
      </c>
      <c r="B245" s="66">
        <f t="shared" si="47"/>
        <v>0.43312981940280509</v>
      </c>
    </row>
    <row r="246" spans="1:2" x14ac:dyDescent="0.25">
      <c r="A246" s="94" t="s">
        <v>58</v>
      </c>
      <c r="B246" s="66">
        <f t="shared" si="47"/>
        <v>0.29821244546846082</v>
      </c>
    </row>
    <row r="247" spans="1:2" x14ac:dyDescent="0.25">
      <c r="A247" s="94" t="s">
        <v>59</v>
      </c>
      <c r="B247" s="66">
        <f t="shared" si="47"/>
        <v>0.36025041717133999</v>
      </c>
    </row>
    <row r="248" spans="1:2" x14ac:dyDescent="0.25">
      <c r="A248" s="94" t="s">
        <v>60</v>
      </c>
      <c r="B248" s="66">
        <f t="shared" si="47"/>
        <v>0.22307741335853043</v>
      </c>
    </row>
    <row r="249" spans="1:2" x14ac:dyDescent="0.25">
      <c r="A249" s="94" t="s">
        <v>63</v>
      </c>
      <c r="B249" s="66">
        <f t="shared" si="47"/>
        <v>0.1557419011573867</v>
      </c>
    </row>
    <row r="250" spans="1:2" x14ac:dyDescent="0.25">
      <c r="A250" s="94" t="s">
        <v>93</v>
      </c>
      <c r="B250" s="66">
        <f t="shared" si="47"/>
        <v>0.11775835874381135</v>
      </c>
    </row>
    <row r="251" spans="1:2" ht="18" x14ac:dyDescent="0.25">
      <c r="A251" s="95" t="s">
        <v>137</v>
      </c>
      <c r="B251" s="96">
        <f>SUM(B252:B268)</f>
        <v>16.748616543605472</v>
      </c>
    </row>
    <row r="252" spans="1:2" x14ac:dyDescent="0.25">
      <c r="A252" s="97" t="s">
        <v>64</v>
      </c>
      <c r="B252" s="66">
        <f t="shared" ref="B252" si="48">2*PI()*(B12/100)*SQRT(B87*B88)</f>
        <v>13.010357021464555</v>
      </c>
    </row>
    <row r="253" spans="1:2" x14ac:dyDescent="0.25">
      <c r="A253" s="97" t="s">
        <v>48</v>
      </c>
      <c r="B253" s="66">
        <f t="shared" ref="B253:B268" si="49">2*PI()*(B13/100)*SQRT(B88*B89)</f>
        <v>0.53419637282936194</v>
      </c>
    </row>
    <row r="254" spans="1:2" x14ac:dyDescent="0.25">
      <c r="A254" s="97" t="s">
        <v>49</v>
      </c>
      <c r="B254" s="66">
        <f t="shared" si="49"/>
        <v>0.40328983030473181</v>
      </c>
    </row>
    <row r="255" spans="1:2" x14ac:dyDescent="0.25">
      <c r="A255" s="97" t="s">
        <v>50</v>
      </c>
      <c r="B255" s="66">
        <f t="shared" si="49"/>
        <v>0.25480079681710449</v>
      </c>
    </row>
    <row r="256" spans="1:2" x14ac:dyDescent="0.25">
      <c r="A256" s="97" t="s">
        <v>51</v>
      </c>
      <c r="B256" s="66">
        <f t="shared" si="49"/>
        <v>0.15162149685276219</v>
      </c>
    </row>
    <row r="257" spans="1:2" x14ac:dyDescent="0.25">
      <c r="A257" s="97" t="s">
        <v>52</v>
      </c>
      <c r="B257" s="66">
        <f t="shared" si="49"/>
        <v>1.486873952066297E-3</v>
      </c>
    </row>
    <row r="258" spans="1:2" x14ac:dyDescent="0.25">
      <c r="A258" s="97" t="s">
        <v>32</v>
      </c>
      <c r="B258" s="66">
        <f t="shared" si="49"/>
        <v>0.24149228039344414</v>
      </c>
    </row>
    <row r="259" spans="1:2" x14ac:dyDescent="0.25">
      <c r="A259" s="97" t="s">
        <v>53</v>
      </c>
      <c r="B259" s="66">
        <f t="shared" si="49"/>
        <v>0.1172719767330197</v>
      </c>
    </row>
    <row r="260" spans="1:2" x14ac:dyDescent="0.25">
      <c r="A260" s="97" t="s">
        <v>54</v>
      </c>
      <c r="B260" s="66">
        <f t="shared" si="49"/>
        <v>7.8238319042520307E-2</v>
      </c>
    </row>
    <row r="261" spans="1:2" x14ac:dyDescent="0.25">
      <c r="A261" s="97" t="s">
        <v>55</v>
      </c>
      <c r="B261" s="66">
        <f t="shared" si="49"/>
        <v>0.22356095933352257</v>
      </c>
    </row>
    <row r="262" spans="1:2" x14ac:dyDescent="0.25">
      <c r="A262" s="97" t="s">
        <v>56</v>
      </c>
      <c r="B262" s="66">
        <f t="shared" si="49"/>
        <v>0.24165601214093019</v>
      </c>
    </row>
    <row r="263" spans="1:2" x14ac:dyDescent="0.25">
      <c r="A263" s="97" t="s">
        <v>57</v>
      </c>
      <c r="B263" s="66">
        <f t="shared" si="49"/>
        <v>0.40806983548251635</v>
      </c>
    </row>
    <row r="264" spans="1:2" x14ac:dyDescent="0.25">
      <c r="A264" s="97" t="s">
        <v>58</v>
      </c>
      <c r="B264" s="66">
        <f t="shared" si="49"/>
        <v>0.27789041824784882</v>
      </c>
    </row>
    <row r="265" spans="1:2" x14ac:dyDescent="0.25">
      <c r="A265" s="97" t="s">
        <v>59</v>
      </c>
      <c r="B265" s="66">
        <f t="shared" si="49"/>
        <v>0.33589272054934582</v>
      </c>
    </row>
    <row r="266" spans="1:2" x14ac:dyDescent="0.25">
      <c r="A266" s="97" t="s">
        <v>60</v>
      </c>
      <c r="B266" s="66">
        <f t="shared" si="49"/>
        <v>0.20939200633945462</v>
      </c>
    </row>
    <row r="267" spans="1:2" x14ac:dyDescent="0.25">
      <c r="A267" s="97" t="s">
        <v>63</v>
      </c>
      <c r="B267" s="66">
        <f t="shared" si="49"/>
        <v>0.14724993873474582</v>
      </c>
    </row>
    <row r="268" spans="1:2" x14ac:dyDescent="0.25">
      <c r="A268" s="97" t="s">
        <v>93</v>
      </c>
      <c r="B268" s="66">
        <f t="shared" si="49"/>
        <v>0.11214968438753792</v>
      </c>
    </row>
    <row r="269" spans="1:2" ht="18" x14ac:dyDescent="0.25">
      <c r="A269" s="98" t="s">
        <v>138</v>
      </c>
      <c r="B269" s="99">
        <f>SUM(B270:B286)</f>
        <v>1.5207867096036047</v>
      </c>
    </row>
    <row r="270" spans="1:2" x14ac:dyDescent="0.25">
      <c r="A270" s="100" t="s">
        <v>64</v>
      </c>
      <c r="B270" s="66">
        <f t="shared" ref="B270" si="50">2*PI()*(B12/100)*SQRT(B106*B107)</f>
        <v>0</v>
      </c>
    </row>
    <row r="271" spans="1:2" x14ac:dyDescent="0.25">
      <c r="A271" s="100" t="s">
        <v>48</v>
      </c>
      <c r="B271" s="66">
        <f t="shared" ref="B271:B286" si="51">2*PI()*(B13/100)*SQRT(B107*B108)</f>
        <v>0</v>
      </c>
    </row>
    <row r="272" spans="1:2" x14ac:dyDescent="0.25">
      <c r="A272" s="100" t="s">
        <v>49</v>
      </c>
      <c r="B272" s="66">
        <f t="shared" si="51"/>
        <v>0</v>
      </c>
    </row>
    <row r="273" spans="1:2" x14ac:dyDescent="0.25">
      <c r="A273" s="100" t="s">
        <v>50</v>
      </c>
      <c r="B273" s="66">
        <f t="shared" si="51"/>
        <v>0</v>
      </c>
    </row>
    <row r="274" spans="1:2" x14ac:dyDescent="0.25">
      <c r="A274" s="100" t="s">
        <v>51</v>
      </c>
      <c r="B274" s="66">
        <f t="shared" si="51"/>
        <v>3.7243068611583066E-2</v>
      </c>
    </row>
    <row r="275" spans="1:2" x14ac:dyDescent="0.25">
      <c r="A275" s="100" t="s">
        <v>52</v>
      </c>
      <c r="B275" s="66">
        <f t="shared" si="51"/>
        <v>7.0377508932123033E-4</v>
      </c>
    </row>
    <row r="276" spans="1:2" x14ac:dyDescent="0.25">
      <c r="A276" s="100" t="s">
        <v>32</v>
      </c>
      <c r="B276" s="66">
        <f t="shared" si="51"/>
        <v>7.9073859046175782E-2</v>
      </c>
    </row>
    <row r="277" spans="1:2" x14ac:dyDescent="0.25">
      <c r="A277" s="100" t="s">
        <v>53</v>
      </c>
      <c r="B277" s="66">
        <f t="shared" si="51"/>
        <v>4.020141830914583E-2</v>
      </c>
    </row>
    <row r="278" spans="1:2" x14ac:dyDescent="0.25">
      <c r="A278" s="100" t="s">
        <v>54</v>
      </c>
      <c r="B278" s="66">
        <f t="shared" si="51"/>
        <v>4.2146851365542679E-2</v>
      </c>
    </row>
    <row r="279" spans="1:2" x14ac:dyDescent="0.25">
      <c r="A279" s="100" t="s">
        <v>55</v>
      </c>
      <c r="B279" s="66">
        <f t="shared" si="51"/>
        <v>0.12012496247608978</v>
      </c>
    </row>
    <row r="280" spans="1:2" x14ac:dyDescent="0.25">
      <c r="A280" s="100" t="s">
        <v>56</v>
      </c>
      <c r="B280" s="66">
        <f t="shared" si="51"/>
        <v>0.14508606601735474</v>
      </c>
    </row>
    <row r="281" spans="1:2" x14ac:dyDescent="0.25">
      <c r="A281" s="100" t="s">
        <v>57</v>
      </c>
      <c r="B281" s="66">
        <f t="shared" si="51"/>
        <v>0.27341976294151743</v>
      </c>
    </row>
    <row r="282" spans="1:2" x14ac:dyDescent="0.25">
      <c r="A282" s="100" t="s">
        <v>58</v>
      </c>
      <c r="B282" s="66">
        <f t="shared" si="51"/>
        <v>0.18968687830983047</v>
      </c>
    </row>
    <row r="283" spans="1:2" x14ac:dyDescent="0.25">
      <c r="A283" s="100" t="s">
        <v>59</v>
      </c>
      <c r="B283" s="66">
        <f t="shared" si="51"/>
        <v>0.23915261409626928</v>
      </c>
    </row>
    <row r="284" spans="1:2" x14ac:dyDescent="0.25">
      <c r="A284" s="100" t="s">
        <v>60</v>
      </c>
      <c r="B284" s="66">
        <f t="shared" si="51"/>
        <v>0.15348499487395087</v>
      </c>
    </row>
    <row r="285" spans="1:2" x14ac:dyDescent="0.25">
      <c r="A285" s="100" t="s">
        <v>63</v>
      </c>
      <c r="B285" s="66">
        <f t="shared" si="51"/>
        <v>0.11199496381143727</v>
      </c>
    </row>
    <row r="286" spans="1:2" x14ac:dyDescent="0.25">
      <c r="A286" s="100" t="s">
        <v>93</v>
      </c>
      <c r="B286" s="66">
        <f t="shared" si="51"/>
        <v>8.8467494655386211E-2</v>
      </c>
    </row>
    <row r="287" spans="1:2" x14ac:dyDescent="0.25">
      <c r="A287" s="70" t="s">
        <v>155</v>
      </c>
      <c r="B287" s="142" t="e">
        <f>SUM(B288:B304)</f>
        <v>#REF!</v>
      </c>
    </row>
    <row r="288" spans="1:2" x14ac:dyDescent="0.25">
      <c r="A288" s="70" t="s">
        <v>64</v>
      </c>
      <c r="B288" s="66" t="e">
        <f t="shared" ref="B288:B304" si="52">IF(B144&gt;0,B144*B306,"")</f>
        <v>#REF!</v>
      </c>
    </row>
    <row r="289" spans="1:2" x14ac:dyDescent="0.25">
      <c r="A289" s="70" t="s">
        <v>48</v>
      </c>
      <c r="B289" s="66">
        <f t="shared" si="52"/>
        <v>1.1748717848652759</v>
      </c>
    </row>
    <row r="290" spans="1:2" x14ac:dyDescent="0.25">
      <c r="A290" s="70" t="s">
        <v>49</v>
      </c>
      <c r="B290" s="66">
        <f t="shared" si="52"/>
        <v>1.4751180539451287</v>
      </c>
    </row>
    <row r="291" spans="1:2" x14ac:dyDescent="0.25">
      <c r="A291" s="70" t="s">
        <v>50</v>
      </c>
      <c r="B291" s="66">
        <f t="shared" si="52"/>
        <v>1.3026437967211211</v>
      </c>
    </row>
    <row r="292" spans="1:2" x14ac:dyDescent="0.25">
      <c r="A292" s="70" t="s">
        <v>51</v>
      </c>
      <c r="B292" s="66">
        <f t="shared" si="52"/>
        <v>1.0051692676045627</v>
      </c>
    </row>
    <row r="293" spans="1:2" x14ac:dyDescent="0.25">
      <c r="A293" s="70" t="s">
        <v>52</v>
      </c>
      <c r="B293" s="66">
        <f t="shared" si="52"/>
        <v>1.2408624338738638E-2</v>
      </c>
    </row>
    <row r="294" spans="1:2" x14ac:dyDescent="0.25">
      <c r="A294" s="70" t="s">
        <v>32</v>
      </c>
      <c r="B294" s="66">
        <f t="shared" si="52"/>
        <v>2.446346572912808</v>
      </c>
    </row>
    <row r="295" spans="1:2" x14ac:dyDescent="0.25">
      <c r="A295" s="70" t="s">
        <v>53</v>
      </c>
      <c r="B295" s="66">
        <f t="shared" si="52"/>
        <v>1.393882580407922</v>
      </c>
    </row>
    <row r="296" spans="1:2" x14ac:dyDescent="0.25">
      <c r="A296" s="70" t="s">
        <v>54</v>
      </c>
      <c r="B296" s="66">
        <f t="shared" si="52"/>
        <v>1.0649165775679978</v>
      </c>
    </row>
    <row r="297" spans="1:2" x14ac:dyDescent="0.25">
      <c r="A297" s="70" t="s">
        <v>55</v>
      </c>
      <c r="B297" s="66">
        <f t="shared" si="52"/>
        <v>3.3926572094241778</v>
      </c>
    </row>
    <row r="298" spans="1:2" x14ac:dyDescent="0.25">
      <c r="A298" s="70" t="s">
        <v>56</v>
      </c>
      <c r="B298" s="66">
        <f t="shared" si="52"/>
        <v>4.0430562877515355</v>
      </c>
    </row>
    <row r="299" spans="1:2" x14ac:dyDescent="0.25">
      <c r="A299" s="70" t="s">
        <v>57</v>
      </c>
      <c r="B299" s="66">
        <f t="shared" si="52"/>
        <v>7.646367174122382</v>
      </c>
    </row>
    <row r="300" spans="1:2" x14ac:dyDescent="0.25">
      <c r="A300" s="70" t="s">
        <v>58</v>
      </c>
      <c r="B300" s="66">
        <f t="shared" si="52"/>
        <v>5.8595886258861274</v>
      </c>
    </row>
    <row r="301" spans="1:2" x14ac:dyDescent="0.25">
      <c r="A301" s="70" t="s">
        <v>59</v>
      </c>
      <c r="B301" s="66">
        <f t="shared" si="52"/>
        <v>7.8236885041912414</v>
      </c>
    </row>
    <row r="302" spans="1:2" x14ac:dyDescent="0.25">
      <c r="A302" s="70" t="s">
        <v>60</v>
      </c>
      <c r="B302" s="66">
        <f t="shared" si="52"/>
        <v>5.3223469484739976</v>
      </c>
    </row>
    <row r="303" spans="1:2" x14ac:dyDescent="0.25">
      <c r="A303" s="70" t="s">
        <v>63</v>
      </c>
      <c r="B303" s="66">
        <f t="shared" si="52"/>
        <v>4.0606915789054234</v>
      </c>
    </row>
    <row r="304" spans="1:2" x14ac:dyDescent="0.25">
      <c r="A304" s="70" t="s">
        <v>93</v>
      </c>
      <c r="B304" s="66">
        <f t="shared" si="52"/>
        <v>3.3001943242068208</v>
      </c>
    </row>
    <row r="305" spans="1:5" ht="18" x14ac:dyDescent="0.25">
      <c r="A305" s="50" t="s">
        <v>152</v>
      </c>
      <c r="B305" s="101"/>
    </row>
    <row r="306" spans="1:5" x14ac:dyDescent="0.25">
      <c r="A306" s="136" t="s">
        <v>64</v>
      </c>
      <c r="B306" s="37" t="e">
        <f>LN(B9)*#REF!+#REF!</f>
        <v>#REF!</v>
      </c>
    </row>
    <row r="307" spans="1:5" x14ac:dyDescent="0.25">
      <c r="A307" s="141">
        <f>SQRT(1*2)</f>
        <v>1.4142135623730951</v>
      </c>
      <c r="B307" s="37">
        <f>14.6353806679465*$A307+0.897204487813718*497.63136300664</f>
        <v>467.17464599751776</v>
      </c>
      <c r="C307" s="132"/>
      <c r="E307" s="132"/>
    </row>
    <row r="308" spans="1:5" x14ac:dyDescent="0.25">
      <c r="A308" s="141">
        <f>SQRT(2*3)</f>
        <v>2.4494897427831779</v>
      </c>
      <c r="B308" s="37">
        <f t="shared" ref="B308:B322" si="53">14.6353806679465*$A308+0.897204487813718*497.63136300664</f>
        <v>482.32630699427699</v>
      </c>
    </row>
    <row r="309" spans="1:5" x14ac:dyDescent="0.25">
      <c r="A309" s="141">
        <f>SQRT(3*4)</f>
        <v>3.4641016151377544</v>
      </c>
      <c r="B309" s="37">
        <f t="shared" si="53"/>
        <v>497.17553797640414</v>
      </c>
    </row>
    <row r="310" spans="1:5" x14ac:dyDescent="0.25">
      <c r="A310" s="141">
        <f>SQRT(4*5)</f>
        <v>4.4721359549995796</v>
      </c>
      <c r="B310" s="37">
        <f t="shared" si="53"/>
        <v>511.92850426664415</v>
      </c>
    </row>
    <row r="311" spans="1:5" x14ac:dyDescent="0.25">
      <c r="A311" s="141">
        <f>SQRT(5*6)</f>
        <v>5.4772255750516612</v>
      </c>
      <c r="B311" s="37">
        <f t="shared" si="53"/>
        <v>526.63837346150808</v>
      </c>
    </row>
    <row r="312" spans="1:5" x14ac:dyDescent="0.25">
      <c r="A312" s="141">
        <f>SQRT(6*7)</f>
        <v>6.4807406984078604</v>
      </c>
      <c r="B312" s="37">
        <f t="shared" si="53"/>
        <v>541.32519929786736</v>
      </c>
    </row>
    <row r="313" spans="1:5" x14ac:dyDescent="0.25">
      <c r="A313" s="141">
        <f>SQRT(7*8)</f>
        <v>7.4833147735478827</v>
      </c>
      <c r="B313" s="37">
        <f t="shared" si="53"/>
        <v>555.99825253535596</v>
      </c>
    </row>
    <row r="314" spans="1:5" x14ac:dyDescent="0.25">
      <c r="A314" s="141">
        <f>SQRT(8*9)</f>
        <v>8.4852813742385695</v>
      </c>
      <c r="B314" s="37">
        <f t="shared" si="53"/>
        <v>570.6624151530325</v>
      </c>
    </row>
    <row r="315" spans="1:5" x14ac:dyDescent="0.25">
      <c r="A315" s="141">
        <f>SQRT(9*10)</f>
        <v>9.4868329805051381</v>
      </c>
      <c r="B315" s="37">
        <f t="shared" si="53"/>
        <v>585.32050416933703</v>
      </c>
    </row>
    <row r="316" spans="1:5" x14ac:dyDescent="0.25">
      <c r="A316" s="141">
        <f>SQRT(10*11)</f>
        <v>10.488088481701515</v>
      </c>
      <c r="B316" s="37">
        <f t="shared" si="53"/>
        <v>599.97425957522159</v>
      </c>
    </row>
    <row r="317" spans="1:5" x14ac:dyDescent="0.25">
      <c r="A317" s="141">
        <f>SQRT(11*12)</f>
        <v>11.489125293076057</v>
      </c>
      <c r="B317" s="37">
        <f t="shared" si="53"/>
        <v>614.62481437231531</v>
      </c>
    </row>
    <row r="318" spans="1:5" x14ac:dyDescent="0.25">
      <c r="A318" s="141">
        <f>SQRT(12*13)</f>
        <v>12.489995996796797</v>
      </c>
      <c r="B318" s="37">
        <f t="shared" si="53"/>
        <v>629.27293812066387</v>
      </c>
    </row>
    <row r="319" spans="1:5" x14ac:dyDescent="0.25">
      <c r="A319" s="141">
        <f>SQRT(13*14)</f>
        <v>13.490737563232042</v>
      </c>
      <c r="B319" s="37">
        <f t="shared" si="53"/>
        <v>643.91917189568073</v>
      </c>
    </row>
    <row r="320" spans="1:5" x14ac:dyDescent="0.25">
      <c r="A320" s="141">
        <f>SQRT(14*15)</f>
        <v>14.491376746189438</v>
      </c>
      <c r="B320" s="37">
        <f t="shared" si="53"/>
        <v>658.56390724952519</v>
      </c>
    </row>
    <row r="321" spans="1:2" x14ac:dyDescent="0.25">
      <c r="A321" s="141">
        <f>SQRT(15*16)</f>
        <v>15.491933384829668</v>
      </c>
      <c r="B321" s="37">
        <f t="shared" si="53"/>
        <v>673.2074345358659</v>
      </c>
    </row>
    <row r="322" spans="1:2" x14ac:dyDescent="0.25">
      <c r="A322" s="141">
        <f>SQRT(16*17)</f>
        <v>16.492422502470642</v>
      </c>
      <c r="B322" s="37">
        <f t="shared" si="53"/>
        <v>687.84997362667946</v>
      </c>
    </row>
    <row r="323" spans="1:2" x14ac:dyDescent="0.25">
      <c r="A323" s="50"/>
      <c r="B323" s="101"/>
    </row>
  </sheetData>
  <pageMargins left="0.75" right="0.75" top="1" bottom="1" header="0.5" footer="0.5"/>
  <pageSetup orientation="portrait" horizontalDpi="4294967292" verticalDpi="429496729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3"/>
  <sheetViews>
    <sheetView zoomScale="90" zoomScaleNormal="90" workbookViewId="0">
      <pane xSplit="3" ySplit="2" topLeftCell="BF3" activePane="bottomRight" state="frozen"/>
      <selection pane="topRight" activeCell="D1" sqref="D1"/>
      <selection pane="bottomLeft" activeCell="A3" sqref="A3"/>
      <selection pane="bottomRight" activeCell="BK3" sqref="BK3"/>
    </sheetView>
  </sheetViews>
  <sheetFormatPr defaultColWidth="11" defaultRowHeight="15.75" x14ac:dyDescent="0.25"/>
  <cols>
    <col min="1" max="1" width="3.875" customWidth="1"/>
    <col min="2" max="2" width="21.625" style="44" bestFit="1" customWidth="1"/>
    <col min="3" max="3" width="6.75" style="44" bestFit="1" customWidth="1"/>
    <col min="4" max="4" width="17.25" style="17" bestFit="1" customWidth="1"/>
    <col min="5" max="6" width="7.375" style="17" bestFit="1" customWidth="1"/>
    <col min="7" max="7" width="7.875" style="17" bestFit="1" customWidth="1"/>
    <col min="8" max="8" width="11.125" style="161" bestFit="1" customWidth="1"/>
    <col min="9" max="9" width="13.875" style="17" bestFit="1" customWidth="1"/>
    <col min="10" max="11" width="5.5" style="17" bestFit="1" customWidth="1"/>
    <col min="12" max="12" width="5.875" style="17" bestFit="1" customWidth="1"/>
    <col min="13" max="13" width="8.875" style="161" bestFit="1" customWidth="1"/>
    <col min="14" max="14" width="7.375" style="17" bestFit="1" customWidth="1"/>
    <col min="15" max="15" width="6.75" style="37" bestFit="1" customWidth="1"/>
    <col min="16" max="16" width="13.625" style="37" bestFit="1" customWidth="1"/>
    <col min="17" max="17" width="12.5" style="37" bestFit="1" customWidth="1"/>
    <col min="18" max="18" width="7.125" style="37" customWidth="1"/>
    <col min="19" max="19" width="15.25" style="34" bestFit="1" customWidth="1"/>
    <col min="20" max="20" width="17.75" style="34" bestFit="1" customWidth="1"/>
    <col min="21" max="21" width="14" style="34" bestFit="1" customWidth="1"/>
    <col min="22" max="22" width="16.375" style="34" bestFit="1" customWidth="1"/>
    <col min="23" max="23" width="15.125" style="34" bestFit="1" customWidth="1"/>
    <col min="24" max="24" width="17.625" style="34" bestFit="1" customWidth="1"/>
    <col min="25" max="25" width="13.875" style="34" bestFit="1" customWidth="1"/>
    <col min="26" max="26" width="16.25" style="34" bestFit="1" customWidth="1"/>
    <col min="27" max="27" width="10.125" style="37" bestFit="1" customWidth="1"/>
    <col min="28" max="28" width="11.5" style="37" bestFit="1" customWidth="1"/>
    <col min="29" max="29" width="13.125" style="38" bestFit="1" customWidth="1"/>
    <col min="30" max="30" width="11.75" style="38" bestFit="1" customWidth="1"/>
    <col min="31" max="31" width="12.75" style="32" bestFit="1" customWidth="1"/>
    <col min="32" max="32" width="11.5" style="32" bestFit="1" customWidth="1"/>
    <col min="33" max="33" width="16.625" style="32" bestFit="1" customWidth="1"/>
    <col min="34" max="34" width="15.375" style="32" bestFit="1" customWidth="1"/>
    <col min="35" max="35" width="18.125" style="32" bestFit="1" customWidth="1"/>
    <col min="36" max="36" width="16.75" style="32" bestFit="1" customWidth="1"/>
    <col min="37" max="37" width="13.375" style="32" bestFit="1" customWidth="1"/>
    <col min="38" max="38" width="12" style="32" bestFit="1" customWidth="1"/>
    <col min="39" max="39" width="15.125" style="32" bestFit="1" customWidth="1"/>
    <col min="40" max="40" width="13.5" style="32" bestFit="1" customWidth="1"/>
    <col min="41" max="41" width="14.875" style="32" bestFit="1" customWidth="1"/>
    <col min="42" max="42" width="13.25" style="32" bestFit="1" customWidth="1"/>
    <col min="43" max="43" width="18.75" style="32" bestFit="1" customWidth="1"/>
    <col min="44" max="44" width="17.125" style="32" bestFit="1" customWidth="1"/>
    <col min="45" max="45" width="20.125" style="32" bestFit="1" customWidth="1"/>
    <col min="46" max="46" width="18.5" style="32" bestFit="1" customWidth="1"/>
    <col min="47" max="47" width="15.375" style="32" bestFit="1" customWidth="1"/>
    <col min="48" max="48" width="13.75" style="32" bestFit="1" customWidth="1"/>
    <col min="49" max="49" width="12.5" style="32" bestFit="1" customWidth="1"/>
    <col min="50" max="50" width="10.875" style="32" bestFit="1" customWidth="1"/>
    <col min="51" max="51" width="12.25" style="32" bestFit="1" customWidth="1"/>
    <col min="52" max="52" width="10.625" style="32" bestFit="1" customWidth="1"/>
    <col min="53" max="53" width="17.875" style="32" bestFit="1" customWidth="1"/>
    <col min="54" max="54" width="16.125" style="32" bestFit="1" customWidth="1"/>
    <col min="55" max="55" width="11.625" style="32" bestFit="1" customWidth="1"/>
    <col min="56" max="56" width="18.25" style="32" bestFit="1" customWidth="1"/>
    <col min="57" max="57" width="13.125" style="32" bestFit="1" customWidth="1"/>
    <col min="58" max="58" width="11.75" style="32" bestFit="1" customWidth="1"/>
    <col min="59" max="59" width="12.75" style="32" bestFit="1" customWidth="1"/>
    <col min="60" max="60" width="11.5" style="32" bestFit="1" customWidth="1"/>
    <col min="61" max="61" width="16.625" style="32" bestFit="1" customWidth="1"/>
    <col min="62" max="62" width="15.375" style="32" bestFit="1" customWidth="1"/>
    <col min="63" max="63" width="18.125" style="32" bestFit="1" customWidth="1"/>
    <col min="64" max="64" width="16.75" style="32" bestFit="1" customWidth="1"/>
    <col min="65" max="65" width="13.375" style="32" bestFit="1" customWidth="1"/>
    <col min="66" max="66" width="12" style="32" bestFit="1" customWidth="1"/>
    <col min="67" max="67" width="15.125" style="32" bestFit="1" customWidth="1"/>
    <col min="68" max="68" width="13.5" style="32" bestFit="1" customWidth="1"/>
    <col min="69" max="69" width="14.875" style="32" bestFit="1" customWidth="1"/>
    <col min="70" max="70" width="13.25" style="32" bestFit="1" customWidth="1"/>
    <col min="71" max="71" width="18.75" style="32" bestFit="1" customWidth="1"/>
    <col min="72" max="72" width="17.125" style="32" bestFit="1" customWidth="1"/>
    <col min="73" max="73" width="20.125" style="32" bestFit="1" customWidth="1"/>
    <col min="74" max="74" width="18.5" style="32" bestFit="1" customWidth="1"/>
    <col min="75" max="75" width="15.375" style="32" bestFit="1" customWidth="1"/>
    <col min="76" max="76" width="13.75" style="32" bestFit="1" customWidth="1"/>
    <col min="77" max="77" width="12.5" style="32" bestFit="1" customWidth="1"/>
    <col min="78" max="78" width="10.875" style="32" bestFit="1" customWidth="1"/>
    <col min="79" max="79" width="12.25" style="32" bestFit="1" customWidth="1"/>
    <col min="80" max="80" width="10.625" style="32" bestFit="1" customWidth="1"/>
    <col min="81" max="81" width="17.875" style="32" bestFit="1" customWidth="1"/>
    <col min="82" max="82" width="16.125" style="32" bestFit="1" customWidth="1"/>
    <col min="83" max="83" width="12.375" style="32" bestFit="1" customWidth="1"/>
    <col min="84" max="84" width="11.125" style="32" bestFit="1" customWidth="1"/>
    <col min="85" max="85" width="12.125" style="32" bestFit="1" customWidth="1"/>
    <col min="86" max="86" width="10.5" style="32" bestFit="1" customWidth="1"/>
    <col min="87" max="87" width="15.25" style="32" bestFit="1" customWidth="1"/>
    <col min="88" max="88" width="17.75" style="32" bestFit="1" customWidth="1"/>
    <col min="89" max="89" width="3.875" customWidth="1"/>
  </cols>
  <sheetData>
    <row r="1" spans="1:89" ht="18" x14ac:dyDescent="0.25">
      <c r="A1" s="25"/>
      <c r="B1" s="45"/>
      <c r="C1" s="45"/>
      <c r="D1" s="183" t="s">
        <v>239</v>
      </c>
      <c r="E1" s="183"/>
      <c r="F1" s="183"/>
      <c r="G1" s="183"/>
      <c r="H1" s="168"/>
      <c r="I1" s="183" t="s">
        <v>239</v>
      </c>
      <c r="J1" s="183"/>
      <c r="K1" s="183"/>
      <c r="L1" s="183"/>
      <c r="M1" s="168"/>
      <c r="N1" s="158" t="s">
        <v>239</v>
      </c>
      <c r="O1" s="42"/>
      <c r="P1" s="184" t="s">
        <v>240</v>
      </c>
      <c r="Q1" s="184"/>
      <c r="R1" s="166"/>
      <c r="S1" s="186" t="s">
        <v>242</v>
      </c>
      <c r="T1" s="186"/>
      <c r="U1" s="186"/>
      <c r="V1" s="186"/>
      <c r="W1" s="186"/>
      <c r="X1" s="186"/>
      <c r="Y1" s="186"/>
      <c r="Z1" s="186"/>
      <c r="AA1" s="185" t="s">
        <v>241</v>
      </c>
      <c r="AB1" s="185"/>
      <c r="AC1" s="181" t="s">
        <v>249</v>
      </c>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62"/>
      <c r="BC1" s="163"/>
      <c r="BD1" s="163"/>
      <c r="BE1" s="182" t="s">
        <v>258</v>
      </c>
      <c r="BF1" s="182"/>
      <c r="BG1" s="182"/>
      <c r="BH1" s="182"/>
      <c r="BI1" s="182"/>
      <c r="BJ1" s="182"/>
      <c r="BK1" s="182"/>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25"/>
    </row>
    <row r="2" spans="1:89" ht="18" x14ac:dyDescent="0.25">
      <c r="A2" s="128"/>
      <c r="B2" s="129" t="s">
        <v>0</v>
      </c>
      <c r="C2" s="129" t="s">
        <v>180</v>
      </c>
      <c r="D2" s="153" t="s">
        <v>181</v>
      </c>
      <c r="E2" s="153" t="s">
        <v>21</v>
      </c>
      <c r="F2" s="153" t="s">
        <v>22</v>
      </c>
      <c r="G2" s="153" t="s">
        <v>23</v>
      </c>
      <c r="H2" s="156" t="s">
        <v>189</v>
      </c>
      <c r="I2" s="153" t="s">
        <v>182</v>
      </c>
      <c r="J2" s="153" t="s">
        <v>25</v>
      </c>
      <c r="K2" s="153" t="s">
        <v>26</v>
      </c>
      <c r="L2" s="153" t="s">
        <v>27</v>
      </c>
      <c r="M2" s="156" t="s">
        <v>190</v>
      </c>
      <c r="N2" s="153" t="s">
        <v>183</v>
      </c>
      <c r="O2" s="154" t="s">
        <v>30</v>
      </c>
      <c r="P2" s="154" t="s">
        <v>233</v>
      </c>
      <c r="Q2" s="154" t="s">
        <v>234</v>
      </c>
      <c r="R2" s="154" t="s">
        <v>225</v>
      </c>
      <c r="S2" s="155" t="s">
        <v>184</v>
      </c>
      <c r="T2" s="155" t="s">
        <v>227</v>
      </c>
      <c r="U2" s="155" t="s">
        <v>185</v>
      </c>
      <c r="V2" s="155" t="s">
        <v>228</v>
      </c>
      <c r="W2" s="155" t="s">
        <v>186</v>
      </c>
      <c r="X2" s="155" t="s">
        <v>229</v>
      </c>
      <c r="Y2" s="155" t="s">
        <v>187</v>
      </c>
      <c r="Z2" s="155" t="s">
        <v>230</v>
      </c>
      <c r="AA2" s="154" t="s">
        <v>83</v>
      </c>
      <c r="AB2" s="154" t="s">
        <v>84</v>
      </c>
      <c r="AC2" s="156" t="s">
        <v>157</v>
      </c>
      <c r="AD2" s="156" t="s">
        <v>169</v>
      </c>
      <c r="AE2" s="27" t="s">
        <v>191</v>
      </c>
      <c r="AF2" s="27" t="s">
        <v>194</v>
      </c>
      <c r="AG2" s="27" t="s">
        <v>192</v>
      </c>
      <c r="AH2" s="27" t="s">
        <v>195</v>
      </c>
      <c r="AI2" s="27" t="s">
        <v>193</v>
      </c>
      <c r="AJ2" s="27" t="s">
        <v>196</v>
      </c>
      <c r="AK2" s="27" t="s">
        <v>197</v>
      </c>
      <c r="AL2" s="27" t="s">
        <v>198</v>
      </c>
      <c r="AM2" s="27" t="s">
        <v>69</v>
      </c>
      <c r="AN2" s="27" t="s">
        <v>222</v>
      </c>
      <c r="AO2" s="27" t="s">
        <v>148</v>
      </c>
      <c r="AP2" s="27" t="s">
        <v>211</v>
      </c>
      <c r="AQ2" s="27" t="s">
        <v>209</v>
      </c>
      <c r="AR2" s="27" t="s">
        <v>210</v>
      </c>
      <c r="AS2" s="27" t="s">
        <v>212</v>
      </c>
      <c r="AT2" s="27" t="s">
        <v>213</v>
      </c>
      <c r="AU2" s="27" t="s">
        <v>215</v>
      </c>
      <c r="AV2" s="27" t="s">
        <v>214</v>
      </c>
      <c r="AW2" s="27" t="s">
        <v>70</v>
      </c>
      <c r="AX2" s="27" t="s">
        <v>172</v>
      </c>
      <c r="AY2" s="27" t="s">
        <v>179</v>
      </c>
      <c r="AZ2" s="27" t="s">
        <v>173</v>
      </c>
      <c r="BA2" s="27" t="s">
        <v>224</v>
      </c>
      <c r="BB2" s="27" t="s">
        <v>223</v>
      </c>
      <c r="BC2" s="156" t="s">
        <v>188</v>
      </c>
      <c r="BD2" s="156" t="s">
        <v>231</v>
      </c>
      <c r="BE2" s="27" t="s">
        <v>157</v>
      </c>
      <c r="BF2" s="27" t="s">
        <v>169</v>
      </c>
      <c r="BG2" s="27" t="s">
        <v>191</v>
      </c>
      <c r="BH2" s="27" t="s">
        <v>194</v>
      </c>
      <c r="BI2" s="27" t="s">
        <v>192</v>
      </c>
      <c r="BJ2" s="27" t="s">
        <v>195</v>
      </c>
      <c r="BK2" s="27" t="s">
        <v>193</v>
      </c>
      <c r="BL2" s="27" t="s">
        <v>196</v>
      </c>
      <c r="BM2" s="27" t="s">
        <v>197</v>
      </c>
      <c r="BN2" s="27" t="s">
        <v>198</v>
      </c>
      <c r="BO2" s="27" t="s">
        <v>69</v>
      </c>
      <c r="BP2" s="27" t="s">
        <v>222</v>
      </c>
      <c r="BQ2" s="27" t="s">
        <v>148</v>
      </c>
      <c r="BR2" s="27" t="s">
        <v>211</v>
      </c>
      <c r="BS2" s="27" t="s">
        <v>209</v>
      </c>
      <c r="BT2" s="27" t="s">
        <v>210</v>
      </c>
      <c r="BU2" s="27" t="s">
        <v>212</v>
      </c>
      <c r="BV2" s="27" t="s">
        <v>213</v>
      </c>
      <c r="BW2" s="27" t="s">
        <v>215</v>
      </c>
      <c r="BX2" s="27" t="s">
        <v>214</v>
      </c>
      <c r="BY2" s="27" t="s">
        <v>70</v>
      </c>
      <c r="BZ2" s="27" t="s">
        <v>172</v>
      </c>
      <c r="CA2" s="27" t="s">
        <v>179</v>
      </c>
      <c r="CB2" s="27" t="s">
        <v>173</v>
      </c>
      <c r="CC2" s="27" t="s">
        <v>224</v>
      </c>
      <c r="CD2" s="27" t="s">
        <v>223</v>
      </c>
      <c r="CE2" s="27" t="s">
        <v>144</v>
      </c>
      <c r="CF2" s="27" t="s">
        <v>174</v>
      </c>
      <c r="CG2" s="27" t="s">
        <v>164</v>
      </c>
      <c r="CH2" s="27" t="s">
        <v>175</v>
      </c>
      <c r="CI2" s="27" t="s">
        <v>151</v>
      </c>
      <c r="CJ2" s="27" t="s">
        <v>176</v>
      </c>
      <c r="CK2" s="128"/>
    </row>
    <row r="3" spans="1:89" x14ac:dyDescent="0.25">
      <c r="A3" s="25"/>
      <c r="B3" s="44" t="s">
        <v>235</v>
      </c>
      <c r="C3" s="44" t="s">
        <v>19</v>
      </c>
      <c r="D3" s="17">
        <v>3.0499999999999999E-2</v>
      </c>
      <c r="E3" s="17">
        <v>0.5</v>
      </c>
      <c r="F3" s="17">
        <v>-0.3</v>
      </c>
      <c r="G3" s="17">
        <v>64.099999999999994</v>
      </c>
      <c r="H3" s="161">
        <f>G3/66.3</f>
        <v>0.96681749622926094</v>
      </c>
      <c r="I3" s="17">
        <v>0</v>
      </c>
      <c r="J3" s="17">
        <v>0.5</v>
      </c>
      <c r="K3" s="17">
        <v>-0.3</v>
      </c>
      <c r="L3" s="17">
        <v>66.3</v>
      </c>
      <c r="M3" s="161">
        <f>L3/66.3</f>
        <v>1</v>
      </c>
      <c r="N3" s="17">
        <f t="shared" ref="N3" si="0">SQRT((J3-E3)^2+(K3-F3)^2+(L3-G3)^2)</f>
        <v>2.2000000000000028</v>
      </c>
      <c r="O3" s="37">
        <v>0</v>
      </c>
      <c r="P3" s="37">
        <v>77</v>
      </c>
      <c r="Q3" s="37">
        <v>0</v>
      </c>
      <c r="S3" s="34">
        <v>2.1014036838208499E-2</v>
      </c>
      <c r="T3" s="34">
        <v>6.5083725239022702E-4</v>
      </c>
      <c r="U3" s="34">
        <v>0</v>
      </c>
      <c r="V3" s="34">
        <v>0</v>
      </c>
      <c r="W3" s="34">
        <v>0</v>
      </c>
      <c r="X3" s="34">
        <v>2.30820284813594E-3</v>
      </c>
      <c r="Y3" s="34">
        <v>0</v>
      </c>
      <c r="Z3" s="34">
        <v>0</v>
      </c>
      <c r="AA3" s="37">
        <f>186.54277582209*AVERAGE(H3,M3)^2.94723702855969+368.991930021332</f>
        <v>546.55964625871843</v>
      </c>
      <c r="AB3" s="37">
        <f>312.296836889732*AVERAGE(H3,M3)^5.17788754436339+394.696386960146</f>
        <v>681.07817955036865</v>
      </c>
      <c r="AC3" s="38">
        <f>SUM(AE3,AG3,AI3,AK3)</f>
        <v>1.0103012617046017</v>
      </c>
      <c r="AD3" s="38">
        <f>SUM(AF3,AH3,AJ3,AL3)</f>
        <v>7.0079353555380003E-2</v>
      </c>
      <c r="AE3" s="32">
        <f>AO3*403.501520064243</f>
        <v>0.45425894913276582</v>
      </c>
      <c r="AF3" s="32">
        <f>AP3*(403.501520064243+14.4021234023273)</f>
        <v>2.6743188652681282E-2</v>
      </c>
      <c r="AG3" s="32">
        <f t="shared" ref="AG3" si="1">AQ3*AA3</f>
        <v>0.55604231257183589</v>
      </c>
      <c r="AH3" s="32">
        <f>AA3*AR3</f>
        <v>3.4976358685441571E-2</v>
      </c>
      <c r="AI3" s="32">
        <f>AS3*AB3</f>
        <v>0</v>
      </c>
      <c r="AJ3" s="32">
        <f>AB3*AT3</f>
        <v>8.3598062172571524E-3</v>
      </c>
      <c r="AK3" s="32">
        <f>AU3*AA3</f>
        <v>0</v>
      </c>
      <c r="AL3" s="32">
        <f>AA3*AV3</f>
        <v>0</v>
      </c>
      <c r="AM3" s="32">
        <f t="shared" ref="AM3" si="2">PI()/3*N3*(D3^2+(D3*I3)+I3^2)</f>
        <v>2.1431421484013995E-3</v>
      </c>
      <c r="AN3" s="32">
        <v>0</v>
      </c>
      <c r="AO3" s="32">
        <f>((100-$O3)/100)*(AM3-BC3)</f>
        <v>1.1257924110433129E-3</v>
      </c>
      <c r="AP3" s="32">
        <f>((100-$O3)/100)*((AM3-BC3)-(AM3-(BC3+BD3)))</f>
        <v>6.3993671916432035E-5</v>
      </c>
      <c r="AQ3" s="32">
        <f>((100-$O3)/100)*(BC3-AS3)</f>
        <v>1.0173497373580866E-3</v>
      </c>
      <c r="AR3" s="32">
        <f t="shared" ref="AR3" si="3">((100-$O3)/100)*PI()/3*$N3*(((S3+T3)^2+(S3+T3)*(U3+V3)+(U3+V3)^2)-(S3^2+S3*U3+U3^2))</f>
        <v>6.3993671916432021E-5</v>
      </c>
      <c r="AS3" s="32">
        <f>((100-$O3)/100)*PI()/3*$N3*(W3*W3+W3*Y3+Y3*Y3)</f>
        <v>0</v>
      </c>
      <c r="AT3" s="32">
        <f t="shared" ref="AT3" si="4">((100-$O3)/100)*PI()/3*$N3*((((W3+X3)^2+(W3+X3)*(Y3+Z3)+(Y3+Z3)^2))-(W3^2+W3*Y3+Y3^2))</f>
        <v>1.2274370943400497E-5</v>
      </c>
      <c r="AU3" s="32">
        <f>AM3-SUM(AO3, AQ3,AS3)</f>
        <v>0</v>
      </c>
      <c r="AV3" s="32">
        <v>0</v>
      </c>
      <c r="AW3" s="32">
        <f>((100-O3)/100) * PI() * (D3+I3) * SQRT((D3-I3)^2+$N3^2)</f>
        <v>0.21082112408944756</v>
      </c>
      <c r="AX3" s="32">
        <v>0</v>
      </c>
      <c r="AY3" s="32">
        <f t="shared" ref="AY3" si="5">PI()*(S3+U3)*SQRT((S3-U3)^2+N3^2)*(100-O3)/100</f>
        <v>0.145245221712757</v>
      </c>
      <c r="AZ3" s="32">
        <f t="shared" ref="AZ3" si="6">(100-O3)/100*PI()*(((S3+T3+U3+V3)*SQRT((S3+T3-U3+V3)^2+$N3^2))-((S3+U3)*SQRT((S3-U3)^2+N3^2)))</f>
        <v>4.4988990221691873E-3</v>
      </c>
      <c r="BA3" s="32">
        <f t="shared" ref="BA3" si="7">PI()*(W3+Y3)*SQRT((W3-Y3)^2+$N3^2)</f>
        <v>0</v>
      </c>
      <c r="BB3" s="32">
        <f t="shared" ref="BB3" si="8">ABS(PI()*(((W3+Y3)*SQRT((W3-Y3)^2+$N3^2))-((W3+Y3+X3+Z3)*SQRT((W3-Y3+X3+Z3)^2+$N3^2))))</f>
        <v>1.5953161624032503E-2</v>
      </c>
      <c r="BC3" s="32">
        <f t="shared" ref="BC3" si="9">PI()/3*$N3*(S3*S3+S3*U3+U3*U3)</f>
        <v>1.0173497373580866E-3</v>
      </c>
      <c r="BD3" s="32">
        <f t="shared" ref="BD3" si="10">ABS(PI()/3*$N3*((S3^2+S3*U3+U3^2)-((S3+T3)^2+(S3+T3)*(U3+V3)+(U3+V3)^2)))</f>
        <v>6.3993671916432021E-5</v>
      </c>
      <c r="BE3" s="32">
        <f>$P3*'brnchlt equations and multiples'!$L$3+$Q3*'brnchlt equations and multiples'!$L$4</f>
        <v>3.3244900149999999</v>
      </c>
      <c r="BF3" s="32">
        <f>$P3*'brnchlt equations and multiples'!$M$3+$Q3*'brnchlt equations and multiples'!$M$4</f>
        <v>2.4521087052000001</v>
      </c>
      <c r="BG3" s="32">
        <f t="shared" ref="BG3" si="11">BE3-CE3-BI3</f>
        <v>9.204108759999996E-2</v>
      </c>
      <c r="BH3" s="32">
        <f t="shared" ref="BH3" si="12">IF(BI3=0,0,BG3*BJ3/BI3)</f>
        <v>0.10900126430962785</v>
      </c>
      <c r="BI3" s="32">
        <f>BS3*730</f>
        <v>0.98827859899999981</v>
      </c>
      <c r="BJ3" s="32">
        <f>BS3*15+BT3*730</f>
        <v>1.1703861785</v>
      </c>
      <c r="BK3" s="32">
        <v>0</v>
      </c>
      <c r="BL3" s="32">
        <v>0</v>
      </c>
      <c r="BM3" s="32">
        <v>0</v>
      </c>
      <c r="BN3" s="32">
        <v>0</v>
      </c>
      <c r="BO3" s="32">
        <f>$P3*'brnchlt equations and multiples'!$N$3+$Q3*'brnchlt equations and multiples'!$N$4</f>
        <v>5.1890376999999994E-3</v>
      </c>
      <c r="BP3" s="32">
        <f>$P3*'brnchlt equations and multiples'!$O$3+$Q3*'brnchlt equations and multiples'!$O$4</f>
        <v>5.8422980000000001E-3</v>
      </c>
      <c r="BQ3" s="32">
        <f>BO3-BS3</f>
        <v>3.8352313999999998E-3</v>
      </c>
      <c r="BR3" s="32">
        <f>BP3-BT3</f>
        <v>4.2668471999999999E-3</v>
      </c>
      <c r="BS3" s="32">
        <f>$P3*'brnchlt equations and multiples'!$P$3+$Q3*'brnchlt equations and multiples'!$P$4</f>
        <v>1.3538062999999998E-3</v>
      </c>
      <c r="BT3" s="32">
        <f>$P3*'brnchlt equations and multiples'!$Q$3+$Q3*'brnchlt equations and multiples'!$Q$4</f>
        <v>1.5754508000000002E-3</v>
      </c>
      <c r="BU3" s="32">
        <v>0</v>
      </c>
      <c r="BV3" s="32">
        <v>0</v>
      </c>
      <c r="BW3" s="32">
        <v>0</v>
      </c>
      <c r="BX3" s="32">
        <v>0</v>
      </c>
      <c r="BY3" s="32">
        <f>$P3*'brnchlt equations and multiples'!$R$3+$Q3*'brnchlt equations and multiples'!$R$4</f>
        <v>9.182698370999999</v>
      </c>
      <c r="BZ3" s="32">
        <f>$P3*'brnchlt equations and multiples'!$S$3+$Q3*'brnchlt equations and multiples'!$S$4</f>
        <v>12.0410989083</v>
      </c>
      <c r="CA3" s="32">
        <f>$P3*'brnchlt equations and multiples'!$T$3+$Q3*'brnchlt equations and multiples'!$T$4</f>
        <v>5.0198305695999998</v>
      </c>
      <c r="CB3" s="32">
        <f>$P3*'brnchlt equations and multiples'!$U$3+$Q3*'brnchlt equations and multiples'!$U$4</f>
        <v>6.3961337902000004</v>
      </c>
      <c r="CC3" s="32">
        <v>0</v>
      </c>
      <c r="CD3" s="32">
        <v>0</v>
      </c>
      <c r="CE3" s="32">
        <f>$P3*'brnchlt equations and multiples'!$V$3+$Q3*'brnchlt equations and multiples'!$V$4</f>
        <v>2.2441703284000001</v>
      </c>
      <c r="CF3" s="32">
        <f>$P3*'brnchlt equations and multiples'!$W$3+$Q3*'brnchlt equations and multiples'!$W$4</f>
        <v>1.5941198889000001</v>
      </c>
      <c r="CG3" s="32">
        <f>$P3*'brnchlt equations and multiples'!$X$3+$Q3*'brnchlt equations and multiples'!$X$4</f>
        <v>4.6632340447000002</v>
      </c>
      <c r="CH3" s="32">
        <f>$P3*'brnchlt equations and multiples'!$Y$3+$Q3*'brnchlt equations and multiples'!$Y$4</f>
        <v>3.3303557440999998</v>
      </c>
      <c r="CI3" s="32">
        <f>$P3*'brnchlt equations and multiples'!$Z$3+$Q3*'brnchlt equations and multiples'!$Z$4</f>
        <v>0.1289015728</v>
      </c>
      <c r="CJ3" s="32">
        <f>$P3*'brnchlt equations and multiples'!$AA$3+$Q3*'brnchlt equations and multiples'!$AA$4</f>
        <v>9.5081563499999994E-2</v>
      </c>
      <c r="CK3" s="128"/>
    </row>
  </sheetData>
  <sortState ref="N514:P522">
    <sortCondition descending="1" ref="N514:N522"/>
  </sortState>
  <mergeCells count="7">
    <mergeCell ref="AC1:BA1"/>
    <mergeCell ref="BE1:CJ1"/>
    <mergeCell ref="D1:G1"/>
    <mergeCell ref="I1:L1"/>
    <mergeCell ref="P1:Q1"/>
    <mergeCell ref="AA1:AB1"/>
    <mergeCell ref="S1:Z1"/>
  </mergeCells>
  <pageMargins left="0.75" right="0.75" top="1" bottom="1" header="0.5" footer="0.5"/>
  <pageSetup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3"/>
  <sheetViews>
    <sheetView zoomScale="80" zoomScaleNormal="80" workbookViewId="0">
      <pane xSplit="5" ySplit="2" topLeftCell="CH3" activePane="bottomRight" state="frozen"/>
      <selection activeCell="W3" sqref="W3"/>
      <selection pane="topRight" activeCell="W3" sqref="W3"/>
      <selection pane="bottomLeft" activeCell="W3" sqref="W3"/>
      <selection pane="bottomRight" activeCell="CO3" sqref="CO3"/>
    </sheetView>
  </sheetViews>
  <sheetFormatPr defaultColWidth="11" defaultRowHeight="15.75" x14ac:dyDescent="0.25"/>
  <cols>
    <col min="1" max="1" width="3.875" customWidth="1"/>
    <col min="2" max="2" width="12.125" style="44" bestFit="1" customWidth="1"/>
    <col min="3" max="3" width="4.875" style="44" bestFit="1" customWidth="1"/>
    <col min="4" max="4" width="4.875" style="44" customWidth="1"/>
    <col min="5" max="5" width="13.375" style="44" customWidth="1"/>
    <col min="6" max="6" width="9.5" style="43" customWidth="1"/>
    <col min="7" max="7" width="14.875" style="36" bestFit="1" customWidth="1"/>
    <col min="8" max="8" width="6.5" style="11" bestFit="1" customWidth="1"/>
    <col min="9" max="9" width="6.5" style="11" customWidth="1"/>
    <col min="10" max="10" width="6.375" style="11" customWidth="1"/>
    <col min="11" max="11" width="9.875" style="38" customWidth="1"/>
    <col min="12" max="12" width="8.5" style="43" customWidth="1"/>
    <col min="13" max="13" width="13.875" style="36" bestFit="1" customWidth="1"/>
    <col min="14" max="14" width="5.5" style="11" bestFit="1" customWidth="1"/>
    <col min="15" max="15" width="6.375" style="11" customWidth="1"/>
    <col min="16" max="16" width="5.875" style="11" customWidth="1"/>
    <col min="17" max="17" width="8.875" style="38" customWidth="1"/>
    <col min="18" max="18" width="6.375" style="11" bestFit="1" customWidth="1"/>
    <col min="19" max="19" width="7.125" style="46" bestFit="1" customWidth="1"/>
    <col min="20" max="21" width="9" style="46" customWidth="1"/>
    <col min="22" max="22" width="5.75" style="46" bestFit="1" customWidth="1"/>
    <col min="23" max="23" width="16.5" style="36" bestFit="1" customWidth="1"/>
    <col min="24" max="24" width="19" style="36" bestFit="1" customWidth="1"/>
    <col min="25" max="25" width="15.25" style="36" bestFit="1" customWidth="1"/>
    <col min="26" max="26" width="17.625" style="36" bestFit="1" customWidth="1"/>
    <col min="27" max="27" width="16.375" style="36" bestFit="1" customWidth="1"/>
    <col min="28" max="28" width="18.875" style="36" bestFit="1" customWidth="1"/>
    <col min="29" max="29" width="15.125" style="36" bestFit="1" customWidth="1"/>
    <col min="30" max="30" width="17.5" style="36" bestFit="1" customWidth="1"/>
    <col min="31" max="31" width="12.75" style="37" customWidth="1"/>
    <col min="32" max="32" width="16" style="37" customWidth="1"/>
    <col min="33" max="33" width="13.125" style="32" customWidth="1"/>
    <col min="34" max="34" width="12" style="32" customWidth="1"/>
    <col min="35" max="35" width="13" style="32" customWidth="1"/>
    <col min="36" max="36" width="11.875" style="32" customWidth="1"/>
    <col min="37" max="37" width="17.625" style="32" bestFit="1" customWidth="1"/>
    <col min="38" max="38" width="15.5" style="32" customWidth="1"/>
    <col min="39" max="39" width="18.375" style="32" customWidth="1"/>
    <col min="40" max="40" width="17.125" style="32" customWidth="1"/>
    <col min="41" max="41" width="13.375" style="32" customWidth="1"/>
    <col min="42" max="42" width="12.625" style="32" bestFit="1" customWidth="1"/>
    <col min="43" max="43" width="15.5" style="32" bestFit="1" customWidth="1"/>
    <col min="44" max="44" width="14" style="32" bestFit="1" customWidth="1"/>
    <col min="45" max="45" width="15.375" style="32" bestFit="1" customWidth="1"/>
    <col min="46" max="46" width="13.625" style="32" bestFit="1" customWidth="1"/>
    <col min="47" max="47" width="19.125" style="32" bestFit="1" customWidth="1"/>
    <col min="48" max="48" width="17.5" style="32" bestFit="1" customWidth="1"/>
    <col min="49" max="49" width="20.625" style="32" bestFit="1" customWidth="1"/>
    <col min="50" max="50" width="19.125" style="32" bestFit="1" customWidth="1"/>
    <col min="51" max="51" width="16.5" style="32" bestFit="1" customWidth="1"/>
    <col min="52" max="52" width="14.125" style="32" bestFit="1" customWidth="1"/>
    <col min="53" max="53" width="12.5" style="32" bestFit="1" customWidth="1"/>
    <col min="54" max="54" width="10.875" style="32" bestFit="1" customWidth="1"/>
    <col min="55" max="55" width="12.25" style="32" bestFit="1" customWidth="1"/>
    <col min="56" max="56" width="10.625" style="32" bestFit="1" customWidth="1"/>
    <col min="57" max="57" width="13.375" style="32" bestFit="1" customWidth="1"/>
    <col min="58" max="58" width="12" style="32" bestFit="1" customWidth="1"/>
    <col min="59" max="59" width="13.125" style="32" bestFit="1" customWidth="1"/>
    <col min="60" max="60" width="12" style="32" bestFit="1" customWidth="1"/>
    <col min="61" max="61" width="13" style="32" bestFit="1" customWidth="1"/>
    <col min="62" max="62" width="11.875" style="32" bestFit="1" customWidth="1"/>
    <col min="63" max="63" width="16.625" style="32" bestFit="1" customWidth="1"/>
    <col min="64" max="64" width="15.5" style="32" bestFit="1" customWidth="1"/>
    <col min="65" max="65" width="18.375" style="32" bestFit="1" customWidth="1"/>
    <col min="66" max="66" width="17.125" style="32" bestFit="1" customWidth="1"/>
    <col min="67" max="67" width="13.375" style="32" bestFit="1" customWidth="1"/>
    <col min="68" max="68" width="12.125" style="32" bestFit="1" customWidth="1"/>
    <col min="69" max="69" width="15.5" style="32" bestFit="1" customWidth="1"/>
    <col min="70" max="70" width="14" style="32" bestFit="1" customWidth="1"/>
    <col min="71" max="71" width="15.375" style="32" bestFit="1" customWidth="1"/>
    <col min="72" max="72" width="13.625" style="32" bestFit="1" customWidth="1"/>
    <col min="73" max="73" width="19.125" style="32" bestFit="1" customWidth="1"/>
    <col min="74" max="74" width="17.5" style="32" bestFit="1" customWidth="1"/>
    <col min="75" max="75" width="20.625" style="32" bestFit="1" customWidth="1"/>
    <col min="76" max="76" width="19.125" style="32" bestFit="1" customWidth="1"/>
    <col min="77" max="77" width="15.875" style="32" bestFit="1" customWidth="1"/>
    <col min="78" max="78" width="14.125" style="32" bestFit="1" customWidth="1"/>
    <col min="79" max="79" width="12.875" style="32" bestFit="1" customWidth="1"/>
    <col min="80" max="80" width="11.375" style="32" bestFit="1" customWidth="1"/>
    <col min="81" max="81" width="12.875" style="32" bestFit="1" customWidth="1"/>
    <col min="82" max="82" width="11.125" style="32" bestFit="1" customWidth="1"/>
    <col min="83" max="83" width="13.625" style="161" bestFit="1" customWidth="1"/>
    <col min="84" max="84" width="12" style="161" bestFit="1" customWidth="1"/>
    <col min="85" max="85" width="12.375" style="32" bestFit="1" customWidth="1"/>
    <col min="86" max="86" width="11.125" style="32" bestFit="1" customWidth="1"/>
    <col min="87" max="87" width="12.375" style="32" bestFit="1" customWidth="1"/>
    <col min="88" max="88" width="10.625" style="32" bestFit="1" customWidth="1"/>
    <col min="89" max="89" width="15.125" style="32" bestFit="1" customWidth="1"/>
    <col min="90" max="90" width="17.625" style="32" bestFit="1" customWidth="1"/>
    <col min="91" max="91" width="3.875" customWidth="1"/>
  </cols>
  <sheetData>
    <row r="1" spans="1:91" ht="18" x14ac:dyDescent="0.25">
      <c r="A1" s="25"/>
      <c r="B1" s="45"/>
      <c r="C1" s="45"/>
      <c r="D1" s="165"/>
      <c r="E1" s="45"/>
      <c r="F1" s="172" t="s">
        <v>243</v>
      </c>
      <c r="G1" s="187" t="s">
        <v>239</v>
      </c>
      <c r="H1" s="187"/>
      <c r="I1" s="187"/>
      <c r="J1" s="187"/>
      <c r="K1" s="40"/>
      <c r="L1" s="172" t="s">
        <v>243</v>
      </c>
      <c r="M1" s="188" t="s">
        <v>239</v>
      </c>
      <c r="N1" s="188"/>
      <c r="O1" s="188"/>
      <c r="P1" s="188"/>
      <c r="Q1" s="40"/>
      <c r="R1" s="172" t="s">
        <v>239</v>
      </c>
      <c r="S1" s="47"/>
      <c r="T1" s="189" t="s">
        <v>246</v>
      </c>
      <c r="U1" s="189"/>
      <c r="V1" s="167"/>
      <c r="W1" s="190" t="s">
        <v>248</v>
      </c>
      <c r="X1" s="190"/>
      <c r="Y1" s="190"/>
      <c r="Z1" s="190"/>
      <c r="AA1" s="190"/>
      <c r="AB1" s="190"/>
      <c r="AC1" s="190"/>
      <c r="AD1" s="190"/>
      <c r="AE1" s="184" t="s">
        <v>247</v>
      </c>
      <c r="AF1" s="184"/>
      <c r="AG1" s="181" t="s">
        <v>250</v>
      </c>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62"/>
      <c r="BG1" s="182" t="s">
        <v>259</v>
      </c>
      <c r="BH1" s="182"/>
      <c r="BI1" s="182"/>
      <c r="BJ1" s="182"/>
      <c r="BK1" s="182"/>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25"/>
    </row>
    <row r="2" spans="1:91" ht="18" x14ac:dyDescent="0.25">
      <c r="A2" s="25" t="s">
        <v>232</v>
      </c>
      <c r="B2" s="48" t="s">
        <v>0</v>
      </c>
      <c r="C2" s="48" t="s">
        <v>200</v>
      </c>
      <c r="D2" s="170" t="s">
        <v>226</v>
      </c>
      <c r="E2" s="48" t="s">
        <v>180</v>
      </c>
      <c r="F2" s="28" t="s">
        <v>201</v>
      </c>
      <c r="G2" s="29" t="s">
        <v>181</v>
      </c>
      <c r="H2" s="26" t="s">
        <v>21</v>
      </c>
      <c r="I2" s="26" t="s">
        <v>22</v>
      </c>
      <c r="J2" s="26" t="s">
        <v>23</v>
      </c>
      <c r="K2" s="27" t="s">
        <v>189</v>
      </c>
      <c r="L2" s="28" t="s">
        <v>202</v>
      </c>
      <c r="M2" s="29" t="s">
        <v>182</v>
      </c>
      <c r="N2" s="26" t="s">
        <v>25</v>
      </c>
      <c r="O2" s="26" t="s">
        <v>26</v>
      </c>
      <c r="P2" s="26" t="s">
        <v>27</v>
      </c>
      <c r="Q2" s="27" t="s">
        <v>190</v>
      </c>
      <c r="R2" s="26" t="s">
        <v>183</v>
      </c>
      <c r="S2" s="31" t="s">
        <v>30</v>
      </c>
      <c r="T2" s="31" t="s">
        <v>244</v>
      </c>
      <c r="U2" s="31" t="s">
        <v>245</v>
      </c>
      <c r="V2" s="31" t="s">
        <v>225</v>
      </c>
      <c r="W2" s="29" t="s">
        <v>184</v>
      </c>
      <c r="X2" s="29" t="s">
        <v>227</v>
      </c>
      <c r="Y2" s="29" t="s">
        <v>185</v>
      </c>
      <c r="Z2" s="29" t="s">
        <v>228</v>
      </c>
      <c r="AA2" s="29" t="s">
        <v>186</v>
      </c>
      <c r="AB2" s="29" t="s">
        <v>229</v>
      </c>
      <c r="AC2" s="29" t="s">
        <v>187</v>
      </c>
      <c r="AD2" s="29" t="s">
        <v>230</v>
      </c>
      <c r="AE2" s="143" t="s">
        <v>83</v>
      </c>
      <c r="AF2" s="143" t="s">
        <v>84</v>
      </c>
      <c r="AG2" s="27" t="s">
        <v>157</v>
      </c>
      <c r="AH2" s="27" t="s">
        <v>169</v>
      </c>
      <c r="AI2" s="27" t="s">
        <v>191</v>
      </c>
      <c r="AJ2" s="27" t="s">
        <v>194</v>
      </c>
      <c r="AK2" s="27" t="s">
        <v>192</v>
      </c>
      <c r="AL2" s="27" t="s">
        <v>195</v>
      </c>
      <c r="AM2" s="27" t="s">
        <v>193</v>
      </c>
      <c r="AN2" s="27" t="s">
        <v>196</v>
      </c>
      <c r="AO2" s="27" t="s">
        <v>197</v>
      </c>
      <c r="AP2" s="27" t="s">
        <v>198</v>
      </c>
      <c r="AQ2" s="27" t="s">
        <v>69</v>
      </c>
      <c r="AR2" s="27" t="s">
        <v>222</v>
      </c>
      <c r="AS2" s="27" t="s">
        <v>148</v>
      </c>
      <c r="AT2" s="27" t="s">
        <v>211</v>
      </c>
      <c r="AU2" s="27" t="s">
        <v>209</v>
      </c>
      <c r="AV2" s="27" t="s">
        <v>210</v>
      </c>
      <c r="AW2" s="27" t="s">
        <v>212</v>
      </c>
      <c r="AX2" s="27" t="s">
        <v>213</v>
      </c>
      <c r="AY2" s="27" t="s">
        <v>215</v>
      </c>
      <c r="AZ2" s="27" t="s">
        <v>214</v>
      </c>
      <c r="BA2" s="27" t="s">
        <v>70</v>
      </c>
      <c r="BB2" s="27" t="s">
        <v>172</v>
      </c>
      <c r="BC2" s="27" t="s">
        <v>179</v>
      </c>
      <c r="BD2" s="27" t="s">
        <v>173</v>
      </c>
      <c r="BE2" s="27" t="s">
        <v>208</v>
      </c>
      <c r="BF2" s="27" t="s">
        <v>206</v>
      </c>
      <c r="BG2" s="27" t="s">
        <v>157</v>
      </c>
      <c r="BH2" s="27" t="s">
        <v>169</v>
      </c>
      <c r="BI2" s="27" t="s">
        <v>191</v>
      </c>
      <c r="BJ2" s="27" t="s">
        <v>194</v>
      </c>
      <c r="BK2" s="27" t="s">
        <v>192</v>
      </c>
      <c r="BL2" s="27" t="s">
        <v>195</v>
      </c>
      <c r="BM2" s="27" t="s">
        <v>193</v>
      </c>
      <c r="BN2" s="27" t="s">
        <v>196</v>
      </c>
      <c r="BO2" s="27" t="s">
        <v>197</v>
      </c>
      <c r="BP2" s="27" t="s">
        <v>198</v>
      </c>
      <c r="BQ2" s="27" t="s">
        <v>69</v>
      </c>
      <c r="BR2" s="27" t="s">
        <v>222</v>
      </c>
      <c r="BS2" s="27" t="s">
        <v>148</v>
      </c>
      <c r="BT2" s="27" t="s">
        <v>211</v>
      </c>
      <c r="BU2" s="27" t="s">
        <v>209</v>
      </c>
      <c r="BV2" s="27" t="s">
        <v>210</v>
      </c>
      <c r="BW2" s="27" t="s">
        <v>212</v>
      </c>
      <c r="BX2" s="27" t="s">
        <v>213</v>
      </c>
      <c r="BY2" s="27" t="s">
        <v>215</v>
      </c>
      <c r="BZ2" s="27" t="s">
        <v>214</v>
      </c>
      <c r="CA2" s="27" t="s">
        <v>70</v>
      </c>
      <c r="CB2" s="27" t="s">
        <v>172</v>
      </c>
      <c r="CC2" s="27" t="s">
        <v>179</v>
      </c>
      <c r="CD2" s="27" t="s">
        <v>173</v>
      </c>
      <c r="CE2" s="27" t="s">
        <v>208</v>
      </c>
      <c r="CF2" s="27" t="s">
        <v>206</v>
      </c>
      <c r="CG2" s="27" t="s">
        <v>144</v>
      </c>
      <c r="CH2" s="27" t="s">
        <v>174</v>
      </c>
      <c r="CI2" s="27" t="s">
        <v>164</v>
      </c>
      <c r="CJ2" s="27" t="s">
        <v>175</v>
      </c>
      <c r="CK2" s="27" t="s">
        <v>151</v>
      </c>
      <c r="CL2" s="27" t="s">
        <v>176</v>
      </c>
      <c r="CM2" s="25"/>
    </row>
    <row r="3" spans="1:91" x14ac:dyDescent="0.25">
      <c r="A3" s="25">
        <v>1</v>
      </c>
      <c r="B3" s="44" t="s">
        <v>235</v>
      </c>
      <c r="C3" s="44" t="s">
        <v>47</v>
      </c>
      <c r="E3" s="44" t="s">
        <v>203</v>
      </c>
      <c r="F3" s="43">
        <f t="shared" ref="F3" si="0">200*G3</f>
        <v>14.499999999999998</v>
      </c>
      <c r="G3" s="36">
        <v>7.2499999999999995E-2</v>
      </c>
      <c r="H3" s="11">
        <v>-9.9791435561797551E-2</v>
      </c>
      <c r="I3" s="11">
        <v>0.19585171979302407</v>
      </c>
      <c r="J3" s="11">
        <v>57.2</v>
      </c>
      <c r="K3" s="38">
        <f>J3/73.2</f>
        <v>0.78142076502732238</v>
      </c>
      <c r="L3" s="43">
        <f t="shared" ref="L3" si="1">200*M3</f>
        <v>11.5</v>
      </c>
      <c r="M3" s="36">
        <v>5.7500000000000002E-2</v>
      </c>
      <c r="N3" s="11">
        <v>-0.6813262424841251</v>
      </c>
      <c r="O3" s="11">
        <v>1.3371780411756931</v>
      </c>
      <c r="P3" s="11">
        <v>58.55</v>
      </c>
      <c r="Q3" s="38">
        <f>P3/73.2</f>
        <v>0.79986338797814205</v>
      </c>
      <c r="R3" s="11">
        <f t="shared" ref="R3" si="2">SQRT((N3-H3)^2+(O3-I3)^2+(P3-J3)^2)</f>
        <v>1.8609966425394402</v>
      </c>
      <c r="S3" s="46">
        <v>0</v>
      </c>
      <c r="T3" s="46">
        <v>12</v>
      </c>
      <c r="U3" s="46">
        <v>1</v>
      </c>
      <c r="V3" s="38"/>
      <c r="W3" s="36">
        <v>6.6280679072594897E-2</v>
      </c>
      <c r="X3" s="36">
        <v>1.76101785659611E-4</v>
      </c>
      <c r="Y3" s="36">
        <v>5.2032334590059799E-2</v>
      </c>
      <c r="Z3" s="36">
        <v>1.4059882722812801E-4</v>
      </c>
      <c r="AA3" s="36">
        <v>5.18294411531234E-2</v>
      </c>
      <c r="AB3" s="36">
        <v>1.19188769588218E-3</v>
      </c>
      <c r="AC3" s="36">
        <v>3.8787261213809598E-2</v>
      </c>
      <c r="AD3" s="36">
        <v>9.5947982188940902E-4</v>
      </c>
      <c r="AE3" s="157">
        <f>186.54277582209*AVERAGE(K3,Q3)^2.94723702855969+368.991930021332</f>
        <v>462.33908502619892</v>
      </c>
      <c r="AF3" s="157">
        <f>312.296836889732*AVERAGE(K3,Q3)^5.17788754436339+394.696386960146</f>
        <v>487.23417183252246</v>
      </c>
      <c r="AG3" s="32">
        <f t="shared" ref="AG3" si="3">SUM(AI3,AK3,AM3,AO3)</f>
        <v>17.330034295351069</v>
      </c>
      <c r="AH3" s="32">
        <f t="shared" ref="AH3" si="4">SUM(AJ3,AL3,AN3,AP3)</f>
        <v>0.58951839902251468</v>
      </c>
      <c r="AI3" s="32">
        <f>AS3*404</f>
        <v>1.7179643761558512</v>
      </c>
      <c r="AJ3" s="32">
        <f>AT3*(404+14)</f>
        <v>4.6052569190823865E-2</v>
      </c>
      <c r="AK3" s="32">
        <f>IF(C3="T",AU3*AE3,AU3*730)</f>
        <v>6.1859041893149067</v>
      </c>
      <c r="AL3" s="32">
        <f>IF($C3="T",AV3*AE3,AV3*(730+15))</f>
        <v>8.2079339825750677E-2</v>
      </c>
      <c r="AM3" s="32">
        <f>IF($C3="T",AW3*AF3,AW3*780)</f>
        <v>9.4261657298803101</v>
      </c>
      <c r="AN3" s="32">
        <f>IF(C3="T",AX3*AF3,AX3*(780+16))</f>
        <v>0.46138649000594012</v>
      </c>
      <c r="AO3" s="32">
        <f>IF(C3="T",AY3*412,AY3*620)</f>
        <v>0</v>
      </c>
      <c r="AP3" s="32">
        <f>IF(C3="T",(AY3+AZ3)*10,(AY3+AZ3)*8)</f>
        <v>0</v>
      </c>
      <c r="AQ3" s="32">
        <f>PI()/3*$R3*(G3*G3+G3*M3+M3*M3)</f>
        <v>2.4811056283739509E-2</v>
      </c>
      <c r="AR3" s="32">
        <v>0</v>
      </c>
      <c r="AS3" s="32">
        <f>((100-$S3)/100)*PI()/3*$R3*((G3^2+G3*M3+M3^2)-(W3^2+W3*Y3+Y3^2))</f>
        <v>4.2523870696927011E-3</v>
      </c>
      <c r="AT3" s="32">
        <f>((100-$S3)/100)*PI()/3*$R3*(((G3^2+G3*M3+M3^2)-(W3^2+W3*Y3+Y3^2))-((G3^2+G3*M3+M3^2)-((W3+X3)^2+(W3+X3)*(Y3+Z3)+(Y3+Z3)^2)))</f>
        <v>1.1017361050436332E-4</v>
      </c>
      <c r="AU3" s="32">
        <f>((100-$S3)/100)*PI()/3*$R3*((W3^2+W3*Y3+Y3^2)-(AA3^2+AA3*AC3+AC3^2))</f>
        <v>8.4738413552259001E-3</v>
      </c>
      <c r="AV3" s="32">
        <f>((100-$S3)/100)*PI()/3*$R3*(((W3+X3)^2+(W3+X3)*(Y3+Z3)+(Y3+Z3)^2)-(W3^2+W3*Y3+Y3^2))</f>
        <v>1.1017361050436332E-4</v>
      </c>
      <c r="AW3" s="32">
        <f>((100-$S3)/100)*PI()/3*$R3*(AA3^2+AA3*AC3+AC3^2)</f>
        <v>1.208482785882091E-2</v>
      </c>
      <c r="AX3" s="32">
        <f>((100-$S3)/100)*PI()/3*$R3*(((AA3+AB3)^2+(AA3+AB3)*(AC3+AD3)+(AC3+AD3)^2)-(AA3^2+AA3*AC3+AC3^2))</f>
        <v>5.7963126885168359E-4</v>
      </c>
      <c r="AY3" s="32">
        <f t="shared" ref="AY3" si="5">AQ3-SUM(AS3,AU3,AW3)</f>
        <v>0</v>
      </c>
      <c r="AZ3" s="32">
        <v>0</v>
      </c>
      <c r="BA3" s="32">
        <f>PI()*(G3+M3)*SQRT((G3-M3)^2+$R3^2)</f>
        <v>0.76006882788147945</v>
      </c>
      <c r="BB3" s="32">
        <v>0</v>
      </c>
      <c r="BC3" s="32">
        <f>((100-$S3)/100)*PI()*(W3+Y3)*SQRT((W3-Y3)^2+$R3^2)</f>
        <v>0.69173652473682934</v>
      </c>
      <c r="BD3" s="32">
        <f>((100-$S3)/100)*PI()*(((W3+Y3+X3+Z3)*SQRT((W3+X3-Y3+Z3)^2+$R3^2))-((W3+Y3)*SQRT((W3-Y3)^2+$R3^2)))</f>
        <v>1.8525559932862418E-3</v>
      </c>
      <c r="BE3" s="32">
        <f>((100-$S3)/100)*PI()*(AA3+AC3)*SQRT((AA3-AC3)^2+$R3^2)</f>
        <v>0.52980296056481047</v>
      </c>
      <c r="BF3" s="32">
        <f t="shared" ref="BF3" si="6">((100-$S3)/100)*PI()*(((AA3+AC3+AB3+AD3)*SQRT((AA3+AB3-AC3+AD3)^2+$R3^2))-((AA3+AC3)*SQRT((AA3-AC3)^2+$R3^2)))</f>
        <v>1.2583021177873247E-2</v>
      </c>
      <c r="BG3" s="32">
        <f>$T3*'brnchlt equations and multiples'!L$3+$U3*'brnchlt equations and multiples'!L$4</f>
        <v>1.4444591978000001</v>
      </c>
      <c r="BH3" s="32">
        <f>$T3*'brnchlt equations and multiples'!M$3+$U3*'brnchlt equations and multiples'!M$4</f>
        <v>0.62019816289999996</v>
      </c>
      <c r="BI3" s="32">
        <f t="shared" ref="BI3" si="7">BG3-CG3-BK3</f>
        <v>0.10284705110000014</v>
      </c>
      <c r="BJ3" s="32">
        <f t="shared" ref="BJ3" si="8">IF(BK3=0,0,BI3*BL3/BK3)</f>
        <v>6.2736617574948875E-2</v>
      </c>
      <c r="BK3" s="32">
        <f>BU3*730</f>
        <v>0.65114116599999994</v>
      </c>
      <c r="BL3" s="32">
        <f>BU3*15+BV3*730</f>
        <v>0.39719558200000005</v>
      </c>
      <c r="BM3" s="32">
        <v>0</v>
      </c>
      <c r="BN3" s="32">
        <v>0</v>
      </c>
      <c r="BO3" s="32">
        <v>0</v>
      </c>
      <c r="BP3" s="32">
        <v>0</v>
      </c>
      <c r="BQ3" s="32">
        <f>$T3*'brnchlt equations and multiples'!N$3+$U3*'brnchlt equations and multiples'!N$4</f>
        <v>2.4123395000000001E-3</v>
      </c>
      <c r="BR3" s="32">
        <f>$T3*'brnchlt equations and multiples'!O$3+$U3*'brnchlt equations and multiples'!O$4</f>
        <v>1.5412882000000001E-3</v>
      </c>
      <c r="BS3" s="32">
        <f t="shared" ref="BS3" si="9">BQ3-BU3</f>
        <v>1.5203653000000002E-3</v>
      </c>
      <c r="BT3" s="32">
        <f t="shared" ref="BT3" si="10">BR3-BV3</f>
        <v>1.0155129E-3</v>
      </c>
      <c r="BU3" s="32">
        <f>$T3*'brnchlt equations and multiples'!P$3+$U3*'brnchlt equations and multiples'!P$4</f>
        <v>8.9197419999999987E-4</v>
      </c>
      <c r="BV3" s="32">
        <f>$T3*'brnchlt equations and multiples'!Q$3+$U3*'brnchlt equations and multiples'!Q$4</f>
        <v>5.2577530000000002E-4</v>
      </c>
      <c r="BW3" s="32">
        <v>0</v>
      </c>
      <c r="BX3" s="32">
        <v>0</v>
      </c>
      <c r="BY3" s="32">
        <v>0</v>
      </c>
      <c r="BZ3" s="32">
        <v>0</v>
      </c>
      <c r="CA3" s="32">
        <f>$T3*'brnchlt equations and multiples'!R$3+$U3*'brnchlt equations and multiples'!R$4</f>
        <v>2.5136694217</v>
      </c>
      <c r="CB3" s="32">
        <f>$T3*'brnchlt equations and multiples'!S$3+$U3*'brnchlt equations and multiples'!S$4</f>
        <v>2.3583141056999999</v>
      </c>
      <c r="CC3" s="32">
        <f>$T3*'brnchlt equations and multiples'!T$3+$U3*'brnchlt equations and multiples'!T$4</f>
        <v>1.4339296105999999</v>
      </c>
      <c r="CD3" s="32">
        <f>$T3*'brnchlt equations and multiples'!U$3+$U3*'brnchlt equations and multiples'!U$4</f>
        <v>1.2794954856</v>
      </c>
      <c r="CE3" s="161">
        <v>0</v>
      </c>
      <c r="CF3" s="161">
        <v>0</v>
      </c>
      <c r="CG3" s="32">
        <f>$T3*'brnchlt equations and multiples'!V$3+$U3*'brnchlt equations and multiples'!V$4</f>
        <v>0.69047098070000001</v>
      </c>
      <c r="CH3" s="32">
        <f>$T3*'brnchlt equations and multiples'!W$3+$U3*'brnchlt equations and multiples'!W$4</f>
        <v>0.3319899368</v>
      </c>
      <c r="CI3" s="32">
        <f>$T3*'brnchlt equations and multiples'!X$3+$U3*'brnchlt equations and multiples'!X$4</f>
        <v>1.8537801761999999</v>
      </c>
      <c r="CJ3" s="32">
        <f>$T3*'brnchlt equations and multiples'!Y$3+$U3*'brnchlt equations and multiples'!Y$4</f>
        <v>0.80140871000000002</v>
      </c>
      <c r="CK3" s="32">
        <f>$T3*'brnchlt equations and multiples'!Z$3+$U3*'brnchlt equations and multiples'!Z$4</f>
        <v>6.5371133299999995E-2</v>
      </c>
      <c r="CL3" s="32">
        <f>$T3*'brnchlt equations and multiples'!AA$3+$U3*'brnchlt equations and multiples'!AA$4</f>
        <v>2.6666151799999999E-2</v>
      </c>
      <c r="CM3" s="25"/>
    </row>
  </sheetData>
  <sortState ref="A3:CP2433">
    <sortCondition ref="A3:A2433"/>
  </sortState>
  <mergeCells count="7">
    <mergeCell ref="AE1:AF1"/>
    <mergeCell ref="AG1:BE1"/>
    <mergeCell ref="BG1:CL1"/>
    <mergeCell ref="G1:J1"/>
    <mergeCell ref="M1:P1"/>
    <mergeCell ref="T1:U1"/>
    <mergeCell ref="W1:AD1"/>
  </mergeCells>
  <pageMargins left="0.75" right="0.75" top="1" bottom="1" header="0.5" footer="0.5"/>
  <pageSetup orientation="portrait" horizontalDpi="4294967292" vertic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3"/>
  <sheetViews>
    <sheetView zoomScaleNormal="100" workbookViewId="0">
      <pane xSplit="5" ySplit="2" topLeftCell="CG3" activePane="bottomRight" state="frozen"/>
      <selection activeCell="W3" sqref="W3"/>
      <selection pane="topRight" activeCell="W3" sqref="W3"/>
      <selection pane="bottomLeft" activeCell="W3" sqref="W3"/>
      <selection pane="bottomRight" activeCell="CM3" sqref="CM3"/>
    </sheetView>
  </sheetViews>
  <sheetFormatPr defaultColWidth="11" defaultRowHeight="15.75" x14ac:dyDescent="0.25"/>
  <cols>
    <col min="1" max="1" width="3.875" customWidth="1"/>
    <col min="2" max="2" width="9" style="44" bestFit="1" customWidth="1"/>
    <col min="3" max="3" width="9.625" style="44" bestFit="1" customWidth="1"/>
    <col min="4" max="4" width="6.875" style="44" bestFit="1" customWidth="1"/>
    <col min="5" max="5" width="13.375" style="44" bestFit="1" customWidth="1"/>
    <col min="6" max="6" width="8.625" style="39" customWidth="1"/>
    <col min="7" max="7" width="5.875" style="38" bestFit="1" customWidth="1"/>
    <col min="8" max="8" width="9.5" style="43" bestFit="1" customWidth="1"/>
    <col min="9" max="9" width="10.125" style="17" bestFit="1" customWidth="1"/>
    <col min="10" max="10" width="9.125" style="17" bestFit="1" customWidth="1"/>
    <col min="11" max="11" width="5" style="44" bestFit="1" customWidth="1"/>
    <col min="12" max="12" width="7.125" style="37" bestFit="1" customWidth="1"/>
    <col min="13" max="13" width="9.5" style="43" customWidth="1"/>
    <col min="14" max="14" width="12" style="17" bestFit="1" customWidth="1"/>
    <col min="15" max="15" width="9.5" style="17" bestFit="1" customWidth="1"/>
    <col min="16" max="16" width="10.625" style="11" bestFit="1" customWidth="1"/>
    <col min="17" max="18" width="7" style="11" bestFit="1" customWidth="1"/>
    <col min="19" max="19" width="7.375" style="11" bestFit="1" customWidth="1"/>
    <col min="20" max="20" width="9.5" style="11" bestFit="1" customWidth="1"/>
    <col min="21" max="21" width="6.375" style="11" customWidth="1"/>
    <col min="22" max="22" width="7" style="11" bestFit="1" customWidth="1"/>
    <col min="23" max="23" width="7.375" style="11" bestFit="1" customWidth="1"/>
    <col min="24" max="24" width="13.125" style="32" bestFit="1" customWidth="1"/>
    <col min="25" max="25" width="11.75" style="32" bestFit="1" customWidth="1"/>
    <col min="26" max="26" width="15.125" style="35" bestFit="1" customWidth="1"/>
    <col min="27" max="27" width="13.5" style="35" bestFit="1" customWidth="1"/>
    <col min="28" max="28" width="15.75" style="35" bestFit="1" customWidth="1"/>
    <col min="29" max="29" width="14.125" style="35" bestFit="1" customWidth="1"/>
    <col min="30" max="30" width="15.625" style="35" bestFit="1" customWidth="1"/>
    <col min="31" max="31" width="14" style="35" bestFit="1" customWidth="1"/>
    <col min="32" max="32" width="12.5" style="32" bestFit="1" customWidth="1"/>
    <col min="33" max="33" width="10.875" style="32" bestFit="1" customWidth="1"/>
    <col min="34" max="34" width="12.25" style="32" bestFit="1" customWidth="1"/>
    <col min="35" max="35" width="10.625" style="32" bestFit="1" customWidth="1"/>
    <col min="36" max="36" width="13.375" style="32" bestFit="1" customWidth="1"/>
    <col min="37" max="37" width="11.625" style="32" bestFit="1" customWidth="1"/>
    <col min="38" max="38" width="12.375" style="32" bestFit="1" customWidth="1"/>
    <col min="39" max="39" width="11.125" style="32" bestFit="1" customWidth="1"/>
    <col min="40" max="40" width="12.125" style="32" bestFit="1" customWidth="1"/>
    <col min="41" max="41" width="10.5" style="32" bestFit="1" customWidth="1"/>
    <col min="42" max="42" width="15.25" style="32" bestFit="1" customWidth="1"/>
    <col min="43" max="43" width="17.75" style="32" bestFit="1" customWidth="1"/>
    <col min="44" max="44" width="13.125" style="32" bestFit="1" customWidth="1"/>
    <col min="45" max="45" width="12.125" style="32" bestFit="1" customWidth="1"/>
    <col min="46" max="46" width="9.5" style="32" bestFit="1" customWidth="1"/>
    <col min="47" max="47" width="11.875" style="32" bestFit="1" customWidth="1"/>
    <col min="48" max="48" width="13.125" style="32" bestFit="1" customWidth="1"/>
    <col min="49" max="49" width="15.5" style="32" bestFit="1" customWidth="1"/>
    <col min="50" max="50" width="14.875" style="32" bestFit="1" customWidth="1"/>
    <col min="51" max="51" width="17.125" style="32" bestFit="1" customWidth="1"/>
    <col min="52" max="52" width="9.875" style="32" bestFit="1" customWidth="1"/>
    <col min="53" max="53" width="12.125" style="32" bestFit="1" customWidth="1"/>
    <col min="54" max="54" width="15.5" style="32" bestFit="1" customWidth="1"/>
    <col min="55" max="55" width="14" style="32" bestFit="1" customWidth="1"/>
    <col min="56" max="56" width="15.375" style="32" bestFit="1" customWidth="1"/>
    <col min="57" max="57" width="13.625" style="32" bestFit="1" customWidth="1"/>
    <col min="58" max="58" width="19.125" style="32" bestFit="1" customWidth="1"/>
    <col min="59" max="59" width="17.5" style="32" bestFit="1" customWidth="1"/>
    <col min="60" max="60" width="20.625" style="32" bestFit="1" customWidth="1"/>
    <col min="61" max="61" width="19.125" style="32" bestFit="1" customWidth="1"/>
    <col min="62" max="62" width="15.875" style="32" bestFit="1" customWidth="1"/>
    <col min="63" max="63" width="15" style="32" bestFit="1" customWidth="1"/>
    <col min="64" max="64" width="13.125" style="32" bestFit="1" customWidth="1"/>
    <col min="65" max="65" width="12.125" style="32" bestFit="1" customWidth="1"/>
    <col min="66" max="66" width="13.125" style="32" bestFit="1" customWidth="1"/>
    <col min="67" max="67" width="12.125" style="32" bestFit="1" customWidth="1"/>
    <col min="68" max="68" width="14" style="32" bestFit="1" customWidth="1"/>
    <col min="69" max="69" width="12.125" style="32" bestFit="1" customWidth="1"/>
    <col min="70" max="70" width="12.375" style="32" bestFit="1" customWidth="1"/>
    <col min="71" max="71" width="11.125" style="32" bestFit="1" customWidth="1"/>
    <col min="72" max="72" width="12.375" style="32" bestFit="1" customWidth="1"/>
    <col min="73" max="73" width="10.625" style="32" bestFit="1" customWidth="1"/>
    <col min="74" max="74" width="15.125" style="32" bestFit="1" customWidth="1"/>
    <col min="75" max="75" width="17.625" style="32" bestFit="1" customWidth="1"/>
    <col min="76" max="76" width="6.375" style="159" bestFit="1" customWidth="1"/>
    <col min="77" max="77" width="19.5" style="32" bestFit="1" customWidth="1"/>
    <col min="78" max="78" width="18.375" style="32" bestFit="1" customWidth="1"/>
    <col min="79" max="79" width="9.5" bestFit="1" customWidth="1"/>
    <col min="80" max="80" width="11.875" bestFit="1" customWidth="1"/>
    <col min="81" max="81" width="13.125" bestFit="1" customWidth="1"/>
    <col min="82" max="82" width="15.5" bestFit="1" customWidth="1"/>
    <col min="83" max="83" width="14.875" bestFit="1" customWidth="1"/>
    <col min="84" max="84" width="17.125" bestFit="1" customWidth="1"/>
    <col min="85" max="85" width="9.875" bestFit="1" customWidth="1"/>
    <col min="86" max="86" width="12.125" bestFit="1" customWidth="1"/>
    <col min="87" max="87" width="3.875" customWidth="1"/>
  </cols>
  <sheetData>
    <row r="1" spans="1:87" x14ac:dyDescent="0.25">
      <c r="A1" s="25"/>
      <c r="B1" s="45"/>
      <c r="C1" s="45"/>
      <c r="D1" s="45"/>
      <c r="E1" s="45"/>
      <c r="F1" s="193" t="s">
        <v>251</v>
      </c>
      <c r="G1" s="193"/>
      <c r="H1" s="193"/>
      <c r="I1" s="193"/>
      <c r="J1" s="193"/>
      <c r="K1" s="193"/>
      <c r="L1" s="193"/>
      <c r="M1" s="193"/>
      <c r="N1" s="193"/>
      <c r="O1" s="193"/>
      <c r="P1" s="183" t="s">
        <v>239</v>
      </c>
      <c r="Q1" s="183"/>
      <c r="R1" s="183"/>
      <c r="S1" s="183"/>
      <c r="T1" s="183"/>
      <c r="U1" s="183"/>
      <c r="V1" s="183"/>
      <c r="W1" s="183"/>
      <c r="X1" s="191" t="s">
        <v>255</v>
      </c>
      <c r="Y1" s="191"/>
      <c r="Z1" s="191"/>
      <c r="AA1" s="191"/>
      <c r="AB1" s="191"/>
      <c r="AC1" s="191"/>
      <c r="AD1" s="191"/>
      <c r="AE1" s="191"/>
      <c r="AF1" s="191"/>
      <c r="AG1" s="191"/>
      <c r="AH1" s="191"/>
      <c r="AI1" s="191"/>
      <c r="AJ1" s="191"/>
      <c r="AK1" s="191"/>
      <c r="AL1" s="191"/>
      <c r="AM1" s="191"/>
      <c r="AN1" s="191"/>
      <c r="AO1" s="191"/>
      <c r="AP1" s="191"/>
      <c r="AQ1" s="191"/>
      <c r="AR1" s="181" t="s">
        <v>256</v>
      </c>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181"/>
      <c r="BS1" s="181"/>
      <c r="BT1" s="181"/>
      <c r="BU1" s="181"/>
      <c r="BV1" s="181"/>
      <c r="BW1" s="181"/>
      <c r="BX1" s="192" t="s">
        <v>257</v>
      </c>
      <c r="BY1" s="192"/>
      <c r="BZ1" s="192"/>
      <c r="CA1" s="192"/>
      <c r="CB1" s="192"/>
      <c r="CC1" s="192"/>
      <c r="CD1" s="192"/>
      <c r="CE1" s="192"/>
      <c r="CF1" s="192"/>
      <c r="CG1" s="192"/>
      <c r="CH1" s="192"/>
      <c r="CI1" s="25"/>
    </row>
    <row r="2" spans="1:87" ht="18" x14ac:dyDescent="0.25">
      <c r="A2" s="169"/>
      <c r="B2" s="48" t="s">
        <v>199</v>
      </c>
      <c r="C2" s="48" t="s">
        <v>0</v>
      </c>
      <c r="D2" s="48" t="s">
        <v>1</v>
      </c>
      <c r="E2" s="48" t="s">
        <v>18</v>
      </c>
      <c r="F2" s="30" t="s">
        <v>68</v>
      </c>
      <c r="G2" s="27" t="s">
        <v>40</v>
      </c>
      <c r="H2" s="28" t="s">
        <v>238</v>
      </c>
      <c r="I2" s="173" t="s">
        <v>252</v>
      </c>
      <c r="J2" s="26" t="s">
        <v>159</v>
      </c>
      <c r="K2" s="158" t="s">
        <v>204</v>
      </c>
      <c r="L2" s="31" t="s">
        <v>30</v>
      </c>
      <c r="M2" s="28" t="s">
        <v>253</v>
      </c>
      <c r="N2" s="26" t="s">
        <v>237</v>
      </c>
      <c r="O2" s="26" t="s">
        <v>254</v>
      </c>
      <c r="P2" s="26" t="s">
        <v>20</v>
      </c>
      <c r="Q2" s="26" t="s">
        <v>21</v>
      </c>
      <c r="R2" s="26" t="s">
        <v>22</v>
      </c>
      <c r="S2" s="26" t="s">
        <v>23</v>
      </c>
      <c r="T2" s="26" t="s">
        <v>24</v>
      </c>
      <c r="U2" s="26" t="s">
        <v>25</v>
      </c>
      <c r="V2" s="26" t="s">
        <v>26</v>
      </c>
      <c r="W2" s="26" t="s">
        <v>27</v>
      </c>
      <c r="X2" s="27" t="s">
        <v>157</v>
      </c>
      <c r="Y2" s="27" t="s">
        <v>169</v>
      </c>
      <c r="Z2" s="126" t="s">
        <v>69</v>
      </c>
      <c r="AA2" s="126" t="s">
        <v>222</v>
      </c>
      <c r="AB2" s="126" t="s">
        <v>147</v>
      </c>
      <c r="AC2" s="126" t="s">
        <v>171</v>
      </c>
      <c r="AD2" s="126" t="s">
        <v>207</v>
      </c>
      <c r="AE2" s="126" t="s">
        <v>205</v>
      </c>
      <c r="AF2" s="27" t="s">
        <v>70</v>
      </c>
      <c r="AG2" s="27" t="s">
        <v>172</v>
      </c>
      <c r="AH2" s="27" t="s">
        <v>179</v>
      </c>
      <c r="AI2" s="27" t="s">
        <v>173</v>
      </c>
      <c r="AJ2" s="27" t="s">
        <v>208</v>
      </c>
      <c r="AK2" s="27" t="s">
        <v>206</v>
      </c>
      <c r="AL2" s="27" t="s">
        <v>144</v>
      </c>
      <c r="AM2" s="27" t="s">
        <v>174</v>
      </c>
      <c r="AN2" s="27" t="s">
        <v>164</v>
      </c>
      <c r="AO2" s="27" t="s">
        <v>175</v>
      </c>
      <c r="AP2" s="27" t="s">
        <v>151</v>
      </c>
      <c r="AQ2" s="27" t="s">
        <v>176</v>
      </c>
      <c r="AR2" s="27" t="s">
        <v>157</v>
      </c>
      <c r="AS2" s="27" t="s">
        <v>169</v>
      </c>
      <c r="AT2" s="27" t="s">
        <v>216</v>
      </c>
      <c r="AU2" s="27" t="s">
        <v>194</v>
      </c>
      <c r="AV2" s="27" t="s">
        <v>217</v>
      </c>
      <c r="AW2" s="27" t="s">
        <v>195</v>
      </c>
      <c r="AX2" s="27" t="s">
        <v>218</v>
      </c>
      <c r="AY2" s="27" t="s">
        <v>196</v>
      </c>
      <c r="AZ2" s="27" t="s">
        <v>219</v>
      </c>
      <c r="BA2" s="27" t="s">
        <v>198</v>
      </c>
      <c r="BB2" s="27" t="s">
        <v>69</v>
      </c>
      <c r="BC2" s="27" t="s">
        <v>222</v>
      </c>
      <c r="BD2" s="27" t="s">
        <v>148</v>
      </c>
      <c r="BE2" s="27" t="s">
        <v>211</v>
      </c>
      <c r="BF2" s="27" t="s">
        <v>209</v>
      </c>
      <c r="BG2" s="27" t="s">
        <v>210</v>
      </c>
      <c r="BH2" s="27" t="s">
        <v>212</v>
      </c>
      <c r="BI2" s="27" t="s">
        <v>213</v>
      </c>
      <c r="BJ2" s="27" t="s">
        <v>215</v>
      </c>
      <c r="BK2" s="27" t="s">
        <v>214</v>
      </c>
      <c r="BL2" s="27" t="s">
        <v>70</v>
      </c>
      <c r="BM2" s="27" t="s">
        <v>172</v>
      </c>
      <c r="BN2" s="27" t="s">
        <v>179</v>
      </c>
      <c r="BO2" s="27" t="s">
        <v>173</v>
      </c>
      <c r="BP2" s="27" t="s">
        <v>208</v>
      </c>
      <c r="BQ2" s="27" t="s">
        <v>206</v>
      </c>
      <c r="BR2" s="27" t="s">
        <v>144</v>
      </c>
      <c r="BS2" s="27" t="s">
        <v>174</v>
      </c>
      <c r="BT2" s="27" t="s">
        <v>164</v>
      </c>
      <c r="BU2" s="27" t="s">
        <v>175</v>
      </c>
      <c r="BV2" s="27" t="s">
        <v>151</v>
      </c>
      <c r="BW2" s="27" t="s">
        <v>176</v>
      </c>
      <c r="BX2" s="160" t="s">
        <v>221</v>
      </c>
      <c r="BY2" s="27" t="s">
        <v>156</v>
      </c>
      <c r="BZ2" s="27" t="s">
        <v>220</v>
      </c>
      <c r="CA2" s="27" t="s">
        <v>216</v>
      </c>
      <c r="CB2" s="27" t="s">
        <v>194</v>
      </c>
      <c r="CC2" s="27" t="s">
        <v>217</v>
      </c>
      <c r="CD2" s="27" t="s">
        <v>195</v>
      </c>
      <c r="CE2" s="27" t="s">
        <v>218</v>
      </c>
      <c r="CF2" s="27" t="s">
        <v>196</v>
      </c>
      <c r="CG2" s="27" t="s">
        <v>219</v>
      </c>
      <c r="CH2" s="27" t="s">
        <v>198</v>
      </c>
      <c r="CI2" s="25"/>
    </row>
    <row r="3" spans="1:87" x14ac:dyDescent="0.25">
      <c r="A3" s="164"/>
      <c r="B3" s="49">
        <v>1</v>
      </c>
      <c r="C3" s="44" t="s">
        <v>235</v>
      </c>
      <c r="D3" s="44" t="s">
        <v>236</v>
      </c>
      <c r="E3" s="44" t="s">
        <v>19</v>
      </c>
      <c r="F3" s="11">
        <f>S3</f>
        <v>62.4</v>
      </c>
      <c r="G3" s="38">
        <f t="shared" ref="G3" si="0">F3/66.3</f>
        <v>0.94117647058823528</v>
      </c>
      <c r="H3" s="43">
        <f>200*P3</f>
        <v>4.5999999999999996</v>
      </c>
      <c r="I3" s="17">
        <f>SQRT((Q3-U3)^2+(R3-V3)^2+(S3-W3)^2)</f>
        <v>2.9992059821836814</v>
      </c>
      <c r="J3" s="17">
        <v>0.5</v>
      </c>
      <c r="K3" s="44" t="s">
        <v>82</v>
      </c>
      <c r="L3" s="37">
        <v>0</v>
      </c>
      <c r="M3" s="43">
        <f>200*T3</f>
        <v>0</v>
      </c>
      <c r="N3" s="17">
        <v>2.8</v>
      </c>
      <c r="O3" s="17">
        <v>0</v>
      </c>
      <c r="P3" s="11">
        <v>2.3E-2</v>
      </c>
      <c r="Q3" s="11">
        <v>0.51859880171608941</v>
      </c>
      <c r="R3" s="11">
        <v>-0.34381603102433617</v>
      </c>
      <c r="S3" s="11">
        <v>62.4</v>
      </c>
      <c r="T3" s="11">
        <v>0</v>
      </c>
      <c r="U3" s="11">
        <v>1.6126459614860569</v>
      </c>
      <c r="V3" s="11">
        <v>-2.9212296206911685</v>
      </c>
      <c r="W3" s="11">
        <v>63.474819298099163</v>
      </c>
      <c r="X3" s="32">
        <v>3.1839831768</v>
      </c>
      <c r="Y3" s="32">
        <v>0.37903658530000001</v>
      </c>
      <c r="Z3" s="35">
        <v>5.8650763E-3</v>
      </c>
      <c r="AA3" s="35">
        <v>6.3042169999999995E-4</v>
      </c>
      <c r="AB3" s="35">
        <v>3.1814363999999999E-3</v>
      </c>
      <c r="AC3" s="35">
        <v>3.870217E-4</v>
      </c>
      <c r="AD3" s="35">
        <v>9.5266570000000002E-4</v>
      </c>
      <c r="AE3" s="35">
        <v>1.6025119999999999E-4</v>
      </c>
      <c r="AF3" s="32">
        <v>4.0020972112999997</v>
      </c>
      <c r="AG3" s="32">
        <v>0.58606457040000004</v>
      </c>
      <c r="AH3" s="32">
        <v>2.4863339409999998</v>
      </c>
      <c r="AI3" s="32">
        <v>0.36058184189999998</v>
      </c>
      <c r="AJ3" s="32">
        <v>0.1256881695</v>
      </c>
      <c r="AK3" s="32">
        <v>1.6844889599999999E-2</v>
      </c>
      <c r="AL3" s="32">
        <v>1.0840601056000001</v>
      </c>
      <c r="AM3" s="32">
        <v>0.11872400499999999</v>
      </c>
      <c r="AN3" s="32">
        <v>4.8865333923999996</v>
      </c>
      <c r="AO3" s="32">
        <v>0.54085494779999999</v>
      </c>
      <c r="AP3" s="32">
        <v>0.25236843190000002</v>
      </c>
      <c r="AQ3" s="32">
        <v>2.9710845E-2</v>
      </c>
      <c r="AR3" s="32">
        <f t="shared" ref="AR3" si="1">X3</f>
        <v>3.1839831768</v>
      </c>
      <c r="AS3" s="32">
        <f t="shared" ref="AS3" si="2">Y3</f>
        <v>0.37903658530000001</v>
      </c>
      <c r="AT3" s="32">
        <f t="shared" ref="AT3:BA3" si="3">CA3*$BX3</f>
        <v>0.65946542064517444</v>
      </c>
      <c r="AU3" s="32">
        <f t="shared" si="3"/>
        <v>8.2664767201443196E-2</v>
      </c>
      <c r="AV3" s="32">
        <f t="shared" si="3"/>
        <v>0.98963414811057904</v>
      </c>
      <c r="AW3" s="32">
        <f t="shared" si="3"/>
        <v>0.26333883831950666</v>
      </c>
      <c r="AX3" s="32">
        <f t="shared" si="3"/>
        <v>0.45082350244424657</v>
      </c>
      <c r="AY3" s="32">
        <f t="shared" si="3"/>
        <v>8.5106018712044817E-2</v>
      </c>
      <c r="AZ3" s="32">
        <f t="shared" si="3"/>
        <v>0</v>
      </c>
      <c r="BA3" s="32">
        <f t="shared" si="3"/>
        <v>0</v>
      </c>
      <c r="BB3" s="32">
        <f>Z3+PI()*(4/200)^2*O3</f>
        <v>5.8650763E-3</v>
      </c>
      <c r="BC3" s="32">
        <v>0</v>
      </c>
      <c r="BD3" s="32">
        <f>((100-$L3)/100)*(Z3-AB3)</f>
        <v>2.6836399000000001E-3</v>
      </c>
      <c r="BE3" s="32">
        <f>((100-$L3)/100)*(AA3-AC3)</f>
        <v>2.4339999999999995E-4</v>
      </c>
      <c r="BF3" s="32">
        <f>((100-$L3)/100)*(AB3-AD3)</f>
        <v>2.2287706999999999E-3</v>
      </c>
      <c r="BG3" s="32">
        <f>((100-$L3)/100)*(AC3+AE3)</f>
        <v>5.472729E-4</v>
      </c>
      <c r="BH3" s="32">
        <f>((100-$L3)/100)*AD3</f>
        <v>9.5266570000000002E-4</v>
      </c>
      <c r="BI3" s="32">
        <f>((100-$L3)/100)*AE3</f>
        <v>1.6025119999999999E-4</v>
      </c>
      <c r="BJ3" s="32">
        <f t="shared" ref="BJ3" si="4">BB3-SUM(BD3,BF3,BH3)</f>
        <v>0</v>
      </c>
      <c r="BK3" s="32">
        <f t="shared" ref="BK3" si="5">BJ3*AA3/Z3</f>
        <v>0</v>
      </c>
      <c r="BL3" s="32">
        <f>((100-$L3)/100)*AF3+2*PI()*O3*(4/200)</f>
        <v>4.0020972112999997</v>
      </c>
      <c r="BM3" s="32">
        <f t="shared" ref="BM3:BW3" si="6">((100-$L3)/100)*AG3</f>
        <v>0.58606457040000004</v>
      </c>
      <c r="BN3" s="32">
        <f t="shared" si="6"/>
        <v>2.4863339409999998</v>
      </c>
      <c r="BO3" s="32">
        <f t="shared" si="6"/>
        <v>0.36058184189999998</v>
      </c>
      <c r="BP3" s="32">
        <f t="shared" si="6"/>
        <v>0.1256881695</v>
      </c>
      <c r="BQ3" s="32">
        <f t="shared" si="6"/>
        <v>1.6844889599999999E-2</v>
      </c>
      <c r="BR3" s="32">
        <f t="shared" si="6"/>
        <v>1.0840601056000001</v>
      </c>
      <c r="BS3" s="32">
        <f t="shared" si="6"/>
        <v>0.11872400499999999</v>
      </c>
      <c r="BT3" s="32">
        <f t="shared" si="6"/>
        <v>4.8865333923999996</v>
      </c>
      <c r="BU3" s="32">
        <f t="shared" si="6"/>
        <v>0.54085494779999999</v>
      </c>
      <c r="BV3" s="32">
        <f t="shared" si="6"/>
        <v>0.25236843190000002</v>
      </c>
      <c r="BW3" s="32">
        <f t="shared" si="6"/>
        <v>2.9710845E-2</v>
      </c>
      <c r="BX3" s="161">
        <f t="shared" ref="BX3" si="7">BY3/SUM(CA3,CC3,CE3,CG3)</f>
        <v>0.6082560294739312</v>
      </c>
      <c r="BY3" s="32">
        <f>AR3-BR3</f>
        <v>2.0999230712000001</v>
      </c>
      <c r="BZ3" s="32">
        <f t="shared" ref="BZ3" si="8">BY3*AS3/AR3</f>
        <v>0.24998488563004548</v>
      </c>
      <c r="CA3" s="32">
        <f>BD3*404</f>
        <v>1.0841905196000001</v>
      </c>
      <c r="CB3" s="32">
        <f>BD3*14+BE3*404</f>
        <v>0.13590455859999998</v>
      </c>
      <c r="CC3" s="32">
        <f>BF3*730</f>
        <v>1.627002611</v>
      </c>
      <c r="CD3" s="32">
        <f>BF3*15+BG3*730</f>
        <v>0.43294077749999998</v>
      </c>
      <c r="CE3" s="32">
        <f>BH3*778</f>
        <v>0.74117391460000004</v>
      </c>
      <c r="CF3" s="32">
        <f>BH3*16+BI3*778</f>
        <v>0.13991808480000001</v>
      </c>
      <c r="CG3" s="32">
        <f>BJ3*620</f>
        <v>0</v>
      </c>
      <c r="CH3" s="32">
        <f>BJ3*8+BK3*620</f>
        <v>0</v>
      </c>
      <c r="CI3" s="25"/>
    </row>
  </sheetData>
  <sortState ref="B4147:CT12506">
    <sortCondition ref="B4147:B12506"/>
  </sortState>
  <mergeCells count="5">
    <mergeCell ref="X1:AQ1"/>
    <mergeCell ref="BX1:CH1"/>
    <mergeCell ref="AR1:BW1"/>
    <mergeCell ref="F1:O1"/>
    <mergeCell ref="P1:W1"/>
  </mergeCells>
  <pageMargins left="0.75" right="0.75" top="1" bottom="1" header="0.5" footer="0.5"/>
  <pageSetup orientation="portrait" horizontalDpi="4294967292" verticalDpi="4294967292"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5"/>
  <sheetViews>
    <sheetView workbookViewId="0">
      <pane ySplit="2" topLeftCell="A3" activePane="bottomLeft" state="frozen"/>
      <selection pane="bottomLeft" sqref="A1:U1048576"/>
    </sheetView>
  </sheetViews>
  <sheetFormatPr defaultColWidth="8.875" defaultRowHeight="15.75" x14ac:dyDescent="0.25"/>
  <cols>
    <col min="1" max="1" width="8.875" style="107"/>
    <col min="2" max="3" width="8.875" style="105"/>
    <col min="4" max="4" width="8.875" style="107"/>
    <col min="5" max="5" width="14.625" style="107" customWidth="1"/>
    <col min="6" max="8" width="7.625" style="107" bestFit="1" customWidth="1"/>
    <col min="9" max="9" width="6.5" style="107" bestFit="1" customWidth="1"/>
    <col min="10" max="10" width="7.125" style="107" customWidth="1"/>
    <col min="11" max="12" width="8.875" style="107"/>
    <col min="13" max="21" width="8.875" style="113"/>
    <col min="22" max="22" width="2" style="106" customWidth="1"/>
    <col min="23" max="23" width="3.375" style="107" bestFit="1" customWidth="1"/>
    <col min="24" max="24" width="7.125" style="107" customWidth="1"/>
    <col min="25" max="25" width="6.5" style="107" bestFit="1" customWidth="1"/>
    <col min="26" max="26" width="7.375" style="107" bestFit="1" customWidth="1"/>
    <col min="27" max="27" width="7.5" style="107" bestFit="1" customWidth="1"/>
    <col min="28" max="28" width="9.375" style="107" bestFit="1" customWidth="1"/>
    <col min="29" max="30" width="7.625" style="107" bestFit="1" customWidth="1"/>
    <col min="31" max="31" width="8.5" style="107" customWidth="1"/>
    <col min="32" max="32" width="8.875" style="107" customWidth="1"/>
    <col min="33" max="33" width="7.5" style="107" bestFit="1" customWidth="1"/>
    <col min="34" max="35" width="10.375" style="107" bestFit="1" customWidth="1"/>
    <col min="36" max="36" width="9.375" style="107" bestFit="1" customWidth="1"/>
    <col min="37" max="37" width="7.5" style="107" bestFit="1" customWidth="1"/>
    <col min="38" max="39" width="8.375" style="107" customWidth="1"/>
    <col min="40" max="16384" width="8.875" style="107"/>
  </cols>
  <sheetData>
    <row r="1" spans="1:39" ht="18" x14ac:dyDescent="0.25">
      <c r="A1" s="104" t="s">
        <v>94</v>
      </c>
      <c r="D1" s="105"/>
      <c r="E1" s="105"/>
      <c r="F1" s="194" t="s">
        <v>95</v>
      </c>
      <c r="G1" s="194"/>
      <c r="H1" s="194" t="s">
        <v>96</v>
      </c>
      <c r="I1" s="194"/>
      <c r="J1" s="105"/>
      <c r="K1" s="194" t="s">
        <v>97</v>
      </c>
      <c r="L1" s="194"/>
      <c r="M1" s="195" t="s">
        <v>145</v>
      </c>
      <c r="N1" s="195"/>
      <c r="O1" s="195"/>
      <c r="P1" s="196" t="s">
        <v>98</v>
      </c>
      <c r="Q1" s="196"/>
      <c r="R1" s="196"/>
      <c r="S1" s="196"/>
      <c r="T1" s="197" t="s">
        <v>146</v>
      </c>
      <c r="U1" s="197"/>
      <c r="X1" s="104" t="s">
        <v>94</v>
      </c>
      <c r="Y1" s="105"/>
      <c r="Z1" s="105"/>
      <c r="AA1" s="105"/>
      <c r="AB1" s="105" t="s">
        <v>99</v>
      </c>
      <c r="AC1" s="194" t="s">
        <v>97</v>
      </c>
      <c r="AD1" s="194"/>
      <c r="AE1" s="195" t="s">
        <v>145</v>
      </c>
      <c r="AF1" s="195"/>
      <c r="AG1" s="195"/>
      <c r="AH1" s="196" t="s">
        <v>98</v>
      </c>
      <c r="AI1" s="196"/>
      <c r="AJ1" s="196"/>
      <c r="AK1" s="196"/>
      <c r="AL1" s="197" t="s">
        <v>146</v>
      </c>
      <c r="AM1" s="197"/>
    </row>
    <row r="2" spans="1:39" x14ac:dyDescent="0.25">
      <c r="A2" s="105" t="s">
        <v>100</v>
      </c>
      <c r="B2" s="105" t="s">
        <v>101</v>
      </c>
      <c r="C2" s="105" t="s">
        <v>102</v>
      </c>
      <c r="D2" s="105" t="s">
        <v>103</v>
      </c>
      <c r="E2" s="105"/>
      <c r="F2" s="105" t="s">
        <v>104</v>
      </c>
      <c r="G2" s="105" t="s">
        <v>105</v>
      </c>
      <c r="H2" s="105" t="s">
        <v>104</v>
      </c>
      <c r="I2" s="105" t="s">
        <v>105</v>
      </c>
      <c r="J2" s="105" t="s">
        <v>99</v>
      </c>
      <c r="K2" s="105" t="s">
        <v>104</v>
      </c>
      <c r="L2" s="105" t="s">
        <v>105</v>
      </c>
      <c r="M2" s="108" t="s">
        <v>106</v>
      </c>
      <c r="N2" s="108" t="s">
        <v>107</v>
      </c>
      <c r="O2" s="108" t="s">
        <v>108</v>
      </c>
      <c r="P2" s="109" t="s">
        <v>109</v>
      </c>
      <c r="Q2" s="109" t="s">
        <v>110</v>
      </c>
      <c r="R2" s="109" t="s">
        <v>111</v>
      </c>
      <c r="S2" s="109" t="s">
        <v>108</v>
      </c>
      <c r="T2" s="110" t="s">
        <v>110</v>
      </c>
      <c r="U2" s="110" t="s">
        <v>111</v>
      </c>
      <c r="X2" s="105" t="s">
        <v>100</v>
      </c>
      <c r="Y2" s="105" t="s">
        <v>101</v>
      </c>
      <c r="Z2" s="105" t="s">
        <v>102</v>
      </c>
      <c r="AA2" s="105" t="s">
        <v>103</v>
      </c>
      <c r="AB2" s="105" t="s">
        <v>112</v>
      </c>
      <c r="AC2" s="105" t="s">
        <v>104</v>
      </c>
      <c r="AD2" s="105" t="s">
        <v>105</v>
      </c>
      <c r="AE2" s="108" t="s">
        <v>106</v>
      </c>
      <c r="AF2" s="108" t="s">
        <v>107</v>
      </c>
      <c r="AG2" s="108" t="s">
        <v>108</v>
      </c>
      <c r="AH2" s="109" t="s">
        <v>109</v>
      </c>
      <c r="AI2" s="109" t="s">
        <v>110</v>
      </c>
      <c r="AJ2" s="109" t="s">
        <v>111</v>
      </c>
      <c r="AK2" s="109" t="s">
        <v>108</v>
      </c>
      <c r="AL2" s="110" t="s">
        <v>110</v>
      </c>
      <c r="AM2" s="110" t="s">
        <v>111</v>
      </c>
    </row>
    <row r="3" spans="1:39" x14ac:dyDescent="0.25">
      <c r="A3" s="105" t="s">
        <v>113</v>
      </c>
      <c r="B3" s="105">
        <v>2</v>
      </c>
      <c r="C3" s="105">
        <v>13</v>
      </c>
      <c r="D3" s="105">
        <v>1</v>
      </c>
      <c r="E3" s="105" t="s">
        <v>114</v>
      </c>
      <c r="F3" s="111">
        <v>10.199999999999999</v>
      </c>
      <c r="G3" s="111">
        <v>10</v>
      </c>
      <c r="H3" s="111">
        <v>9</v>
      </c>
      <c r="I3" s="111">
        <v>8.9</v>
      </c>
      <c r="J3" s="112">
        <f t="shared" ref="J3:J34" si="0">(F3+G3+H3+I3)/4</f>
        <v>9.5250000000000004</v>
      </c>
      <c r="K3" s="113">
        <v>24.5</v>
      </c>
      <c r="L3" s="113">
        <v>20.7</v>
      </c>
      <c r="M3" s="114">
        <f>PI()*(((((F3+G3)/4)*((H3+I3)/4))+(((F3+G3)/4)^2)+(((H3+I3)/4)^2))/3)*((K3+L3)/2)</f>
        <v>1612.3359047572933</v>
      </c>
      <c r="N3" s="114">
        <f>PI()*(((F3+G3+H3+I3)/8)^2)*((K3+L3)/2)</f>
        <v>1610.3797070067351</v>
      </c>
      <c r="O3" s="114">
        <f>((N3-N4)/N3)*100</f>
        <v>15.099011718023419</v>
      </c>
      <c r="P3" s="113">
        <v>1146.4000000000001</v>
      </c>
      <c r="Q3" s="113">
        <v>1041.9000000000001</v>
      </c>
      <c r="R3" s="113">
        <f>P3-Q3</f>
        <v>104.5</v>
      </c>
      <c r="S3" s="115">
        <f>100*(R3/P3)</f>
        <v>9.1154919748778784</v>
      </c>
      <c r="T3" s="116">
        <f>Q3/N3</f>
        <v>0.64699026910654089</v>
      </c>
      <c r="U3" s="116">
        <f>R3/(N3-N4)</f>
        <v>0.42977334746363011</v>
      </c>
      <c r="W3" s="107">
        <v>8</v>
      </c>
      <c r="X3" s="105" t="s">
        <v>113</v>
      </c>
      <c r="Y3" s="105">
        <v>2</v>
      </c>
      <c r="Z3" s="105">
        <v>13</v>
      </c>
      <c r="AA3" s="105">
        <v>2</v>
      </c>
      <c r="AB3" s="117">
        <v>15.878249999999998</v>
      </c>
      <c r="AC3" s="107">
        <v>23.2</v>
      </c>
      <c r="AD3" s="107">
        <v>19</v>
      </c>
      <c r="AE3" s="117">
        <v>4178.7775498142373</v>
      </c>
      <c r="AF3" s="117">
        <v>4178.0882384746083</v>
      </c>
      <c r="AG3" s="117">
        <v>9.9961830274577856</v>
      </c>
      <c r="AH3" s="118">
        <v>3515.5</v>
      </c>
      <c r="AI3" s="118">
        <v>3342.4</v>
      </c>
      <c r="AJ3" s="118">
        <v>173.1</v>
      </c>
      <c r="AK3" s="117">
        <v>4.9239084056321998</v>
      </c>
      <c r="AL3" s="119">
        <v>0.7999831045263629</v>
      </c>
      <c r="AM3" s="119">
        <v>0.41446251763935937</v>
      </c>
    </row>
    <row r="4" spans="1:39" x14ac:dyDescent="0.25">
      <c r="A4" s="105" t="s">
        <v>113</v>
      </c>
      <c r="B4" s="105">
        <v>2</v>
      </c>
      <c r="C4" s="105">
        <v>13</v>
      </c>
      <c r="D4" s="105"/>
      <c r="E4" s="105" t="s">
        <v>115</v>
      </c>
      <c r="F4" s="111">
        <v>3.72</v>
      </c>
      <c r="G4" s="111">
        <v>3.04</v>
      </c>
      <c r="H4" s="111">
        <v>2.79</v>
      </c>
      <c r="I4" s="111">
        <v>5.42</v>
      </c>
      <c r="J4" s="112">
        <f t="shared" si="0"/>
        <v>3.7425000000000002</v>
      </c>
      <c r="K4" s="113"/>
      <c r="L4" s="113"/>
      <c r="M4" s="114">
        <f>PI()*((((((F3-(0.2*F4))+(G3-(0.2*G4)))/4)*(((H3-(0.2*H4))+(I3-(0.2*I4)))/4))+((((F3-(0.2*F4))+(G3-(0.2*G4)))/4)^2)+((((H3-(0.2*H4))+(I3-(0.2*I4)))/4)^2))/3)*((K3+L3)/2)</f>
        <v>1369.7088856096466</v>
      </c>
      <c r="N4" s="114">
        <f>PI()*((((F3-(0.2*F4))+(G3-(0.2*G4))+(H3-(0.2*H4))+(I3-(0.2*I4)))/8)^2)*((K3+L3)/2)</f>
        <v>1367.2282863411169</v>
      </c>
      <c r="O4" s="114"/>
      <c r="W4" s="107">
        <v>50</v>
      </c>
      <c r="X4" s="105" t="s">
        <v>116</v>
      </c>
      <c r="Y4" s="105">
        <v>2</v>
      </c>
      <c r="Z4" s="105">
        <v>129</v>
      </c>
      <c r="AA4" s="105" t="s">
        <v>117</v>
      </c>
      <c r="AB4" s="117">
        <v>14.675000000000001</v>
      </c>
      <c r="AC4" s="107">
        <v>5.0999999999999996</v>
      </c>
      <c r="AD4" s="107">
        <v>4.0999999999999996</v>
      </c>
      <c r="AE4" s="117">
        <v>778.06241365162236</v>
      </c>
      <c r="AF4" s="117">
        <v>778.04359682062432</v>
      </c>
      <c r="AG4" s="117">
        <v>11.036861818677862</v>
      </c>
      <c r="AH4" s="118">
        <v>703</v>
      </c>
      <c r="AI4" s="118">
        <v>677.6</v>
      </c>
      <c r="AJ4" s="118">
        <v>25.399999999999977</v>
      </c>
      <c r="AK4" s="117">
        <v>3.6130867709815044</v>
      </c>
      <c r="AL4" s="119">
        <v>0.87090235401836835</v>
      </c>
      <c r="AM4" s="119">
        <v>0.29579047071364589</v>
      </c>
    </row>
    <row r="5" spans="1:39" x14ac:dyDescent="0.25">
      <c r="A5" s="105" t="s">
        <v>113</v>
      </c>
      <c r="B5" s="105">
        <v>1</v>
      </c>
      <c r="C5" s="105">
        <v>118</v>
      </c>
      <c r="D5" s="105">
        <v>1</v>
      </c>
      <c r="E5" s="105" t="s">
        <v>114</v>
      </c>
      <c r="F5" s="111">
        <v>17.079999999999998</v>
      </c>
      <c r="G5" s="111">
        <v>15.382999999999999</v>
      </c>
      <c r="H5" s="111">
        <v>16.05</v>
      </c>
      <c r="I5" s="111">
        <v>15</v>
      </c>
      <c r="J5" s="112">
        <f t="shared" si="0"/>
        <v>15.878249999999998</v>
      </c>
      <c r="K5" s="113">
        <v>23.2</v>
      </c>
      <c r="L5" s="113">
        <v>19</v>
      </c>
      <c r="M5" s="114">
        <f>PI()*(((((F5+G5)/4)*((H5+I5)/4))+(((F5+G5)/4)^2)+(((H5+I5)/4)^2))/3)*((K5+L5)/2)</f>
        <v>4178.7775498142373</v>
      </c>
      <c r="N5" s="114">
        <f>PI()*(((F5+G5+H5+I5)/8)^2)*((K5+L5)/2)</f>
        <v>4178.0882384746083</v>
      </c>
      <c r="O5" s="114">
        <f>((N5-N6)/N5)*100</f>
        <v>9.9961830274577856</v>
      </c>
      <c r="P5" s="113">
        <f>Q5+R5</f>
        <v>3515.5</v>
      </c>
      <c r="Q5" s="113">
        <v>3342.4</v>
      </c>
      <c r="R5" s="113">
        <v>173.1</v>
      </c>
      <c r="S5" s="115">
        <f>100*(R5/P5)</f>
        <v>4.9239084056321998</v>
      </c>
      <c r="T5" s="116">
        <f>Q5/N5</f>
        <v>0.7999831045263629</v>
      </c>
      <c r="U5" s="116">
        <f>R5/(N5-N6)</f>
        <v>0.41446251763935937</v>
      </c>
      <c r="W5" s="107">
        <v>49</v>
      </c>
      <c r="X5" s="105" t="s">
        <v>116</v>
      </c>
      <c r="Y5" s="105">
        <v>2</v>
      </c>
      <c r="Z5" s="105">
        <v>129</v>
      </c>
      <c r="AA5" s="105">
        <v>4</v>
      </c>
      <c r="AB5" s="117">
        <v>14.225</v>
      </c>
      <c r="AC5" s="107">
        <v>13.5</v>
      </c>
      <c r="AD5" s="107">
        <v>12.8</v>
      </c>
      <c r="AE5" s="117">
        <v>2090.3585158074907</v>
      </c>
      <c r="AF5" s="117">
        <v>2089.8743914708339</v>
      </c>
      <c r="AG5" s="117">
        <v>9.7065852897662168</v>
      </c>
      <c r="AH5" s="118">
        <v>1712.6999999999998</v>
      </c>
      <c r="AI5" s="118">
        <v>1641.1</v>
      </c>
      <c r="AJ5" s="118">
        <v>71.599999999999994</v>
      </c>
      <c r="AK5" s="117">
        <v>4.1805336603024461</v>
      </c>
      <c r="AL5" s="119">
        <v>0.78526250510443796</v>
      </c>
      <c r="AM5" s="119">
        <v>0.35296070891297804</v>
      </c>
    </row>
    <row r="6" spans="1:39" x14ac:dyDescent="0.25">
      <c r="A6" s="105" t="s">
        <v>113</v>
      </c>
      <c r="B6" s="105">
        <v>1</v>
      </c>
      <c r="C6" s="105">
        <v>118</v>
      </c>
      <c r="D6" s="105"/>
      <c r="E6" s="105" t="s">
        <v>115</v>
      </c>
      <c r="F6" s="111">
        <v>6.28</v>
      </c>
      <c r="G6" s="111">
        <v>1.7</v>
      </c>
      <c r="H6" s="111">
        <v>6.01</v>
      </c>
      <c r="I6" s="111">
        <v>2.2999999999999998</v>
      </c>
      <c r="J6" s="112">
        <f t="shared" si="0"/>
        <v>4.0724999999999998</v>
      </c>
      <c r="K6" s="113"/>
      <c r="L6" s="113"/>
      <c r="M6" s="114">
        <f>PI()*((((((F5-(0.2*F6))+(G5-(0.2*G6)))/4)*(((H5-(0.2*H6))+(I5-(0.2*I6)))/4))+((((F5-(0.2*F6))+(G5-(0.2*G6)))/4)^2)+((((H5-(0.2*H6))+(I5-(0.2*I6)))/4)^2))/3)*((K5+L5)/2)</f>
        <v>3761.1941006129405</v>
      </c>
      <c r="N6" s="114">
        <f>PI()*((((F5-(0.2*F6))+(G5-(0.2*G6))+(H5-(0.2*H6))+(I5-(0.2*I6)))/8)^2)*((K5+L5)/2)</f>
        <v>3760.4388911079996</v>
      </c>
      <c r="O6" s="114"/>
      <c r="W6" s="107">
        <v>51</v>
      </c>
      <c r="X6" s="105" t="s">
        <v>116</v>
      </c>
      <c r="Y6" s="105">
        <v>4</v>
      </c>
      <c r="Z6" s="105">
        <v>17</v>
      </c>
      <c r="AA6" s="105">
        <v>1</v>
      </c>
      <c r="AB6" s="117">
        <v>10.7</v>
      </c>
      <c r="AC6" s="107">
        <v>13.1</v>
      </c>
      <c r="AD6" s="107">
        <v>12.7</v>
      </c>
      <c r="AE6" s="117">
        <v>1160.1821166395355</v>
      </c>
      <c r="AF6" s="117">
        <v>1159.9710408831224</v>
      </c>
      <c r="AG6" s="117">
        <v>9.5279009083762976</v>
      </c>
      <c r="AH6" s="118">
        <v>858.5</v>
      </c>
      <c r="AI6" s="118">
        <v>799.9</v>
      </c>
      <c r="AJ6" s="118">
        <v>58.600000000000023</v>
      </c>
      <c r="AK6" s="117">
        <v>6.8258590564938864</v>
      </c>
      <c r="AL6" s="119">
        <v>0.68958618086793866</v>
      </c>
      <c r="AM6" s="119">
        <v>0.53021649833683926</v>
      </c>
    </row>
    <row r="7" spans="1:39" x14ac:dyDescent="0.25">
      <c r="A7" s="105" t="s">
        <v>113</v>
      </c>
      <c r="B7" s="105">
        <v>1</v>
      </c>
      <c r="C7" s="105">
        <v>118</v>
      </c>
      <c r="D7" s="105">
        <v>2</v>
      </c>
      <c r="E7" s="105" t="s">
        <v>114</v>
      </c>
      <c r="F7" s="111">
        <v>10.967000000000001</v>
      </c>
      <c r="G7" s="111">
        <v>10.074</v>
      </c>
      <c r="H7" s="111">
        <v>11.013</v>
      </c>
      <c r="I7" s="111">
        <v>9.7870000000000008</v>
      </c>
      <c r="J7" s="112">
        <f t="shared" si="0"/>
        <v>10.46025</v>
      </c>
      <c r="K7" s="113">
        <v>12.5</v>
      </c>
      <c r="L7" s="113">
        <v>12.5</v>
      </c>
      <c r="M7" s="114">
        <f>PI()*(((((F7+G7)/4)*((H7+I7)/4))+(((F7+G7)/4)^2)+(((H7+I7)/4)^2))/3)*((K7+L7)/2)</f>
        <v>1074.2090965499799</v>
      </c>
      <c r="N7" s="114">
        <f>PI()*(((F7+G7+H7+I7)/8)^2)*((K7+L7)/2)</f>
        <v>1074.1972171982277</v>
      </c>
      <c r="O7" s="114">
        <f>((N7-N8)/N7)*100</f>
        <v>11.835525661457028</v>
      </c>
      <c r="P7" s="113">
        <v>682.6</v>
      </c>
      <c r="Q7" s="113">
        <v>618.4</v>
      </c>
      <c r="R7" s="113">
        <f>P7-Q7</f>
        <v>64.200000000000045</v>
      </c>
      <c r="S7" s="115">
        <f>100*(R7/P7)</f>
        <v>9.4052153530618288</v>
      </c>
      <c r="T7" s="116">
        <f>Q7/N7</f>
        <v>0.57568572148505492</v>
      </c>
      <c r="U7" s="116">
        <f>R7/(N7-N8)</f>
        <v>0.50496753039463782</v>
      </c>
      <c r="W7" s="107">
        <v>9</v>
      </c>
      <c r="X7" s="105" t="s">
        <v>113</v>
      </c>
      <c r="Y7" s="105">
        <v>2</v>
      </c>
      <c r="Z7" s="105">
        <v>13</v>
      </c>
      <c r="AA7" s="105">
        <v>4</v>
      </c>
      <c r="AB7" s="117">
        <v>10.46025</v>
      </c>
      <c r="AC7" s="107">
        <v>12.5</v>
      </c>
      <c r="AD7" s="107">
        <v>12.5</v>
      </c>
      <c r="AE7" s="117">
        <v>1074.2090965499799</v>
      </c>
      <c r="AF7" s="117">
        <v>1074.1972171982277</v>
      </c>
      <c r="AG7" s="117">
        <v>11.835525661457028</v>
      </c>
      <c r="AH7" s="118">
        <v>682.6</v>
      </c>
      <c r="AI7" s="118">
        <v>618.4</v>
      </c>
      <c r="AJ7" s="118">
        <v>64.200000000000045</v>
      </c>
      <c r="AK7" s="117">
        <v>9.4052153530618288</v>
      </c>
      <c r="AL7" s="119">
        <v>0.57568572148505492</v>
      </c>
      <c r="AM7" s="119">
        <v>0.50496753039463782</v>
      </c>
    </row>
    <row r="8" spans="1:39" x14ac:dyDescent="0.25">
      <c r="A8" s="105" t="s">
        <v>113</v>
      </c>
      <c r="B8" s="105">
        <v>1</v>
      </c>
      <c r="C8" s="105">
        <v>118</v>
      </c>
      <c r="D8" s="105"/>
      <c r="E8" s="105" t="s">
        <v>115</v>
      </c>
      <c r="F8" s="111">
        <v>4.96</v>
      </c>
      <c r="G8" s="111">
        <v>1.48</v>
      </c>
      <c r="H8" s="111">
        <v>4.2699999999999996</v>
      </c>
      <c r="I8" s="111">
        <v>2.06</v>
      </c>
      <c r="J8" s="112">
        <f t="shared" si="0"/>
        <v>3.1924999999999999</v>
      </c>
      <c r="K8" s="113"/>
      <c r="L8" s="113"/>
      <c r="M8" s="114">
        <f>PI()*((((((F7-(0.2*F8))+(G7-(0.2*G8)))/4)*(((H7-(0.2*H8))+(I7-(0.2*I8)))/4))+((((F7-(0.2*F8))+(G7-(0.2*G8)))/4)^2)+((((H7-(0.2*H8))+(I7-(0.2*I8)))/4)^2))/3)*((K7+L7)/2)</f>
        <v>947.07013940241666</v>
      </c>
      <c r="N8" s="114">
        <f>PI()*((((F7-(0.2*F8))+(G7-(0.2*G8))+(H7-(0.2*H8))+(I7-(0.2*I8)))/8)^2)*((K7+L7)/2)</f>
        <v>947.06032990207416</v>
      </c>
      <c r="O8" s="114"/>
      <c r="W8" s="107">
        <v>10</v>
      </c>
      <c r="X8" s="105" t="s">
        <v>113</v>
      </c>
      <c r="Y8" s="105">
        <v>1</v>
      </c>
      <c r="Z8" s="105">
        <v>112</v>
      </c>
      <c r="AA8" s="105">
        <v>1</v>
      </c>
      <c r="AB8" s="117">
        <v>9.6524999999999999</v>
      </c>
      <c r="AC8" s="107">
        <v>10.3</v>
      </c>
      <c r="AD8" s="107">
        <v>9.5</v>
      </c>
      <c r="AE8" s="117">
        <v>724.44670299009624</v>
      </c>
      <c r="AF8" s="117">
        <v>724.44379432690323</v>
      </c>
      <c r="AG8" s="117">
        <v>13.93965931236071</v>
      </c>
      <c r="AH8" s="118">
        <v>445.8</v>
      </c>
      <c r="AI8" s="118">
        <v>397.7</v>
      </c>
      <c r="AJ8" s="118">
        <v>48.100000000000023</v>
      </c>
      <c r="AK8" s="117">
        <v>10.789591745177214</v>
      </c>
      <c r="AL8" s="119">
        <v>0.54897288528713517</v>
      </c>
      <c r="AM8" s="119">
        <v>0.47630837753873551</v>
      </c>
    </row>
    <row r="9" spans="1:39" x14ac:dyDescent="0.25">
      <c r="A9" s="105" t="s">
        <v>113</v>
      </c>
      <c r="B9" s="105">
        <v>1</v>
      </c>
      <c r="C9" s="105">
        <v>118</v>
      </c>
      <c r="D9" s="105">
        <v>3</v>
      </c>
      <c r="E9" s="105" t="s">
        <v>114</v>
      </c>
      <c r="F9" s="111">
        <v>10.62</v>
      </c>
      <c r="G9" s="111">
        <v>8.7520000000000007</v>
      </c>
      <c r="H9" s="111">
        <v>10.66</v>
      </c>
      <c r="I9" s="111">
        <v>8.5779999999999994</v>
      </c>
      <c r="J9" s="112">
        <f t="shared" si="0"/>
        <v>9.6524999999999999</v>
      </c>
      <c r="K9" s="120">
        <v>10.3</v>
      </c>
      <c r="L9" s="120">
        <v>9.5</v>
      </c>
      <c r="M9" s="114">
        <f>PI()*(((((F9+G9)/4)*((H9+I9)/4))+(((F9+G9)/4)^2)+(((H9+I9)/4)^2))/3)*((K9+L9)/2)</f>
        <v>724.44670299009624</v>
      </c>
      <c r="N9" s="114">
        <f>PI()*(((F9+G9+H9+I9)/8)^2)*((K9+L9)/2)</f>
        <v>724.44379432690323</v>
      </c>
      <c r="O9" s="114">
        <f>((N9-N10)/N9)*100</f>
        <v>13.93965931236071</v>
      </c>
      <c r="P9" s="113">
        <v>445.8</v>
      </c>
      <c r="Q9" s="113">
        <v>397.7</v>
      </c>
      <c r="R9" s="113">
        <f>P9-Q9</f>
        <v>48.100000000000023</v>
      </c>
      <c r="S9" s="115">
        <f>100*(R9/P9)</f>
        <v>10.789591745177214</v>
      </c>
      <c r="T9" s="116">
        <f>Q9/N9</f>
        <v>0.54897288528713517</v>
      </c>
      <c r="U9" s="116">
        <f>R9/(N9-N10)</f>
        <v>0.47630837753873551</v>
      </c>
      <c r="W9" s="107">
        <v>1</v>
      </c>
      <c r="X9" s="105" t="s">
        <v>118</v>
      </c>
      <c r="Y9" s="105">
        <v>2</v>
      </c>
      <c r="Z9" s="121">
        <v>161</v>
      </c>
      <c r="AA9" s="105">
        <v>1</v>
      </c>
      <c r="AB9" s="117">
        <v>9.5250000000000004</v>
      </c>
      <c r="AC9" s="107">
        <v>24.5</v>
      </c>
      <c r="AD9" s="107">
        <v>20.7</v>
      </c>
      <c r="AE9" s="117">
        <v>1612.3359047572933</v>
      </c>
      <c r="AF9" s="117">
        <v>1610.3797070067351</v>
      </c>
      <c r="AG9" s="117">
        <v>15.099011718023419</v>
      </c>
      <c r="AH9" s="118">
        <v>1146.4000000000001</v>
      </c>
      <c r="AI9" s="118">
        <v>1041.9000000000001</v>
      </c>
      <c r="AJ9" s="118">
        <v>104.5</v>
      </c>
      <c r="AK9" s="117">
        <v>9.1154919748778784</v>
      </c>
      <c r="AL9" s="119">
        <v>0.64699026910654089</v>
      </c>
      <c r="AM9" s="119">
        <v>0.42977334746363011</v>
      </c>
    </row>
    <row r="10" spans="1:39" x14ac:dyDescent="0.25">
      <c r="A10" s="105" t="s">
        <v>113</v>
      </c>
      <c r="B10" s="105">
        <v>1</v>
      </c>
      <c r="C10" s="105">
        <v>118</v>
      </c>
      <c r="D10" s="105"/>
      <c r="E10" s="105" t="s">
        <v>115</v>
      </c>
      <c r="F10" s="111">
        <v>4.97</v>
      </c>
      <c r="G10" s="111">
        <v>2.61</v>
      </c>
      <c r="H10" s="111">
        <v>5.09</v>
      </c>
      <c r="I10" s="111">
        <v>1.29</v>
      </c>
      <c r="J10" s="112">
        <f t="shared" si="0"/>
        <v>3.49</v>
      </c>
      <c r="K10" s="120"/>
      <c r="L10" s="120"/>
      <c r="M10" s="114">
        <f>PI()*((((((F9-(0.2*F10))+(G9-(0.2*G10)))/4)*(((H9-(0.2*H10))+(I9-(0.2*I10)))/4))+((((F9-(0.2*F10))+(G9-(0.2*G10)))/4)^2)+((((H9-(0.2*H10))+(I9-(0.2*I10)))/4)^2))/3)*((K9+L9)/2)</f>
        <v>623.46061758953283</v>
      </c>
      <c r="N10" s="114">
        <f>PI()*((((F9-(0.2*F10))+(G9-(0.2*G10))+(H9-(0.2*H10))+(I9-(0.2*I10)))/8)^2)*((K9+L9)/2)</f>
        <v>623.4587974881938</v>
      </c>
      <c r="O10" s="114"/>
      <c r="P10" s="120"/>
      <c r="Q10" s="120"/>
      <c r="R10" s="120"/>
      <c r="W10" s="107">
        <v>24</v>
      </c>
      <c r="X10" s="105" t="s">
        <v>113</v>
      </c>
      <c r="Y10" s="105">
        <v>4</v>
      </c>
      <c r="Z10" s="105">
        <v>35</v>
      </c>
      <c r="AA10" s="105">
        <v>1</v>
      </c>
      <c r="AB10" s="117">
        <v>8.5749999999999993</v>
      </c>
      <c r="AC10" s="107">
        <v>12.1</v>
      </c>
      <c r="AD10" s="107">
        <v>9.1999999999999993</v>
      </c>
      <c r="AE10" s="117">
        <v>615.81469743235994</v>
      </c>
      <c r="AF10" s="117">
        <v>615.04620987316798</v>
      </c>
      <c r="AG10" s="117">
        <v>14.100068848863993</v>
      </c>
      <c r="AH10" s="118">
        <v>463.6</v>
      </c>
      <c r="AI10" s="118">
        <v>406.9</v>
      </c>
      <c r="AJ10" s="118">
        <v>56.700000000000045</v>
      </c>
      <c r="AK10" s="117">
        <v>12.23037100949095</v>
      </c>
      <c r="AL10" s="119">
        <v>0.66157630673621914</v>
      </c>
      <c r="AM10" s="119">
        <v>0.6538137941189387</v>
      </c>
    </row>
    <row r="11" spans="1:39" x14ac:dyDescent="0.25">
      <c r="A11" s="105" t="s">
        <v>113</v>
      </c>
      <c r="B11" s="105">
        <v>1</v>
      </c>
      <c r="C11" s="105">
        <v>118</v>
      </c>
      <c r="D11" s="105">
        <v>4</v>
      </c>
      <c r="E11" s="105" t="s">
        <v>114</v>
      </c>
      <c r="F11" s="111">
        <v>5.25</v>
      </c>
      <c r="G11" s="111">
        <v>5.04</v>
      </c>
      <c r="H11" s="111">
        <v>5.1029999999999998</v>
      </c>
      <c r="I11" s="111">
        <v>4.968</v>
      </c>
      <c r="J11" s="112">
        <f t="shared" si="0"/>
        <v>5.0902499999999993</v>
      </c>
      <c r="K11" s="120">
        <v>11.1</v>
      </c>
      <c r="L11" s="120">
        <v>10.5</v>
      </c>
      <c r="M11" s="114">
        <f>PI()*(((((F11+G11)/4)*((H11+I11)/4))+(((F11+G11)/4)^2)+(((H11+I11)/4)^2))/3)*((K11+L11)/2)</f>
        <v>219.79034428922691</v>
      </c>
      <c r="N11" s="114">
        <f>PI()*(((F11+G11+H11+I11)/8)^2)*((K11+L11)/2)</f>
        <v>219.78186888093111</v>
      </c>
      <c r="O11" s="114">
        <f>((N11-N12)/N11)*100</f>
        <v>25.510748513036923</v>
      </c>
      <c r="P11" s="113">
        <v>132.6</v>
      </c>
      <c r="Q11" s="113">
        <v>109.3</v>
      </c>
      <c r="R11" s="113">
        <f>P11-Q11</f>
        <v>23.299999999999997</v>
      </c>
      <c r="S11" s="115">
        <f>100*(R11/P11)</f>
        <v>17.571644042232275</v>
      </c>
      <c r="T11" s="116">
        <f>Q11/N11</f>
        <v>0.49731126847053203</v>
      </c>
      <c r="U11" s="116">
        <f>R11/(N11-N12)</f>
        <v>0.41556681285916552</v>
      </c>
      <c r="W11" s="107">
        <v>55</v>
      </c>
      <c r="X11" s="105" t="s">
        <v>118</v>
      </c>
      <c r="Y11" s="105">
        <v>3</v>
      </c>
      <c r="Z11" s="105">
        <v>166</v>
      </c>
      <c r="AA11" s="105">
        <v>3</v>
      </c>
      <c r="AB11" s="117">
        <v>7.5</v>
      </c>
      <c r="AC11" s="107">
        <v>14.8</v>
      </c>
      <c r="AD11" s="107">
        <v>13.1</v>
      </c>
      <c r="AE11" s="117">
        <v>616.30125159458464</v>
      </c>
      <c r="AF11" s="117">
        <v>616.29212134093518</v>
      </c>
      <c r="AG11" s="117">
        <v>12.128124000000021</v>
      </c>
      <c r="AH11" s="118">
        <v>386.3</v>
      </c>
      <c r="AI11" s="118">
        <v>344.6</v>
      </c>
      <c r="AJ11" s="118">
        <v>41.699999999999989</v>
      </c>
      <c r="AK11" s="117">
        <v>10.794719130209678</v>
      </c>
      <c r="AL11" s="119">
        <v>0.5591504224493663</v>
      </c>
      <c r="AM11" s="119">
        <v>0.55789929242699832</v>
      </c>
    </row>
    <row r="12" spans="1:39" x14ac:dyDescent="0.25">
      <c r="A12" s="105" t="s">
        <v>113</v>
      </c>
      <c r="B12" s="105">
        <v>1</v>
      </c>
      <c r="C12" s="105">
        <v>118</v>
      </c>
      <c r="E12" s="105" t="s">
        <v>115</v>
      </c>
      <c r="F12" s="111">
        <v>4.2300000000000004</v>
      </c>
      <c r="G12" s="111">
        <v>2.97</v>
      </c>
      <c r="H12" s="111">
        <v>4.05</v>
      </c>
      <c r="I12" s="111">
        <v>2.69</v>
      </c>
      <c r="J12" s="112">
        <f t="shared" si="0"/>
        <v>3.4849999999999999</v>
      </c>
      <c r="K12" s="120"/>
      <c r="L12" s="120"/>
      <c r="M12" s="114">
        <f>PI()*((((((F11-(0.2*F12))+(G11-(0.2*G12)))/4)*(((H11-(0.2*H12))+(I11-(0.2*I12)))/4))+((((F11-(0.2*F12))+(G11-(0.2*G12)))/4)^2)+((((H11-(0.2*H12))+(I11-(0.2*I12)))/4)^2))/3)*((K11+L11)/2)</f>
        <v>163.71671926303409</v>
      </c>
      <c r="N12" s="114">
        <f>PI()*((((F11-(0.2*F12))+(G11-(0.2*G12))+(H11-(0.2*H12))+(I11-(0.2*I12)))/8)^2)*((K11+L11)/2)</f>
        <v>163.71386903346422</v>
      </c>
      <c r="O12" s="114"/>
      <c r="W12" s="107">
        <v>32</v>
      </c>
      <c r="X12" s="105" t="s">
        <v>116</v>
      </c>
      <c r="Y12" s="105">
        <v>1</v>
      </c>
      <c r="Z12" s="105">
        <v>24</v>
      </c>
      <c r="AA12" s="105">
        <v>1</v>
      </c>
      <c r="AB12" s="117">
        <v>7.35</v>
      </c>
      <c r="AC12" s="107">
        <v>6.6</v>
      </c>
      <c r="AD12" s="107">
        <v>5</v>
      </c>
      <c r="AE12" s="117">
        <v>246.14993669437359</v>
      </c>
      <c r="AF12" s="117">
        <v>246.08919923640414</v>
      </c>
      <c r="AG12" s="117">
        <v>19.525674950252213</v>
      </c>
      <c r="AH12" s="118">
        <v>225</v>
      </c>
      <c r="AI12" s="118">
        <v>201.50800000000001</v>
      </c>
      <c r="AJ12" s="118">
        <v>23.49199999999999</v>
      </c>
      <c r="AK12" s="117">
        <v>10.440888888888884</v>
      </c>
      <c r="AL12" s="119">
        <v>0.81884130073674033</v>
      </c>
      <c r="AM12" s="119">
        <v>0.48890151592060593</v>
      </c>
    </row>
    <row r="13" spans="1:39" x14ac:dyDescent="0.25">
      <c r="A13" s="105" t="s">
        <v>113</v>
      </c>
      <c r="B13" s="105">
        <v>5</v>
      </c>
      <c r="C13" s="105">
        <v>8</v>
      </c>
      <c r="D13" s="105">
        <v>1</v>
      </c>
      <c r="E13" s="105" t="s">
        <v>114</v>
      </c>
      <c r="F13" s="111">
        <v>5.71</v>
      </c>
      <c r="G13" s="111">
        <v>5.45</v>
      </c>
      <c r="H13" s="111">
        <v>5.05</v>
      </c>
      <c r="I13" s="111">
        <v>4.9400000000000004</v>
      </c>
      <c r="J13" s="112">
        <f t="shared" si="0"/>
        <v>5.2875000000000005</v>
      </c>
      <c r="K13" s="120">
        <v>17.3</v>
      </c>
      <c r="L13" s="120">
        <v>13.9</v>
      </c>
      <c r="M13" s="114">
        <f>PI()*(((((F13+G13)/4)*((H13+I13)/4))+(((F13+G13)/4)^2)+(((H13+I13)/4)^2))/3)*((K13+L13)/2)</f>
        <v>342.89253095010554</v>
      </c>
      <c r="N13" s="114">
        <f>PI()*(((F13+G13+H13+I13)/8)^2)*((K13+L13)/2)</f>
        <v>342.5431131976963</v>
      </c>
      <c r="O13" s="114">
        <f>((N13-N14)/N13)*100</f>
        <v>25.869121271565838</v>
      </c>
      <c r="P13" s="113">
        <v>253.3</v>
      </c>
      <c r="Q13" s="113">
        <v>220.6</v>
      </c>
      <c r="R13" s="113">
        <f>P13-Q13</f>
        <v>32.700000000000017</v>
      </c>
      <c r="S13" s="115">
        <f>100*(R13/P13)</f>
        <v>12.909593367548366</v>
      </c>
      <c r="T13" s="116">
        <f>Q13/N13</f>
        <v>0.64400652502005573</v>
      </c>
      <c r="U13" s="116">
        <f>R13/(N13-N14)</f>
        <v>0.36902079099217155</v>
      </c>
      <c r="W13" s="107">
        <v>25</v>
      </c>
      <c r="X13" s="105" t="s">
        <v>113</v>
      </c>
      <c r="Y13" s="105">
        <v>4</v>
      </c>
      <c r="Z13" s="105">
        <v>35</v>
      </c>
      <c r="AA13" s="105">
        <v>2</v>
      </c>
      <c r="AB13" s="117">
        <v>6.85</v>
      </c>
      <c r="AC13" s="107">
        <v>10.199999999999999</v>
      </c>
      <c r="AD13" s="107">
        <v>9.6999999999999993</v>
      </c>
      <c r="AE13" s="117">
        <v>366.68581095406677</v>
      </c>
      <c r="AF13" s="117">
        <v>366.68581095406677</v>
      </c>
      <c r="AG13" s="117">
        <v>14.178127803388724</v>
      </c>
      <c r="AH13" s="118">
        <v>246.9</v>
      </c>
      <c r="AI13" s="118">
        <v>215.6</v>
      </c>
      <c r="AJ13" s="118">
        <v>31.300000000000011</v>
      </c>
      <c r="AK13" s="117">
        <v>12.677197245848525</v>
      </c>
      <c r="AL13" s="119">
        <v>0.58796930112740942</v>
      </c>
      <c r="AM13" s="119">
        <v>0.602048315546722</v>
      </c>
    </row>
    <row r="14" spans="1:39" x14ac:dyDescent="0.25">
      <c r="A14" s="105" t="s">
        <v>113</v>
      </c>
      <c r="B14" s="105">
        <v>5</v>
      </c>
      <c r="C14" s="105">
        <v>8</v>
      </c>
      <c r="D14" s="105"/>
      <c r="E14" s="105" t="s">
        <v>115</v>
      </c>
      <c r="F14" s="111">
        <v>6</v>
      </c>
      <c r="G14" s="111">
        <v>3.5</v>
      </c>
      <c r="H14" s="111">
        <v>3.1</v>
      </c>
      <c r="I14" s="111">
        <v>2.1</v>
      </c>
      <c r="J14" s="112">
        <f t="shared" si="0"/>
        <v>3.6749999999999998</v>
      </c>
      <c r="K14" s="120"/>
      <c r="L14" s="120"/>
      <c r="M14" s="114">
        <f>PI()*((((((F13-(0.2*F14))+(G13-(0.2*G14)))/4)*(((H13-(0.2*H14))+(I13-(0.2*I14)))/4))+((((F13-(0.2*F14))+(G13-(0.2*G14)))/4)^2)+((((H13-(0.2*H14))+(I13-(0.2*I14)))/4)^2))/3)*((K13+L13)/2)</f>
        <v>253.9547497853255</v>
      </c>
      <c r="N14" s="114">
        <f>PI()*((((F13-(0.2*F14))+(G13-(0.2*G14))+(H13-(0.2*H14))+(I13-(0.2*I14)))/8)^2)*((K13+L13)/2)</f>
        <v>253.9302198371872</v>
      </c>
      <c r="O14" s="114"/>
      <c r="W14" s="107">
        <v>12</v>
      </c>
      <c r="X14" s="105" t="s">
        <v>113</v>
      </c>
      <c r="Y14" s="105">
        <v>1</v>
      </c>
      <c r="Z14" s="105">
        <v>112</v>
      </c>
      <c r="AA14" s="105">
        <v>3</v>
      </c>
      <c r="AB14" s="117">
        <v>5.2875000000000005</v>
      </c>
      <c r="AC14" s="107">
        <v>17.3</v>
      </c>
      <c r="AD14" s="107">
        <v>13.9</v>
      </c>
      <c r="AE14" s="117">
        <v>342.89253095010554</v>
      </c>
      <c r="AF14" s="117">
        <v>342.5431131976963</v>
      </c>
      <c r="AG14" s="117">
        <v>25.869121271565838</v>
      </c>
      <c r="AH14" s="118">
        <v>253.3</v>
      </c>
      <c r="AI14" s="118">
        <v>220.6</v>
      </c>
      <c r="AJ14" s="118">
        <v>32.700000000000017</v>
      </c>
      <c r="AK14" s="117">
        <v>12.909593367548366</v>
      </c>
      <c r="AL14" s="119">
        <v>0.64400652502005573</v>
      </c>
      <c r="AM14" s="119">
        <v>0.36902079099217155</v>
      </c>
    </row>
    <row r="15" spans="1:39" x14ac:dyDescent="0.25">
      <c r="A15" s="105" t="s">
        <v>113</v>
      </c>
      <c r="B15" s="105">
        <v>5</v>
      </c>
      <c r="C15" s="105">
        <v>8</v>
      </c>
      <c r="D15" s="105">
        <v>2</v>
      </c>
      <c r="E15" s="105" t="s">
        <v>114</v>
      </c>
      <c r="F15" s="111">
        <v>4.95</v>
      </c>
      <c r="G15" s="111">
        <v>4.9400000000000004</v>
      </c>
      <c r="H15" s="111">
        <v>4.6900000000000004</v>
      </c>
      <c r="I15" s="111">
        <v>4.49</v>
      </c>
      <c r="J15" s="112">
        <f t="shared" si="0"/>
        <v>4.7675000000000001</v>
      </c>
      <c r="K15" s="120">
        <v>18.899999999999999</v>
      </c>
      <c r="L15" s="120">
        <v>18.600000000000001</v>
      </c>
      <c r="M15" s="114">
        <f>PI()*(((((F15+G15)/4)*((H15+I15)/4))+(((F15+G15)/4)^2)+(((H15+I15)/4)^2))/3)*((K15+L15)/2)</f>
        <v>334.86763784004637</v>
      </c>
      <c r="N15" s="114">
        <f>PI()*(((F15+G15+H15+I15)/8)^2)*((K15+L15)/2)</f>
        <v>334.71298189701173</v>
      </c>
      <c r="O15" s="114">
        <f>((N15-N16)/N15)*100</f>
        <v>22.482455689289758</v>
      </c>
      <c r="P15" s="113">
        <v>231.3</v>
      </c>
      <c r="Q15" s="113">
        <v>195.9</v>
      </c>
      <c r="R15" s="113">
        <f>P15-Q15</f>
        <v>35.400000000000006</v>
      </c>
      <c r="S15" s="115">
        <f>100*(R15/P15)</f>
        <v>15.304798962386512</v>
      </c>
      <c r="T15" s="116">
        <f>Q15/N15</f>
        <v>0.58527756793214769</v>
      </c>
      <c r="U15" s="116">
        <f>R15/(N15-N16)</f>
        <v>0.47042127972524544</v>
      </c>
      <c r="W15" s="107">
        <v>11</v>
      </c>
      <c r="X15" s="105" t="s">
        <v>113</v>
      </c>
      <c r="Y15" s="105">
        <v>1</v>
      </c>
      <c r="Z15" s="105">
        <v>112</v>
      </c>
      <c r="AA15" s="105">
        <v>2</v>
      </c>
      <c r="AB15" s="117">
        <v>5.0902499999999993</v>
      </c>
      <c r="AC15" s="107">
        <v>11.1</v>
      </c>
      <c r="AD15" s="107">
        <v>10.5</v>
      </c>
      <c r="AE15" s="117">
        <v>219.79034428922691</v>
      </c>
      <c r="AF15" s="117">
        <v>219.78186888093111</v>
      </c>
      <c r="AG15" s="117">
        <v>25.510748513036923</v>
      </c>
      <c r="AH15" s="118">
        <v>132.6</v>
      </c>
      <c r="AI15" s="118">
        <v>109.3</v>
      </c>
      <c r="AJ15" s="118">
        <v>23.299999999999997</v>
      </c>
      <c r="AK15" s="117">
        <v>17.571644042232275</v>
      </c>
      <c r="AL15" s="119">
        <v>0.49731126847053203</v>
      </c>
      <c r="AM15" s="119">
        <v>0.41556681285916552</v>
      </c>
    </row>
    <row r="16" spans="1:39" x14ac:dyDescent="0.25">
      <c r="A16" s="105" t="s">
        <v>113</v>
      </c>
      <c r="B16" s="105">
        <v>5</v>
      </c>
      <c r="C16" s="105">
        <v>8</v>
      </c>
      <c r="D16" s="105"/>
      <c r="E16" s="105" t="s">
        <v>115</v>
      </c>
      <c r="F16" s="111">
        <v>4</v>
      </c>
      <c r="G16" s="111">
        <v>2</v>
      </c>
      <c r="H16" s="111">
        <v>3.1</v>
      </c>
      <c r="I16" s="111">
        <v>2.2999999999999998</v>
      </c>
      <c r="J16" s="112">
        <f t="shared" si="0"/>
        <v>2.8499999999999996</v>
      </c>
      <c r="K16" s="120"/>
      <c r="L16" s="120"/>
      <c r="M16" s="114">
        <f>PI()*((((((F15-(0.2*F16))+(G15-(0.2*G16)))/4)*(((H15-(0.2*H16))+(I15-(0.2*I16)))/4))+((((F15-(0.2*F16))+(G15-(0.2*G16)))/4)^2)+((((H15-(0.2*H16))+(I15-(0.2*I16)))/4)^2))/3)*((K15+L15)/2)</f>
        <v>259.56807979816824</v>
      </c>
      <c r="N16" s="114">
        <f>PI()*((((F15-(0.2*F16))+(G15-(0.2*G16))+(H15-(0.2*H16))+(I15-(0.2*I16)))/8)^2)*((K15+L15)/2)</f>
        <v>259.46128405571562</v>
      </c>
      <c r="O16" s="114"/>
      <c r="W16" s="107">
        <v>26</v>
      </c>
      <c r="X16" s="105" t="s">
        <v>113</v>
      </c>
      <c r="Y16" s="105">
        <v>4</v>
      </c>
      <c r="Z16" s="105">
        <v>35</v>
      </c>
      <c r="AA16" s="105">
        <v>3</v>
      </c>
      <c r="AB16" s="117">
        <v>5.0825000000000005</v>
      </c>
      <c r="AC16" s="107">
        <v>15.38</v>
      </c>
      <c r="AD16" s="107">
        <v>15.09</v>
      </c>
      <c r="AE16" s="117">
        <v>309.61565291339667</v>
      </c>
      <c r="AF16" s="117">
        <v>309.09153728853829</v>
      </c>
      <c r="AG16" s="117">
        <v>14.093341988889302</v>
      </c>
      <c r="AH16" s="118">
        <v>238.6</v>
      </c>
      <c r="AI16" s="118">
        <v>193.6</v>
      </c>
      <c r="AJ16" s="118">
        <v>45</v>
      </c>
      <c r="AK16" s="117">
        <v>18.860016764459349</v>
      </c>
      <c r="AL16" s="119">
        <v>0.62635166817677557</v>
      </c>
      <c r="AM16" s="119">
        <v>1.0330263717106274</v>
      </c>
    </row>
    <row r="17" spans="1:39" x14ac:dyDescent="0.25">
      <c r="A17" s="105" t="s">
        <v>113</v>
      </c>
      <c r="B17" s="105">
        <v>5</v>
      </c>
      <c r="C17" s="105">
        <v>8</v>
      </c>
      <c r="D17" s="105">
        <v>3</v>
      </c>
      <c r="E17" s="105" t="s">
        <v>114</v>
      </c>
      <c r="F17" s="111">
        <v>3</v>
      </c>
      <c r="G17" s="111">
        <v>2.91</v>
      </c>
      <c r="H17" s="111">
        <v>2.78</v>
      </c>
      <c r="I17" s="111">
        <v>2.6</v>
      </c>
      <c r="J17" s="112">
        <f t="shared" si="0"/>
        <v>2.8224999999999998</v>
      </c>
      <c r="K17" s="113">
        <v>17.100000000000001</v>
      </c>
      <c r="L17" s="113">
        <v>16.7</v>
      </c>
      <c r="M17" s="114">
        <f>PI()*(((((F17+G17)/4)*((H17+I17)/4))+(((F17+G17)/4)^2)+(((H17+I17)/4)^2))/3)*((K17+L17)/2)</f>
        <v>105.81893752079317</v>
      </c>
      <c r="N17" s="114">
        <f>PI()*(((F17+G17+H17+I17)/8)^2)*((K17+L17)/2)</f>
        <v>105.74126147880852</v>
      </c>
      <c r="O17" s="114">
        <f>((N17-N18)/N17)*100</f>
        <v>31.999598318271577</v>
      </c>
      <c r="P17" s="113">
        <v>69</v>
      </c>
      <c r="Q17" s="113">
        <v>57.253999999999998</v>
      </c>
      <c r="R17" s="113">
        <f>P17-Q17</f>
        <v>11.746000000000002</v>
      </c>
      <c r="S17" s="115">
        <f>100*(R17/P17)</f>
        <v>17.023188405797104</v>
      </c>
      <c r="T17" s="116">
        <f>Q17/N17</f>
        <v>0.54145372581425277</v>
      </c>
      <c r="U17" s="116">
        <f>R17/(N17-N18)</f>
        <v>0.34713706125329186</v>
      </c>
      <c r="W17" s="107">
        <v>41</v>
      </c>
      <c r="X17" s="105" t="s">
        <v>116</v>
      </c>
      <c r="Y17" s="105">
        <v>2</v>
      </c>
      <c r="Z17" s="105" t="s">
        <v>91</v>
      </c>
      <c r="AA17" s="105">
        <v>1</v>
      </c>
      <c r="AB17" s="117">
        <v>5.0462499999999997</v>
      </c>
      <c r="AC17" s="107">
        <v>16.399999999999999</v>
      </c>
      <c r="AD17" s="107">
        <v>15.2</v>
      </c>
      <c r="AE17" s="117">
        <v>316.20427788426042</v>
      </c>
      <c r="AF17" s="117">
        <v>315.99811587000937</v>
      </c>
      <c r="AG17" s="117">
        <v>14.120012714691718</v>
      </c>
      <c r="AH17" s="118">
        <v>262.5</v>
      </c>
      <c r="AI17" s="118">
        <v>216.2</v>
      </c>
      <c r="AJ17" s="118">
        <v>46.300000000000011</v>
      </c>
      <c r="AK17" s="117">
        <v>17.638095238095243</v>
      </c>
      <c r="AL17" s="119">
        <v>0.68418129457751942</v>
      </c>
      <c r="AM17" s="119">
        <v>1.0376751347023441</v>
      </c>
    </row>
    <row r="18" spans="1:39" x14ac:dyDescent="0.25">
      <c r="A18" s="105" t="s">
        <v>113</v>
      </c>
      <c r="B18" s="105">
        <v>5</v>
      </c>
      <c r="C18" s="105">
        <v>8</v>
      </c>
      <c r="D18" s="105"/>
      <c r="E18" s="105" t="s">
        <v>115</v>
      </c>
      <c r="F18" s="111">
        <v>3.5</v>
      </c>
      <c r="G18" s="111">
        <v>1.9</v>
      </c>
      <c r="H18" s="111">
        <v>3</v>
      </c>
      <c r="I18" s="111">
        <v>1.5</v>
      </c>
      <c r="J18" s="112">
        <f t="shared" si="0"/>
        <v>2.4750000000000001</v>
      </c>
      <c r="K18" s="113"/>
      <c r="L18" s="113"/>
      <c r="M18" s="114">
        <f>PI()*((((((F17-(0.2*F18))+(G17-(0.2*G18)))/4)*(((H17-(0.2*H18))+(I17-(0.2*I18)))/4))+((((F17-(0.2*F18))+(G17-(0.2*G18)))/4)^2)+((((H17-(0.2*H18))+(I17-(0.2*I18)))/4)^2))/3)*((K17+L17)/2)</f>
        <v>71.938356935328514</v>
      </c>
      <c r="N18" s="114">
        <f>PI()*((((F17-(0.2*F18))+(G17-(0.2*G18))+(H17-(0.2*H18))+(I17-(0.2*I18)))/8)^2)*((K17+L17)/2)</f>
        <v>71.904482548916562</v>
      </c>
      <c r="O18" s="114"/>
      <c r="W18" s="107">
        <v>33</v>
      </c>
      <c r="X18" s="105" t="s">
        <v>116</v>
      </c>
      <c r="Y18" s="105">
        <v>1</v>
      </c>
      <c r="Z18" s="105">
        <v>24</v>
      </c>
      <c r="AA18" s="105">
        <v>2</v>
      </c>
      <c r="AB18" s="117">
        <v>5</v>
      </c>
      <c r="AC18" s="107">
        <v>12.5</v>
      </c>
      <c r="AD18" s="107">
        <v>12.2</v>
      </c>
      <c r="AE18" s="117">
        <v>242.52401517335534</v>
      </c>
      <c r="AF18" s="117">
        <v>242.49168294896216</v>
      </c>
      <c r="AG18" s="117">
        <v>22.43675099999999</v>
      </c>
      <c r="AH18" s="118">
        <v>162.1</v>
      </c>
      <c r="AI18" s="118">
        <v>129.58799999999999</v>
      </c>
      <c r="AJ18" s="118">
        <v>32.512</v>
      </c>
      <c r="AK18" s="117">
        <v>20.056755089450956</v>
      </c>
      <c r="AL18" s="119">
        <v>0.53440183359721538</v>
      </c>
      <c r="AM18" s="119">
        <v>0.5975673637800677</v>
      </c>
    </row>
    <row r="19" spans="1:39" x14ac:dyDescent="0.25">
      <c r="A19" s="105" t="s">
        <v>113</v>
      </c>
      <c r="B19" s="105">
        <v>5</v>
      </c>
      <c r="C19" s="105">
        <v>8</v>
      </c>
      <c r="D19" s="105">
        <v>4</v>
      </c>
      <c r="E19" s="105" t="s">
        <v>114</v>
      </c>
      <c r="F19" s="111">
        <v>3.54</v>
      </c>
      <c r="G19" s="111">
        <v>3.27</v>
      </c>
      <c r="H19" s="111">
        <v>3.2189999999999999</v>
      </c>
      <c r="I19" s="111">
        <v>3.14</v>
      </c>
      <c r="J19" s="112">
        <f t="shared" si="0"/>
        <v>3.2922500000000001</v>
      </c>
      <c r="K19" s="113">
        <v>16.899999999999999</v>
      </c>
      <c r="L19" s="113">
        <v>16.2</v>
      </c>
      <c r="M19" s="114">
        <f>PI()*(((((F19+G19)/4)*((H19+I19)/4))+(((F19+G19)/4)^2)+(((H19+I19)/4)^2))/3)*((K19+L19)/2)</f>
        <v>140.94291466692826</v>
      </c>
      <c r="N19" s="114">
        <f>PI()*(((F19+G19+H19+I19)/8)^2)*((K19+L19)/2)</f>
        <v>140.88783393205659</v>
      </c>
      <c r="O19" s="114">
        <f>((N19-N20)/N19)*100</f>
        <v>16.008182464794764</v>
      </c>
      <c r="P19" s="113">
        <v>89.2</v>
      </c>
      <c r="Q19" s="113">
        <v>71.17</v>
      </c>
      <c r="R19" s="113">
        <f>P19-Q19</f>
        <v>18.03</v>
      </c>
      <c r="S19" s="115">
        <f>100*(R19/P19)</f>
        <v>20.213004484304932</v>
      </c>
      <c r="T19" s="116">
        <f>Q19/N19</f>
        <v>0.50515362479291048</v>
      </c>
      <c r="U19" s="116">
        <f>R19/(N19-N20)</f>
        <v>0.79942957081041066</v>
      </c>
      <c r="W19" s="107">
        <v>34</v>
      </c>
      <c r="X19" s="105" t="s">
        <v>116</v>
      </c>
      <c r="Y19" s="105">
        <v>1</v>
      </c>
      <c r="Z19" s="105">
        <v>24</v>
      </c>
      <c r="AA19" s="105">
        <v>3</v>
      </c>
      <c r="AB19" s="117">
        <v>4.7750000000000004</v>
      </c>
      <c r="AC19" s="107">
        <v>10</v>
      </c>
      <c r="AD19" s="107">
        <v>9.9</v>
      </c>
      <c r="AE19" s="117">
        <v>178.26008672537466</v>
      </c>
      <c r="AF19" s="117">
        <v>178.18031154317379</v>
      </c>
      <c r="AG19" s="117">
        <v>19.995872920150251</v>
      </c>
      <c r="AH19" s="118">
        <v>126.8</v>
      </c>
      <c r="AI19" s="118">
        <v>96.113</v>
      </c>
      <c r="AJ19" s="118">
        <v>30.686999999999998</v>
      </c>
      <c r="AK19" s="117">
        <v>24.20110410094637</v>
      </c>
      <c r="AL19" s="119">
        <v>0.53941425496223494</v>
      </c>
      <c r="AM19" s="119">
        <v>0.8612998098982716</v>
      </c>
    </row>
    <row r="20" spans="1:39" x14ac:dyDescent="0.25">
      <c r="A20" s="105" t="s">
        <v>113</v>
      </c>
      <c r="B20" s="105">
        <v>5</v>
      </c>
      <c r="C20" s="105">
        <v>8</v>
      </c>
      <c r="E20" s="105" t="s">
        <v>115</v>
      </c>
      <c r="F20" s="111">
        <v>2</v>
      </c>
      <c r="G20" s="111">
        <v>1.1000000000000001</v>
      </c>
      <c r="H20" s="111">
        <v>1.3</v>
      </c>
      <c r="I20" s="111">
        <v>1.1000000000000001</v>
      </c>
      <c r="J20" s="112">
        <f t="shared" si="0"/>
        <v>1.375</v>
      </c>
      <c r="K20" s="113"/>
      <c r="L20" s="113"/>
      <c r="M20" s="114">
        <f>PI()*((((((F19-(0.2*F20))+(G19-(0.2*G20)))/4)*(((H19-(0.2*H20))+(I19-(0.2*I20)))/4))+((((F19-(0.2*F20))+(G19-(0.2*G20)))/4)^2)+((((H19-(0.2*H20))+(I19-(0.2*I20)))/4)^2))/3)*((K19+L19)/2)</f>
        <v>118.3604443306172</v>
      </c>
      <c r="N20" s="114">
        <f>PI()*((((F19-(0.2*F20))+(G19-(0.2*G20))+(H19-(0.2*H20))+(I19-(0.2*I20)))/8)^2)*((K19+L19)/2)</f>
        <v>118.33425240551594</v>
      </c>
      <c r="O20" s="114"/>
      <c r="W20" s="107">
        <v>13</v>
      </c>
      <c r="X20" s="105" t="s">
        <v>113</v>
      </c>
      <c r="Y20" s="105">
        <v>1</v>
      </c>
      <c r="Z20" s="105">
        <v>112</v>
      </c>
      <c r="AA20" s="105">
        <v>4</v>
      </c>
      <c r="AB20" s="117">
        <v>4.7675000000000001</v>
      </c>
      <c r="AC20" s="107">
        <v>18.899999999999999</v>
      </c>
      <c r="AD20" s="107">
        <v>18.600000000000001</v>
      </c>
      <c r="AE20" s="117">
        <v>334.86763784004637</v>
      </c>
      <c r="AF20" s="117">
        <v>334.71298189701173</v>
      </c>
      <c r="AG20" s="117">
        <v>22.482455689289758</v>
      </c>
      <c r="AH20" s="118">
        <v>231.3</v>
      </c>
      <c r="AI20" s="118">
        <v>195.9</v>
      </c>
      <c r="AJ20" s="118">
        <v>35.400000000000006</v>
      </c>
      <c r="AK20" s="117">
        <v>15.304798962386512</v>
      </c>
      <c r="AL20" s="119">
        <v>0.58527756793214769</v>
      </c>
      <c r="AM20" s="119">
        <v>0.47042127972524544</v>
      </c>
    </row>
    <row r="21" spans="1:39" x14ac:dyDescent="0.25">
      <c r="A21" s="105" t="s">
        <v>113</v>
      </c>
      <c r="B21" s="105">
        <v>3</v>
      </c>
      <c r="C21" s="105">
        <v>35</v>
      </c>
      <c r="D21" s="105">
        <v>1</v>
      </c>
      <c r="E21" s="105" t="s">
        <v>114</v>
      </c>
      <c r="F21" s="111">
        <v>3.9209999999999998</v>
      </c>
      <c r="G21" s="111">
        <v>3.66</v>
      </c>
      <c r="H21" s="111">
        <v>3.78</v>
      </c>
      <c r="I21" s="111">
        <v>3.6389999999999998</v>
      </c>
      <c r="J21" s="112">
        <f t="shared" si="0"/>
        <v>3.7499999999999996</v>
      </c>
      <c r="K21" s="113">
        <v>17.2</v>
      </c>
      <c r="L21" s="113">
        <v>17</v>
      </c>
      <c r="M21" s="114">
        <f>PI()*(((((F21+G21)/4)*((H21+I21)/4))+(((F21+G21)/4)^2)+(((H21+I21)/4)^2))/3)*((K21+L21)/2)</f>
        <v>188.87105762570397</v>
      </c>
      <c r="N21" s="114">
        <f>PI()*(((F21+G21+H21+I21)/8)^2)*((K21+L21)/2)</f>
        <v>188.86371460448012</v>
      </c>
      <c r="O21" s="114">
        <f>((N21-N22)/N21)*100</f>
        <v>25.073664000000008</v>
      </c>
      <c r="P21" s="113">
        <v>111.5</v>
      </c>
      <c r="Q21" s="113">
        <v>86.1</v>
      </c>
      <c r="R21" s="113">
        <f>P21-Q21</f>
        <v>25.400000000000006</v>
      </c>
      <c r="S21" s="115">
        <f>100*(R21/P21)</f>
        <v>22.780269058295968</v>
      </c>
      <c r="T21" s="116">
        <f>Q21/N21</f>
        <v>0.45588428767437561</v>
      </c>
      <c r="U21" s="116">
        <f>R21/(N21-N22)</f>
        <v>0.53637359213077029</v>
      </c>
      <c r="W21" s="107">
        <v>27</v>
      </c>
      <c r="X21" s="105" t="s">
        <v>113</v>
      </c>
      <c r="Y21" s="105">
        <v>4</v>
      </c>
      <c r="Z21" s="105">
        <v>35</v>
      </c>
      <c r="AA21" s="105">
        <v>4</v>
      </c>
      <c r="AB21" s="117">
        <v>4.7125000000000004</v>
      </c>
      <c r="AC21" s="107">
        <v>12.29</v>
      </c>
      <c r="AD21" s="107">
        <v>12.21</v>
      </c>
      <c r="AE21" s="117">
        <v>213.66367445013611</v>
      </c>
      <c r="AF21" s="117">
        <v>213.66269229337036</v>
      </c>
      <c r="AG21" s="117">
        <v>14.253439051294903</v>
      </c>
      <c r="AH21" s="118">
        <v>147.9</v>
      </c>
      <c r="AI21" s="118">
        <v>121.1</v>
      </c>
      <c r="AJ21" s="118">
        <v>26.800000000000011</v>
      </c>
      <c r="AK21" s="117">
        <v>18.120351588911436</v>
      </c>
      <c r="AL21" s="119">
        <v>0.56678121341709575</v>
      </c>
      <c r="AM21" s="119">
        <v>0.88000762366285756</v>
      </c>
    </row>
    <row r="22" spans="1:39" x14ac:dyDescent="0.25">
      <c r="A22" s="105" t="s">
        <v>113</v>
      </c>
      <c r="B22" s="105">
        <v>3</v>
      </c>
      <c r="C22" s="105">
        <v>35</v>
      </c>
      <c r="D22" s="105"/>
      <c r="E22" s="105" t="s">
        <v>115</v>
      </c>
      <c r="F22" s="111">
        <v>3.61</v>
      </c>
      <c r="G22" s="111">
        <v>1.63</v>
      </c>
      <c r="H22" s="111">
        <v>2.89</v>
      </c>
      <c r="I22" s="111">
        <v>1.95</v>
      </c>
      <c r="J22" s="112">
        <f t="shared" si="0"/>
        <v>2.52</v>
      </c>
      <c r="K22" s="113"/>
      <c r="L22" s="113"/>
      <c r="M22" s="114">
        <f>PI()*((((((F21-(0.2*F22))+(G21-(0.2*G22)))/4)*(((H21-(0.2*H22))+(I21-(0.2*I22)))/4))+((((F21-(0.2*F22))+(G21-(0.2*G22)))/4)^2)+((((H21-(0.2*H22))+(I21-(0.2*I22)))/4)^2))/3)*((K21+L21)/2)</f>
        <v>141.51054274902941</v>
      </c>
      <c r="N22" s="114">
        <f>PI()*((((F21-(0.2*F22))+(G21-(0.2*G22))+(H21-(0.2*H22))+(I21-(0.2*I22)))/8)^2)*((K21+L21)/2)</f>
        <v>141.50866138663383</v>
      </c>
      <c r="O22" s="114"/>
      <c r="W22" s="107">
        <v>42</v>
      </c>
      <c r="X22" s="105" t="s">
        <v>116</v>
      </c>
      <c r="Y22" s="105">
        <v>2</v>
      </c>
      <c r="Z22" s="105" t="s">
        <v>91</v>
      </c>
      <c r="AA22" s="105">
        <v>2</v>
      </c>
      <c r="AB22" s="117">
        <v>4.4102500000000004</v>
      </c>
      <c r="AC22" s="107">
        <v>14.3</v>
      </c>
      <c r="AD22" s="107">
        <v>14</v>
      </c>
      <c r="AE22" s="117">
        <v>216.17996574223005</v>
      </c>
      <c r="AF22" s="117">
        <v>216.15870931154745</v>
      </c>
      <c r="AG22" s="117">
        <v>14.390917465405536</v>
      </c>
      <c r="AH22" s="118">
        <v>153.1</v>
      </c>
      <c r="AI22" s="118">
        <v>120.9</v>
      </c>
      <c r="AJ22" s="118">
        <v>32.199999999999989</v>
      </c>
      <c r="AK22" s="117">
        <v>21.032005225342907</v>
      </c>
      <c r="AL22" s="119">
        <v>0.55931125969922413</v>
      </c>
      <c r="AM22" s="119">
        <v>1.0351294168268854</v>
      </c>
    </row>
    <row r="23" spans="1:39" x14ac:dyDescent="0.25">
      <c r="A23" s="105" t="s">
        <v>113</v>
      </c>
      <c r="B23" s="105">
        <v>3</v>
      </c>
      <c r="C23" s="105">
        <v>35</v>
      </c>
      <c r="D23" s="105">
        <v>2</v>
      </c>
      <c r="E23" s="105" t="s">
        <v>114</v>
      </c>
      <c r="F23" s="111">
        <v>4.1509999999999998</v>
      </c>
      <c r="G23" s="111">
        <v>3.9769999999999999</v>
      </c>
      <c r="H23" s="111">
        <v>4.0750000000000002</v>
      </c>
      <c r="I23" s="111">
        <v>3.96</v>
      </c>
      <c r="J23" s="112">
        <f t="shared" si="0"/>
        <v>4.0407500000000001</v>
      </c>
      <c r="K23" s="113">
        <v>13</v>
      </c>
      <c r="L23" s="113">
        <v>12.8</v>
      </c>
      <c r="M23" s="114">
        <f>PI()*(((((F23+G23)/4)*((H23+I23)/4))+(((F23+G23)/4)^2)+(((H23+I23)/4)^2))/3)*((K23+L23)/2)</f>
        <v>165.42774417111858</v>
      </c>
      <c r="N23" s="114">
        <f>PI()*(((F23+G23+H23+I23)/8)^2)*((K23+L23)/2)</f>
        <v>165.42591857690135</v>
      </c>
      <c r="O23" s="114">
        <f>((N23-N24)/N23)*100</f>
        <v>18.684529166454471</v>
      </c>
      <c r="P23" s="113">
        <v>94.4</v>
      </c>
      <c r="Q23" s="113">
        <v>75.900000000000006</v>
      </c>
      <c r="R23" s="113">
        <f>P23-Q23</f>
        <v>18.5</v>
      </c>
      <c r="S23" s="115">
        <f>100*(R23/P23)</f>
        <v>19.597457627118644</v>
      </c>
      <c r="T23" s="116">
        <f>Q23/N23</f>
        <v>0.45881564783160905</v>
      </c>
      <c r="U23" s="116">
        <f>R23/(N23-N24)</f>
        <v>0.59853012637598313</v>
      </c>
      <c r="W23" s="107">
        <v>28</v>
      </c>
      <c r="X23" s="105" t="s">
        <v>116</v>
      </c>
      <c r="Y23" s="105">
        <v>5</v>
      </c>
      <c r="Z23" s="105">
        <v>17</v>
      </c>
      <c r="AA23" s="105">
        <v>1</v>
      </c>
      <c r="AB23" s="117">
        <v>4.3224999999999998</v>
      </c>
      <c r="AC23" s="107">
        <v>15.25</v>
      </c>
      <c r="AD23" s="107">
        <v>15.05</v>
      </c>
      <c r="AE23" s="117">
        <v>222.32110989678614</v>
      </c>
      <c r="AF23" s="117">
        <v>222.31692053389511</v>
      </c>
      <c r="AG23" s="117">
        <v>14.431925304327034</v>
      </c>
      <c r="AH23" s="118">
        <v>169.4</v>
      </c>
      <c r="AI23" s="118">
        <v>129.76599999999999</v>
      </c>
      <c r="AJ23" s="118">
        <v>39.634000000000015</v>
      </c>
      <c r="AK23" s="117">
        <v>23.396694214876039</v>
      </c>
      <c r="AL23" s="119">
        <v>0.58369826142052683</v>
      </c>
      <c r="AM23" s="119">
        <v>1.2352962258283431</v>
      </c>
    </row>
    <row r="24" spans="1:39" x14ac:dyDescent="0.25">
      <c r="A24" s="105" t="s">
        <v>113</v>
      </c>
      <c r="B24" s="105">
        <v>3</v>
      </c>
      <c r="C24" s="105">
        <v>35</v>
      </c>
      <c r="E24" s="105" t="s">
        <v>115</v>
      </c>
      <c r="F24" s="111">
        <v>2.79</v>
      </c>
      <c r="G24" s="111">
        <v>1.65</v>
      </c>
      <c r="H24" s="111">
        <v>2.2999999999999998</v>
      </c>
      <c r="I24" s="111">
        <v>1.2</v>
      </c>
      <c r="J24" s="112">
        <f t="shared" si="0"/>
        <v>1.9849999999999999</v>
      </c>
      <c r="K24" s="113"/>
      <c r="L24" s="113"/>
      <c r="M24" s="114">
        <f>PI()*((((((F23-(0.2*F24))+(G23-(0.2*G24)))/4)*(((H23-(0.2*H24))+(I23-(0.2*I24)))/4))+((((F23-(0.2*F24))+(G23-(0.2*G24)))/4)^2)+((((H23-(0.2*H24))+(I23-(0.2*I24)))/4)^2))/3)*((K23+L23)/2)</f>
        <v>134.51876953022659</v>
      </c>
      <c r="N24" s="114">
        <f>PI()*((((F23-(0.2*F24))+(G23-(0.2*G24))+(H23-(0.2*H24))+(I23-(0.2*I24)))/8)^2)*((K23+L23)/2)</f>
        <v>134.51686457152499</v>
      </c>
      <c r="O24" s="114"/>
      <c r="W24" s="107">
        <v>17</v>
      </c>
      <c r="X24" s="105" t="s">
        <v>113</v>
      </c>
      <c r="Y24" s="105" t="s">
        <v>119</v>
      </c>
      <c r="Z24" s="105">
        <v>118</v>
      </c>
      <c r="AA24" s="105">
        <v>4</v>
      </c>
      <c r="AB24" s="117">
        <v>4.0407500000000001</v>
      </c>
      <c r="AC24" s="107">
        <v>13</v>
      </c>
      <c r="AD24" s="107">
        <v>12.8</v>
      </c>
      <c r="AE24" s="117">
        <v>165.42774417111858</v>
      </c>
      <c r="AF24" s="117">
        <v>165.42591857690135</v>
      </c>
      <c r="AG24" s="117">
        <v>18.684529166454471</v>
      </c>
      <c r="AH24" s="118">
        <v>94.4</v>
      </c>
      <c r="AI24" s="118">
        <v>75.900000000000006</v>
      </c>
      <c r="AJ24" s="118">
        <v>18.5</v>
      </c>
      <c r="AK24" s="117">
        <v>19.597457627118644</v>
      </c>
      <c r="AL24" s="119">
        <v>0.45881564783160905</v>
      </c>
      <c r="AM24" s="119">
        <v>0.59853012637598313</v>
      </c>
    </row>
    <row r="25" spans="1:39" x14ac:dyDescent="0.25">
      <c r="A25" s="105" t="s">
        <v>116</v>
      </c>
      <c r="B25" s="105">
        <v>5</v>
      </c>
      <c r="C25" s="105">
        <v>17</v>
      </c>
      <c r="D25" s="105">
        <v>1</v>
      </c>
      <c r="E25" s="105" t="s">
        <v>114</v>
      </c>
      <c r="F25" s="122">
        <v>2.9</v>
      </c>
      <c r="G25" s="122">
        <v>2.7</v>
      </c>
      <c r="H25" s="122">
        <v>2.8</v>
      </c>
      <c r="I25" s="122">
        <v>2.8</v>
      </c>
      <c r="J25" s="123">
        <f t="shared" si="0"/>
        <v>2.8</v>
      </c>
      <c r="K25" s="120">
        <v>9.4</v>
      </c>
      <c r="L25" s="120">
        <v>9.1999999999999993</v>
      </c>
      <c r="M25" s="114">
        <f>PI()*(((((F25+G25)/4)*((H25+I25)/4))+(((F25+G25)/4)^2)+(((H25+I25)/4)^2))/3)*((K25+L25)/2)</f>
        <v>57.26495088963474</v>
      </c>
      <c r="N25" s="114">
        <f>PI()*(((F25+G25+H25+I25)/8)^2)*((K25+L25)/2)</f>
        <v>57.26495088963474</v>
      </c>
      <c r="O25" s="114">
        <f>((N25-N26)/N25)*100</f>
        <v>17.157496811224455</v>
      </c>
      <c r="P25" s="113">
        <v>29.8</v>
      </c>
      <c r="Q25" s="113">
        <v>22.591999999999999</v>
      </c>
      <c r="R25" s="113">
        <f>P25-Q25</f>
        <v>7.208000000000002</v>
      </c>
      <c r="S25" s="115">
        <f>100*(R25/P25)</f>
        <v>24.187919463087255</v>
      </c>
      <c r="T25" s="116">
        <f>Q25/N25</f>
        <v>0.39451705884705945</v>
      </c>
      <c r="U25" s="116">
        <f>R25/(N25-N26)</f>
        <v>0.73362134450190908</v>
      </c>
      <c r="W25" s="107">
        <v>45</v>
      </c>
      <c r="X25" s="105" t="s">
        <v>116</v>
      </c>
      <c r="Y25" s="105">
        <v>2</v>
      </c>
      <c r="Z25" s="105">
        <v>129</v>
      </c>
      <c r="AA25" s="105" t="s">
        <v>120</v>
      </c>
      <c r="AB25" s="117">
        <v>3.7697500000000002</v>
      </c>
      <c r="AC25" s="107">
        <v>19</v>
      </c>
      <c r="AD25" s="107">
        <v>19</v>
      </c>
      <c r="AE25" s="117">
        <v>212.07169946916613</v>
      </c>
      <c r="AF25" s="117">
        <v>212.0647974719185</v>
      </c>
      <c r="AG25" s="117">
        <v>14.254291414730561</v>
      </c>
      <c r="AH25" s="118">
        <v>130.19999999999999</v>
      </c>
      <c r="AI25" s="118">
        <v>103.3</v>
      </c>
      <c r="AJ25" s="118">
        <v>26.899999999999991</v>
      </c>
      <c r="AK25" s="117">
        <v>20.660522273425492</v>
      </c>
      <c r="AL25" s="119">
        <v>0.4871152649165118</v>
      </c>
      <c r="AM25" s="119">
        <v>0.88989356159970789</v>
      </c>
    </row>
    <row r="26" spans="1:39" x14ac:dyDescent="0.25">
      <c r="A26" s="105" t="s">
        <v>116</v>
      </c>
      <c r="B26" s="105">
        <v>5</v>
      </c>
      <c r="C26" s="105">
        <v>17</v>
      </c>
      <c r="D26" s="105"/>
      <c r="E26" s="105" t="s">
        <v>115</v>
      </c>
      <c r="F26" s="122">
        <v>1.81</v>
      </c>
      <c r="G26" s="122">
        <v>1.21</v>
      </c>
      <c r="H26" s="122">
        <v>1.18</v>
      </c>
      <c r="I26" s="122">
        <v>0.83</v>
      </c>
      <c r="J26" s="123">
        <f t="shared" si="0"/>
        <v>1.2575000000000001</v>
      </c>
      <c r="K26" s="120"/>
      <c r="L26" s="120"/>
      <c r="M26" s="114">
        <f>PI()*((((((F25-(0.2*F26))+(G25-(0.2*G26)))/4)*(((H25-(0.2*H26))+(I25-(0.2*I26)))/4))+((((F25-(0.2*F26))+(G25-(0.2*G26)))/4)^2)+((((H25-(0.2*H26))+(I25-(0.2*I26)))/4)^2))/3)*((K25+L25)/2)</f>
        <v>47.445927947961636</v>
      </c>
      <c r="N26" s="114">
        <f>PI()*((((F25-(0.2*F26))+(G25-(0.2*G26))+(H25-(0.2*H26))+(I25-(0.2*I26)))/8)^2)*((K25+L25)/2)</f>
        <v>47.43971876679641</v>
      </c>
      <c r="O26" s="114"/>
      <c r="P26" s="120"/>
      <c r="Q26" s="120"/>
      <c r="R26" s="120"/>
      <c r="W26" s="107">
        <v>16</v>
      </c>
      <c r="X26" s="105" t="s">
        <v>113</v>
      </c>
      <c r="Y26" s="105" t="s">
        <v>119</v>
      </c>
      <c r="Z26" s="105">
        <v>118</v>
      </c>
      <c r="AA26" s="105">
        <v>3</v>
      </c>
      <c r="AB26" s="117">
        <v>3.7499999999999996</v>
      </c>
      <c r="AC26" s="107">
        <v>17.2</v>
      </c>
      <c r="AD26" s="107">
        <v>17</v>
      </c>
      <c r="AE26" s="117">
        <v>188.87105762570397</v>
      </c>
      <c r="AF26" s="117">
        <v>188.86371460448012</v>
      </c>
      <c r="AG26" s="117">
        <v>25.073664000000008</v>
      </c>
      <c r="AH26" s="118">
        <v>111.5</v>
      </c>
      <c r="AI26" s="118">
        <v>86.1</v>
      </c>
      <c r="AJ26" s="118">
        <v>25.400000000000006</v>
      </c>
      <c r="AK26" s="117">
        <v>22.780269058295968</v>
      </c>
      <c r="AL26" s="119">
        <v>0.45588428767437561</v>
      </c>
      <c r="AM26" s="119">
        <v>0.53637359213077029</v>
      </c>
    </row>
    <row r="27" spans="1:39" x14ac:dyDescent="0.25">
      <c r="A27" s="105" t="s">
        <v>116</v>
      </c>
      <c r="B27" s="105">
        <v>5</v>
      </c>
      <c r="C27" s="105">
        <v>17</v>
      </c>
      <c r="D27" s="105">
        <v>2</v>
      </c>
      <c r="E27" s="105" t="s">
        <v>114</v>
      </c>
      <c r="F27" s="122">
        <v>2.6</v>
      </c>
      <c r="G27" s="122">
        <v>2.5</v>
      </c>
      <c r="H27" s="122">
        <v>2.6</v>
      </c>
      <c r="I27" s="122">
        <v>2.4</v>
      </c>
      <c r="J27" s="123">
        <f t="shared" si="0"/>
        <v>2.5249999999999999</v>
      </c>
      <c r="K27" s="120">
        <v>6.6</v>
      </c>
      <c r="L27" s="120">
        <v>5.9</v>
      </c>
      <c r="M27" s="114">
        <f>PI()*(((((F27+G27)/4)*((H27+I27)/4))+(((F27+G27)/4)^2)+(((H27+I27)/4)^2))/3)*((K27+L27)/2)</f>
        <v>31.297298688301439</v>
      </c>
      <c r="N27" s="114">
        <f>PI()*(((F27+G27+H27+I27)/8)^2)*((K27+L27)/2)</f>
        <v>31.296276034442847</v>
      </c>
      <c r="O27" s="114">
        <f>((N27-N28)/N27)*100</f>
        <v>16.630444074110351</v>
      </c>
      <c r="P27" s="113">
        <v>22.8</v>
      </c>
      <c r="Q27" s="113">
        <v>17.190000000000001</v>
      </c>
      <c r="R27" s="113">
        <f>P27-Q27</f>
        <v>5.6099999999999994</v>
      </c>
      <c r="S27" s="115">
        <f>100*(R27/P27)</f>
        <v>24.605263157894733</v>
      </c>
      <c r="T27" s="116">
        <f>Q27/N27</f>
        <v>0.54926662779564239</v>
      </c>
      <c r="U27" s="116">
        <f>R27/(N27-N28)</f>
        <v>1.0778699181093598</v>
      </c>
      <c r="W27" s="107">
        <v>15</v>
      </c>
      <c r="X27" s="105" t="s">
        <v>113</v>
      </c>
      <c r="Y27" s="105" t="s">
        <v>119</v>
      </c>
      <c r="Z27" s="105">
        <v>118</v>
      </c>
      <c r="AA27" s="105">
        <v>2</v>
      </c>
      <c r="AB27" s="117">
        <v>3.2922500000000001</v>
      </c>
      <c r="AC27" s="107">
        <v>16.899999999999999</v>
      </c>
      <c r="AD27" s="107">
        <v>16.2</v>
      </c>
      <c r="AE27" s="117">
        <v>140.94291466692826</v>
      </c>
      <c r="AF27" s="117">
        <v>140.88783393205659</v>
      </c>
      <c r="AG27" s="117">
        <v>16.008182464794764</v>
      </c>
      <c r="AH27" s="118">
        <v>89.2</v>
      </c>
      <c r="AI27" s="118">
        <v>71.17</v>
      </c>
      <c r="AJ27" s="118">
        <v>18.03</v>
      </c>
      <c r="AK27" s="117">
        <v>20.213004484304932</v>
      </c>
      <c r="AL27" s="119">
        <v>0.50515362479291048</v>
      </c>
      <c r="AM27" s="119">
        <v>0.79942957081041066</v>
      </c>
    </row>
    <row r="28" spans="1:39" x14ac:dyDescent="0.25">
      <c r="A28" s="105" t="s">
        <v>116</v>
      </c>
      <c r="B28" s="105">
        <v>5</v>
      </c>
      <c r="C28" s="105">
        <v>17</v>
      </c>
      <c r="D28" s="105"/>
      <c r="E28" s="105" t="s">
        <v>115</v>
      </c>
      <c r="F28" s="122">
        <v>1.68</v>
      </c>
      <c r="G28" s="122">
        <v>0.62</v>
      </c>
      <c r="H28" s="122">
        <v>1.35</v>
      </c>
      <c r="I28" s="122">
        <v>0.74</v>
      </c>
      <c r="J28" s="123">
        <f t="shared" si="0"/>
        <v>1.0974999999999999</v>
      </c>
      <c r="K28" s="120"/>
      <c r="L28" s="120"/>
      <c r="M28" s="114">
        <f>PI()*((((((F27-(0.2*F28))+(G27-(0.2*G28)))/4)*(((H27-(0.2*H28))+(I27-(0.2*I28)))/4))+((((F27-(0.2*F28))+(G27-(0.2*G28)))/4)^2)+((((H27-(0.2*H28))+(I27-(0.2*I28)))/4)^2))/3)*((K27+L27)/2)</f>
        <v>26.091910372013654</v>
      </c>
      <c r="N28" s="114">
        <f>PI()*((((F27-(0.2*F28))+(G27-(0.2*G28))+(H27-(0.2*H28))+(I27-(0.2*I28)))/8)^2)*((K27+L27)/2)</f>
        <v>26.091566351255629</v>
      </c>
      <c r="O28" s="114"/>
      <c r="P28" s="120"/>
      <c r="Q28" s="120"/>
      <c r="R28" s="120"/>
      <c r="W28" s="107">
        <v>38</v>
      </c>
      <c r="X28" s="105" t="s">
        <v>116</v>
      </c>
      <c r="Y28" s="105">
        <v>3</v>
      </c>
      <c r="Z28" s="105">
        <v>115</v>
      </c>
      <c r="AA28" s="105">
        <v>1</v>
      </c>
      <c r="AB28" s="117">
        <v>3.2620000000000005</v>
      </c>
      <c r="AC28" s="107">
        <v>10.199999999999999</v>
      </c>
      <c r="AD28" s="107">
        <v>9</v>
      </c>
      <c r="AE28" s="117">
        <v>80.258976264561099</v>
      </c>
      <c r="AF28" s="117">
        <v>80.228565647674358</v>
      </c>
      <c r="AG28" s="117">
        <v>15.869152280632658</v>
      </c>
      <c r="AH28" s="118">
        <v>57.5</v>
      </c>
      <c r="AI28" s="118">
        <v>44.3</v>
      </c>
      <c r="AJ28" s="118">
        <v>13.200000000000003</v>
      </c>
      <c r="AK28" s="117">
        <v>22.956521739130441</v>
      </c>
      <c r="AL28" s="119">
        <v>0.55217240445933546</v>
      </c>
      <c r="AM28" s="119">
        <v>1.0367908976837619</v>
      </c>
    </row>
    <row r="29" spans="1:39" x14ac:dyDescent="0.25">
      <c r="A29" s="105" t="s">
        <v>116</v>
      </c>
      <c r="B29" s="105">
        <v>5</v>
      </c>
      <c r="C29" s="105">
        <v>17</v>
      </c>
      <c r="D29" s="105">
        <v>3</v>
      </c>
      <c r="E29" s="105" t="s">
        <v>114</v>
      </c>
      <c r="F29" s="122">
        <v>9.5</v>
      </c>
      <c r="G29" s="122">
        <v>8.6999999999999993</v>
      </c>
      <c r="H29" s="122">
        <v>8.6</v>
      </c>
      <c r="I29" s="122">
        <v>7.5</v>
      </c>
      <c r="J29" s="123">
        <f t="shared" si="0"/>
        <v>8.5749999999999993</v>
      </c>
      <c r="K29" s="120">
        <v>12.1</v>
      </c>
      <c r="L29" s="120">
        <v>9.1999999999999993</v>
      </c>
      <c r="M29" s="114">
        <f>PI()*(((((F29+G29)/4)*((H29+I29)/4))+(((F29+G29)/4)^2)+(((H29+I29)/4)^2))/3)*((K29+L29)/2)</f>
        <v>615.81469743235994</v>
      </c>
      <c r="N29" s="114">
        <f>PI()*(((F29+G29+H29+I29)/8)^2)*((K29+L29)/2)</f>
        <v>615.04620987316798</v>
      </c>
      <c r="O29" s="114">
        <f>((N29-N30)/N29)*100</f>
        <v>14.100068848863993</v>
      </c>
      <c r="P29" s="113">
        <v>463.6</v>
      </c>
      <c r="Q29" s="113">
        <v>406.9</v>
      </c>
      <c r="R29" s="113">
        <f>P29-Q29</f>
        <v>56.700000000000045</v>
      </c>
      <c r="S29" s="115">
        <f>100*(R29/P29)</f>
        <v>12.23037100949095</v>
      </c>
      <c r="T29" s="116">
        <f>Q29/N29</f>
        <v>0.66157630673621914</v>
      </c>
      <c r="U29" s="116">
        <f>R29/(N29-N30)</f>
        <v>0.6538137941189387</v>
      </c>
      <c r="W29" s="107">
        <v>46</v>
      </c>
      <c r="X29" s="105" t="s">
        <v>116</v>
      </c>
      <c r="Y29" s="105">
        <v>2</v>
      </c>
      <c r="Z29" s="105">
        <v>129</v>
      </c>
      <c r="AA29" s="105">
        <v>1</v>
      </c>
      <c r="AB29" s="117">
        <v>2.9959999999999996</v>
      </c>
      <c r="AC29" s="107">
        <v>14</v>
      </c>
      <c r="AD29" s="107">
        <v>14</v>
      </c>
      <c r="AE29" s="117">
        <v>98.713648728849165</v>
      </c>
      <c r="AF29" s="117">
        <v>98.696450734365527</v>
      </c>
      <c r="AG29" s="117">
        <v>18.211038728094927</v>
      </c>
      <c r="AH29" s="118">
        <v>55.7</v>
      </c>
      <c r="AI29" s="118">
        <v>42.2</v>
      </c>
      <c r="AJ29" s="118">
        <v>13.5</v>
      </c>
      <c r="AK29" s="117">
        <v>24.236983842010769</v>
      </c>
      <c r="AL29" s="119">
        <v>0.42757363295239764</v>
      </c>
      <c r="AM29" s="119">
        <v>0.75109957361907853</v>
      </c>
    </row>
    <row r="30" spans="1:39" x14ac:dyDescent="0.25">
      <c r="A30" s="105" t="s">
        <v>116</v>
      </c>
      <c r="B30" s="105">
        <v>5</v>
      </c>
      <c r="C30" s="105">
        <v>17</v>
      </c>
      <c r="D30" s="105"/>
      <c r="E30" s="105" t="s">
        <v>115</v>
      </c>
      <c r="F30" s="122">
        <v>4.32</v>
      </c>
      <c r="G30" s="122">
        <v>2.2000000000000002</v>
      </c>
      <c r="H30" s="122">
        <v>3.61</v>
      </c>
      <c r="I30" s="122">
        <v>2.42</v>
      </c>
      <c r="J30" s="123">
        <f t="shared" si="0"/>
        <v>3.1375000000000002</v>
      </c>
      <c r="K30" s="120"/>
      <c r="L30" s="120"/>
      <c r="M30" s="114">
        <f>PI()*((((((F29-(0.2*F30))+(G29-(0.2*G30)))/4)*(((H29-(0.2*H30))+(I29-(0.2*I30)))/4))+((((F29-(0.2*F30))+(G29-(0.2*G30)))/4)^2)+((((H29-(0.2*H30))+(I29-(0.2*I30)))/4)^2))/3)*((K29+L29)/2)</f>
        <v>529.02270647751902</v>
      </c>
      <c r="N30" s="114">
        <f>PI()*((((F29-(0.2*F30))+(G29-(0.2*G30))+(H29-(0.2*H30))+(I29-(0.2*I30)))/8)^2)*((K29+L29)/2)</f>
        <v>528.32427082872277</v>
      </c>
      <c r="O30" s="114"/>
      <c r="P30" s="120"/>
      <c r="Q30" s="120"/>
      <c r="R30" s="120"/>
      <c r="W30" s="107">
        <v>35</v>
      </c>
      <c r="X30" s="105" t="s">
        <v>116</v>
      </c>
      <c r="Y30" s="105">
        <v>1</v>
      </c>
      <c r="Z30" s="105">
        <v>24</v>
      </c>
      <c r="AA30" s="105">
        <v>4</v>
      </c>
      <c r="AB30" s="117">
        <v>2.8457499999999998</v>
      </c>
      <c r="AC30" s="107">
        <v>10.4</v>
      </c>
      <c r="AD30" s="107">
        <v>10.1</v>
      </c>
      <c r="AE30" s="117">
        <v>65.216530500895203</v>
      </c>
      <c r="AF30" s="117">
        <v>65.193941103903398</v>
      </c>
      <c r="AG30" s="117">
        <v>16.413211892206668</v>
      </c>
      <c r="AH30" s="118">
        <v>42.4</v>
      </c>
      <c r="AI30" s="118">
        <v>33.6</v>
      </c>
      <c r="AJ30" s="118">
        <v>8.7999999999999972</v>
      </c>
      <c r="AK30" s="117">
        <v>20.754716981132066</v>
      </c>
      <c r="AL30" s="119">
        <v>0.51538531696449696</v>
      </c>
      <c r="AM30" s="119">
        <v>0.82239764901158041</v>
      </c>
    </row>
    <row r="31" spans="1:39" x14ac:dyDescent="0.25">
      <c r="A31" s="105" t="s">
        <v>116</v>
      </c>
      <c r="B31" s="105">
        <v>5</v>
      </c>
      <c r="C31" s="105">
        <v>17</v>
      </c>
      <c r="D31" s="105">
        <v>4</v>
      </c>
      <c r="E31" s="105" t="s">
        <v>114</v>
      </c>
      <c r="F31" s="122">
        <v>7.2</v>
      </c>
      <c r="G31" s="122">
        <v>6.5</v>
      </c>
      <c r="H31" s="122">
        <v>7</v>
      </c>
      <c r="I31" s="122">
        <v>6.7</v>
      </c>
      <c r="J31" s="123">
        <f t="shared" si="0"/>
        <v>6.85</v>
      </c>
      <c r="K31" s="120">
        <v>10.199999999999999</v>
      </c>
      <c r="L31" s="120">
        <v>9.6999999999999993</v>
      </c>
      <c r="M31" s="114">
        <f>PI()*(((((F31+G31)/4)*((H31+I31)/4))+(((F31+G31)/4)^2)+(((H31+I31)/4)^2))/3)*((K31+L31)/2)</f>
        <v>366.68581095406677</v>
      </c>
      <c r="N31" s="114">
        <f>PI()*(((F31+G31+H31+I31)/8)^2)*((K31+L31)/2)</f>
        <v>366.68581095406677</v>
      </c>
      <c r="O31" s="114">
        <f>((N31-N32)/N31)*100</f>
        <v>14.187500133198357</v>
      </c>
      <c r="P31" s="113">
        <v>246.9</v>
      </c>
      <c r="Q31" s="113">
        <v>215.6</v>
      </c>
      <c r="R31" s="113">
        <f>P31-Q31</f>
        <v>31.300000000000011</v>
      </c>
      <c r="S31" s="115">
        <f>100*(R31/P31)</f>
        <v>12.677197245848525</v>
      </c>
      <c r="T31" s="116">
        <f>Q31/N31</f>
        <v>0.58796930112740942</v>
      </c>
      <c r="U31" s="116">
        <f>R31/(N31-N32)</f>
        <v>0.60165059957691314</v>
      </c>
      <c r="W31" s="107">
        <v>40</v>
      </c>
      <c r="X31" s="105" t="s">
        <v>116</v>
      </c>
      <c r="Y31" s="105">
        <v>3</v>
      </c>
      <c r="Z31" s="105">
        <v>115</v>
      </c>
      <c r="AA31" s="105">
        <v>3</v>
      </c>
      <c r="AB31" s="117">
        <v>2.8227499999999996</v>
      </c>
      <c r="AC31" s="107">
        <v>12.9</v>
      </c>
      <c r="AD31" s="107">
        <v>12.24</v>
      </c>
      <c r="AE31" s="117">
        <v>78.710097433665069</v>
      </c>
      <c r="AF31" s="117">
        <v>78.66290689350042</v>
      </c>
      <c r="AG31" s="117">
        <v>15.312947522424569</v>
      </c>
      <c r="AH31" s="118">
        <v>48.3</v>
      </c>
      <c r="AI31" s="118">
        <v>37.877000000000002</v>
      </c>
      <c r="AJ31" s="118">
        <v>10.422999999999995</v>
      </c>
      <c r="AK31" s="117">
        <v>21.579710144927528</v>
      </c>
      <c r="AL31" s="119">
        <v>0.48151030130733213</v>
      </c>
      <c r="AM31" s="119">
        <v>0.86529451816355396</v>
      </c>
    </row>
    <row r="32" spans="1:39" x14ac:dyDescent="0.25">
      <c r="A32" s="105" t="s">
        <v>116</v>
      </c>
      <c r="B32" s="105">
        <v>5</v>
      </c>
      <c r="C32" s="105">
        <v>17</v>
      </c>
      <c r="E32" s="105" t="s">
        <v>115</v>
      </c>
      <c r="F32" s="122">
        <v>3.34</v>
      </c>
      <c r="G32" s="122">
        <v>1.94</v>
      </c>
      <c r="H32" s="122">
        <v>2.4500000000000002</v>
      </c>
      <c r="I32" s="122">
        <v>2.36</v>
      </c>
      <c r="J32" s="123">
        <f t="shared" si="0"/>
        <v>2.5225</v>
      </c>
      <c r="K32" s="120"/>
      <c r="L32" s="120"/>
      <c r="M32" s="114">
        <f>PI()*((((((F31-(0.2*F32))+(G31-(0.2*G32)))/4)*(((H31-(0.2*H32))+(I31-(0.2*I32)))/4))+((((F31-(0.2*F32))+(G31-(0.2*G32)))/4)^2)+((((H31-(0.2*H32))+(I31-(0.2*I32)))/4)^2))/3)*((K31+L31)/2)</f>
        <v>314.66369959472263</v>
      </c>
      <c r="N32" s="114">
        <f>PI()*((((F31-(0.2*F32))+(G31-(0.2*G32))+(H31-(0.2*H32))+(I31-(0.2*I32)))/8)^2)*((K31+L31)/2)</f>
        <v>314.66226103653906</v>
      </c>
      <c r="O32" s="114"/>
      <c r="W32" s="107">
        <v>14</v>
      </c>
      <c r="X32" s="105" t="s">
        <v>113</v>
      </c>
      <c r="Y32" s="105" t="s">
        <v>119</v>
      </c>
      <c r="Z32" s="105">
        <v>118</v>
      </c>
      <c r="AA32" s="105">
        <v>1</v>
      </c>
      <c r="AB32" s="117">
        <v>2.8224999999999998</v>
      </c>
      <c r="AC32" s="107">
        <v>17.100000000000001</v>
      </c>
      <c r="AD32" s="107">
        <v>16.7</v>
      </c>
      <c r="AE32" s="117">
        <v>105.81893752079317</v>
      </c>
      <c r="AF32" s="117">
        <v>105.74126147880852</v>
      </c>
      <c r="AG32" s="117">
        <v>31.999598318271577</v>
      </c>
      <c r="AH32" s="118">
        <v>69</v>
      </c>
      <c r="AI32" s="118">
        <v>57.253999999999998</v>
      </c>
      <c r="AJ32" s="118">
        <v>11.746000000000002</v>
      </c>
      <c r="AK32" s="117">
        <v>17.023188405797104</v>
      </c>
      <c r="AL32" s="119">
        <v>0.54145372581425277</v>
      </c>
      <c r="AM32" s="119">
        <v>0.34713706125329186</v>
      </c>
    </row>
    <row r="33" spans="1:39" x14ac:dyDescent="0.25">
      <c r="A33" s="105" t="s">
        <v>116</v>
      </c>
      <c r="B33" s="105">
        <v>1</v>
      </c>
      <c r="C33" s="105">
        <v>24</v>
      </c>
      <c r="D33" s="105">
        <v>1</v>
      </c>
      <c r="E33" s="105" t="s">
        <v>114</v>
      </c>
      <c r="F33" s="122">
        <v>6.23</v>
      </c>
      <c r="G33" s="122">
        <v>4.66</v>
      </c>
      <c r="H33" s="122">
        <v>5.08</v>
      </c>
      <c r="I33" s="122">
        <v>4.3600000000000003</v>
      </c>
      <c r="J33" s="123">
        <f t="shared" si="0"/>
        <v>5.0825000000000005</v>
      </c>
      <c r="K33" s="120">
        <v>15.38</v>
      </c>
      <c r="L33" s="120">
        <v>15.09</v>
      </c>
      <c r="M33" s="114">
        <f>PI()*(((((F33+G33)/4)*((H33+I33)/4))+(((F33+G33)/4)^2)+(((H33+I33)/4)^2))/3)*((K33+L33)/2)</f>
        <v>309.61565291339667</v>
      </c>
      <c r="N33" s="114">
        <f>PI()*(((F33+G33+H33+I33)/8)^2)*((K33+L33)/2)</f>
        <v>309.09153728853829</v>
      </c>
      <c r="O33" s="114">
        <f>((N33-N34)/N33)*100</f>
        <v>14.139220326491889</v>
      </c>
      <c r="P33" s="113">
        <v>238.6</v>
      </c>
      <c r="Q33" s="113">
        <v>193.6</v>
      </c>
      <c r="R33" s="113">
        <f>P33-Q33</f>
        <v>45</v>
      </c>
      <c r="S33" s="115">
        <f>100*(R33/P33)</f>
        <v>18.860016764459349</v>
      </c>
      <c r="T33" s="116">
        <f>Q33/N33</f>
        <v>0.62635166817677557</v>
      </c>
      <c r="U33" s="116">
        <f>R33/(N33-N34)</f>
        <v>1.0296744519060455</v>
      </c>
      <c r="W33" s="107">
        <v>22</v>
      </c>
      <c r="X33" s="105" t="s">
        <v>113</v>
      </c>
      <c r="Y33" s="105">
        <v>3</v>
      </c>
      <c r="Z33" s="105">
        <v>35</v>
      </c>
      <c r="AA33" s="105">
        <v>1</v>
      </c>
      <c r="AB33" s="117">
        <v>2.8</v>
      </c>
      <c r="AC33" s="107">
        <v>9.4</v>
      </c>
      <c r="AD33" s="107">
        <v>9.1999999999999993</v>
      </c>
      <c r="AE33" s="117">
        <v>57.26495088963474</v>
      </c>
      <c r="AF33" s="117">
        <v>57.26495088963474</v>
      </c>
      <c r="AG33" s="117">
        <v>17.157496811224455</v>
      </c>
      <c r="AH33" s="118">
        <v>29.8</v>
      </c>
      <c r="AI33" s="118">
        <v>22.591999999999999</v>
      </c>
      <c r="AJ33" s="118">
        <v>7.208000000000002</v>
      </c>
      <c r="AK33" s="117">
        <v>24.187919463087255</v>
      </c>
      <c r="AL33" s="119">
        <v>0.39451705884705945</v>
      </c>
      <c r="AM33" s="119">
        <v>0.73362134450190908</v>
      </c>
    </row>
    <row r="34" spans="1:39" x14ac:dyDescent="0.25">
      <c r="A34" s="105" t="s">
        <v>116</v>
      </c>
      <c r="B34" s="105">
        <v>1</v>
      </c>
      <c r="C34" s="105">
        <v>24</v>
      </c>
      <c r="D34" s="105"/>
      <c r="E34" s="105" t="s">
        <v>115</v>
      </c>
      <c r="F34" s="122">
        <v>2.2200000000000002</v>
      </c>
      <c r="G34" s="122">
        <v>1.73</v>
      </c>
      <c r="H34" s="122">
        <v>1.87</v>
      </c>
      <c r="I34" s="122">
        <v>1.64</v>
      </c>
      <c r="J34" s="123">
        <f t="shared" si="0"/>
        <v>1.865</v>
      </c>
      <c r="K34" s="120"/>
      <c r="L34" s="120"/>
      <c r="M34" s="114">
        <f>PI()*((((((F33-(0.2*F34))+(G33-(0.2*G34)))/4)*(((H33-(0.2*H34))+(I33-(0.2*I34)))/4))+((((F33-(0.2*F34))+(G33-(0.2*G34)))/4)^2)+((((H33-(0.2*H34))+(I33-(0.2*I34)))/4)^2))/3)*((K33+L33)/2)</f>
        <v>265.85083309316099</v>
      </c>
      <c r="N34" s="114">
        <f>PI()*((((F33-(0.2*F34))+(G33-(0.2*G34))+(H33-(0.2*H34))+(I33-(0.2*I34)))/8)^2)*((K33+L33)/2)</f>
        <v>265.38840382077103</v>
      </c>
      <c r="O34" s="114"/>
      <c r="W34" s="107">
        <v>23</v>
      </c>
      <c r="X34" s="105" t="s">
        <v>113</v>
      </c>
      <c r="Y34" s="105">
        <v>3</v>
      </c>
      <c r="Z34" s="105">
        <v>35</v>
      </c>
      <c r="AA34" s="105">
        <v>2</v>
      </c>
      <c r="AB34" s="117">
        <v>2.5249999999999999</v>
      </c>
      <c r="AC34" s="107">
        <v>6.6</v>
      </c>
      <c r="AD34" s="107">
        <v>5.9</v>
      </c>
      <c r="AE34" s="117">
        <v>31.297298688301439</v>
      </c>
      <c r="AF34" s="117">
        <v>31.296276034442847</v>
      </c>
      <c r="AG34" s="117">
        <v>16.630444074110351</v>
      </c>
      <c r="AH34" s="118">
        <v>22.8</v>
      </c>
      <c r="AI34" s="118">
        <v>17.190000000000001</v>
      </c>
      <c r="AJ34" s="118">
        <v>5.6099999999999994</v>
      </c>
      <c r="AK34" s="117">
        <v>24.605263157894733</v>
      </c>
      <c r="AL34" s="119">
        <v>0.54926662779564239</v>
      </c>
      <c r="AM34" s="119">
        <v>1.0778699181093598</v>
      </c>
    </row>
    <row r="35" spans="1:39" x14ac:dyDescent="0.25">
      <c r="A35" s="105" t="s">
        <v>116</v>
      </c>
      <c r="B35" s="105">
        <v>1</v>
      </c>
      <c r="C35" s="105">
        <v>24</v>
      </c>
      <c r="D35" s="105">
        <v>2</v>
      </c>
      <c r="E35" s="105" t="s">
        <v>114</v>
      </c>
      <c r="F35" s="122">
        <v>5.09</v>
      </c>
      <c r="G35" s="122">
        <v>4.37</v>
      </c>
      <c r="H35" s="122">
        <v>5.0999999999999996</v>
      </c>
      <c r="I35" s="122">
        <v>4.29</v>
      </c>
      <c r="J35" s="123">
        <f t="shared" ref="J35:J66" si="1">(F35+G35+H35+I35)/4</f>
        <v>4.7125000000000004</v>
      </c>
      <c r="K35" s="120">
        <v>12.29</v>
      </c>
      <c r="L35" s="120">
        <v>12.21</v>
      </c>
      <c r="M35" s="114">
        <f>PI()*(((((F35+G35)/4)*((H35+I35)/4))+(((F35+G35)/4)^2)+(((H35+I35)/4)^2))/3)*((K35+L35)/2)</f>
        <v>213.66367445013611</v>
      </c>
      <c r="N35" s="114">
        <f>PI()*(((F35+G35+H35+I35)/8)^2)*((K35+L35)/2)</f>
        <v>213.66269229337036</v>
      </c>
      <c r="O35" s="114">
        <f>((N35-N36)/N35)*100</f>
        <v>14.263207086519989</v>
      </c>
      <c r="P35" s="113">
        <v>147.9</v>
      </c>
      <c r="Q35" s="113">
        <v>121.1</v>
      </c>
      <c r="R35" s="113">
        <f>P35-Q35</f>
        <v>26.800000000000011</v>
      </c>
      <c r="S35" s="115">
        <f>100*(R35/P35)</f>
        <v>18.120351588911436</v>
      </c>
      <c r="T35" s="116">
        <f>Q35/N35</f>
        <v>0.56678121341709575</v>
      </c>
      <c r="U35" s="116">
        <f>R35/(N35-N36)</f>
        <v>0.87940495797805485</v>
      </c>
      <c r="W35" s="107">
        <v>30</v>
      </c>
      <c r="X35" s="105" t="s">
        <v>116</v>
      </c>
      <c r="Y35" s="105">
        <v>5</v>
      </c>
      <c r="Z35" s="105">
        <v>17</v>
      </c>
      <c r="AA35" s="105">
        <v>3</v>
      </c>
      <c r="AB35" s="117">
        <v>2.4662500000000001</v>
      </c>
      <c r="AC35" s="107">
        <v>10.18</v>
      </c>
      <c r="AD35" s="107">
        <v>9.8699999999999992</v>
      </c>
      <c r="AE35" s="117">
        <v>47.892348301670395</v>
      </c>
      <c r="AF35" s="117">
        <v>47.890399417531171</v>
      </c>
      <c r="AG35" s="117">
        <v>21.848306419481041</v>
      </c>
      <c r="AH35" s="118">
        <v>30.7</v>
      </c>
      <c r="AI35" s="118">
        <v>23.2</v>
      </c>
      <c r="AJ35" s="118">
        <v>7.5</v>
      </c>
      <c r="AK35" s="117">
        <v>24.429967426710096</v>
      </c>
      <c r="AL35" s="119">
        <v>0.48443947601546228</v>
      </c>
      <c r="AM35" s="119">
        <v>0.71679509716825163</v>
      </c>
    </row>
    <row r="36" spans="1:39" x14ac:dyDescent="0.25">
      <c r="A36" s="105" t="s">
        <v>116</v>
      </c>
      <c r="B36" s="105">
        <v>1</v>
      </c>
      <c r="C36" s="105">
        <v>24</v>
      </c>
      <c r="D36" s="105"/>
      <c r="E36" s="105" t="s">
        <v>115</v>
      </c>
      <c r="F36" s="122">
        <v>1.86</v>
      </c>
      <c r="G36" s="122">
        <v>1.64</v>
      </c>
      <c r="H36" s="122">
        <v>1.87</v>
      </c>
      <c r="I36" s="122">
        <v>1.61</v>
      </c>
      <c r="J36" s="123">
        <f t="shared" si="1"/>
        <v>1.7450000000000001</v>
      </c>
      <c r="K36" s="120"/>
      <c r="L36" s="120"/>
      <c r="M36" s="114">
        <f>PI()*((((((F35-(0.2*F36))+(G35-(0.2*G36)))/4)*(((H35-(0.2*H36))+(I35-(0.2*I36)))/4))+((((F35-(0.2*F36))+(G35-(0.2*G36)))/4)^2)+((((H35-(0.2*H36))+(I35-(0.2*I36)))/4)^2))/3)*((K35+L35)/2)</f>
        <v>183.18841314225367</v>
      </c>
      <c r="N36" s="114">
        <f>PI()*((((F35-(0.2*F36))+(G35-(0.2*G36))+(H35-(0.2*H36))+(I35-(0.2*I36)))/8)^2)*((K35+L35)/2)</f>
        <v>183.18754002493296</v>
      </c>
      <c r="O36" s="114"/>
      <c r="W36" s="107">
        <v>36</v>
      </c>
      <c r="X36" s="105" t="s">
        <v>116</v>
      </c>
      <c r="Y36" s="105">
        <v>3</v>
      </c>
      <c r="Z36" s="105" t="s">
        <v>92</v>
      </c>
      <c r="AA36" s="105">
        <v>1</v>
      </c>
      <c r="AB36" s="117">
        <v>2.4297500000000003</v>
      </c>
      <c r="AC36" s="107">
        <v>7.43</v>
      </c>
      <c r="AD36" s="107">
        <v>7.36</v>
      </c>
      <c r="AE36" s="117">
        <v>34.288883132223937</v>
      </c>
      <c r="AF36" s="117">
        <v>34.288717482670108</v>
      </c>
      <c r="AG36" s="117">
        <v>17.326457783078958</v>
      </c>
      <c r="AH36" s="118">
        <v>21.5</v>
      </c>
      <c r="AI36" s="118">
        <v>16.7</v>
      </c>
      <c r="AJ36" s="118">
        <v>4.8000000000000007</v>
      </c>
      <c r="AK36" s="117">
        <v>22.325581395348841</v>
      </c>
      <c r="AL36" s="119">
        <v>0.48704067186065975</v>
      </c>
      <c r="AM36" s="119">
        <v>0.80794204893133204</v>
      </c>
    </row>
    <row r="37" spans="1:39" x14ac:dyDescent="0.25">
      <c r="A37" s="105" t="s">
        <v>116</v>
      </c>
      <c r="B37" s="105">
        <v>1</v>
      </c>
      <c r="C37" s="105">
        <v>24</v>
      </c>
      <c r="D37" s="105">
        <v>3</v>
      </c>
      <c r="E37" s="105" t="s">
        <v>114</v>
      </c>
      <c r="F37" s="122">
        <v>4.3</v>
      </c>
      <c r="G37" s="122">
        <v>4.28</v>
      </c>
      <c r="H37" s="122">
        <v>4.45</v>
      </c>
      <c r="I37" s="122">
        <v>4.26</v>
      </c>
      <c r="J37" s="123">
        <f t="shared" si="1"/>
        <v>4.3224999999999998</v>
      </c>
      <c r="K37" s="120">
        <v>15.25</v>
      </c>
      <c r="L37" s="120">
        <v>15.05</v>
      </c>
      <c r="M37" s="114">
        <f>PI()*(((((F37+G37)/4)*((H37+I37)/4))+(((F37+G37)/4)^2)+(((H37+I37)/4)^2))/3)*((K37+L37)/2)</f>
        <v>222.32110989678614</v>
      </c>
      <c r="N37" s="114">
        <f>PI()*(((F37+G37+H37+I37)/8)^2)*((K37+L37)/2)</f>
        <v>222.31692053389511</v>
      </c>
      <c r="O37" s="114">
        <f>((N37-N38)/N37)*100</f>
        <v>14.493664869117643</v>
      </c>
      <c r="P37" s="113">
        <v>169.4</v>
      </c>
      <c r="Q37" s="113">
        <v>129.76599999999999</v>
      </c>
      <c r="R37" s="113">
        <f>P37-Q37</f>
        <v>39.634000000000015</v>
      </c>
      <c r="S37" s="115">
        <f>100*(R37/P37)</f>
        <v>23.396694214876039</v>
      </c>
      <c r="T37" s="116">
        <f>Q37/N37</f>
        <v>0.58369826142052683</v>
      </c>
      <c r="U37" s="116">
        <f>R37/(N37-N38)</f>
        <v>1.2300341577414351</v>
      </c>
      <c r="W37" s="107">
        <v>43</v>
      </c>
      <c r="X37" s="105" t="s">
        <v>116</v>
      </c>
      <c r="Y37" s="105">
        <v>2</v>
      </c>
      <c r="Z37" s="105" t="s">
        <v>91</v>
      </c>
      <c r="AA37" s="105">
        <v>3</v>
      </c>
      <c r="AB37" s="117">
        <v>2.41275</v>
      </c>
      <c r="AC37" s="107">
        <v>8.6</v>
      </c>
      <c r="AD37" s="107">
        <v>8.1</v>
      </c>
      <c r="AE37" s="117">
        <v>38.226608978457257</v>
      </c>
      <c r="AF37" s="117">
        <v>38.17693033323566</v>
      </c>
      <c r="AG37" s="117">
        <v>15.649809190414238</v>
      </c>
      <c r="AH37" s="118">
        <v>23.6</v>
      </c>
      <c r="AI37" s="118">
        <v>18.600000000000001</v>
      </c>
      <c r="AJ37" s="118">
        <v>5</v>
      </c>
      <c r="AK37" s="117">
        <v>21.1864406779661</v>
      </c>
      <c r="AL37" s="119">
        <v>0.48720522675987427</v>
      </c>
      <c r="AM37" s="119">
        <v>0.83687376238862732</v>
      </c>
    </row>
    <row r="38" spans="1:39" x14ac:dyDescent="0.25">
      <c r="A38" s="105" t="s">
        <v>116</v>
      </c>
      <c r="B38" s="105">
        <v>1</v>
      </c>
      <c r="C38" s="105">
        <v>24</v>
      </c>
      <c r="D38" s="105"/>
      <c r="E38" s="105" t="s">
        <v>115</v>
      </c>
      <c r="F38" s="122">
        <v>1.63</v>
      </c>
      <c r="G38" s="122">
        <v>1.61</v>
      </c>
      <c r="H38" s="122">
        <v>1.67</v>
      </c>
      <c r="I38" s="122">
        <v>1.6</v>
      </c>
      <c r="J38" s="123">
        <f t="shared" si="1"/>
        <v>1.6274999999999999</v>
      </c>
      <c r="K38" s="120"/>
      <c r="L38" s="120"/>
      <c r="M38" s="114">
        <f>PI()*((((((F37-(0.2*F38))+(G37-(0.2*G38)))/4)*(((H37-(0.2*H38))+(I37-(0.2*I38)))/4))+((((F37-(0.2*F38))+(G37-(0.2*G38)))/4)^2)+((((H37-(0.2*H38))+(I37-(0.2*I38)))/4)^2))/3)*((K37+L37)/2)</f>
        <v>190.09886270092662</v>
      </c>
      <c r="N38" s="114">
        <f>PI()*((((F37-(0.2*F38))+(G37-(0.2*G38))+(H37-(0.2*H38))+(I37-(0.2*I38)))/8)^2)*((K37+L37)/2)</f>
        <v>190.09505112436977</v>
      </c>
      <c r="O38" s="114"/>
      <c r="P38" s="120"/>
      <c r="Q38" s="120"/>
      <c r="R38" s="120"/>
      <c r="W38" s="107">
        <v>29</v>
      </c>
      <c r="X38" s="105" t="s">
        <v>116</v>
      </c>
      <c r="Y38" s="105">
        <v>5</v>
      </c>
      <c r="Z38" s="105">
        <v>17</v>
      </c>
      <c r="AA38" s="105">
        <v>2</v>
      </c>
      <c r="AB38" s="117">
        <v>2.3774999999999999</v>
      </c>
      <c r="AC38" s="107">
        <v>14.86</v>
      </c>
      <c r="AD38" s="107">
        <v>14.82</v>
      </c>
      <c r="AE38" s="117">
        <v>65.896881709025621</v>
      </c>
      <c r="AF38" s="117">
        <v>65.881705525764147</v>
      </c>
      <c r="AG38" s="117">
        <v>15.684382790966975</v>
      </c>
      <c r="AH38" s="118">
        <v>41.7</v>
      </c>
      <c r="AI38" s="118">
        <v>29.384</v>
      </c>
      <c r="AJ38" s="118">
        <v>12.316000000000003</v>
      </c>
      <c r="AK38" s="117">
        <v>29.534772182254198</v>
      </c>
      <c r="AL38" s="119">
        <v>0.44601152574152614</v>
      </c>
      <c r="AM38" s="119">
        <v>1.1918933964214034</v>
      </c>
    </row>
    <row r="39" spans="1:39" x14ac:dyDescent="0.25">
      <c r="A39" s="105" t="s">
        <v>116</v>
      </c>
      <c r="B39" s="105">
        <v>1</v>
      </c>
      <c r="C39" s="105">
        <v>24</v>
      </c>
      <c r="D39" s="105">
        <v>4</v>
      </c>
      <c r="E39" s="105" t="s">
        <v>114</v>
      </c>
      <c r="F39" s="122">
        <v>2.52</v>
      </c>
      <c r="G39" s="122">
        <v>2.36</v>
      </c>
      <c r="H39" s="122">
        <v>2.4</v>
      </c>
      <c r="I39" s="122">
        <v>2.23</v>
      </c>
      <c r="J39" s="123">
        <f t="shared" si="1"/>
        <v>2.3774999999999999</v>
      </c>
      <c r="K39" s="120">
        <v>14.86</v>
      </c>
      <c r="L39" s="120">
        <v>14.82</v>
      </c>
      <c r="M39" s="114">
        <f>PI()*(((((F39+G39)/4)*((H39+I39)/4))+(((F39+G39)/4)^2)+(((H39+I39)/4)^2))/3)*((K39+L39)/2)</f>
        <v>65.896881709025621</v>
      </c>
      <c r="N39" s="114">
        <f>PI()*(((F39+G39+H39+I39)/8)^2)*((K39+L39)/2)</f>
        <v>65.881705525764147</v>
      </c>
      <c r="O39" s="114">
        <f>((N39-N40)/N39)*100</f>
        <v>15.688597381029002</v>
      </c>
      <c r="P39" s="113">
        <v>41.7</v>
      </c>
      <c r="Q39" s="113">
        <v>29.384</v>
      </c>
      <c r="R39" s="113">
        <f>P39-Q39</f>
        <v>12.316000000000003</v>
      </c>
      <c r="S39" s="115">
        <f>100*(R39/P39)</f>
        <v>29.534772182254198</v>
      </c>
      <c r="T39" s="116">
        <f>Q39/N39</f>
        <v>0.44601152574152614</v>
      </c>
      <c r="U39" s="116">
        <f>R39/(N39-N40)</f>
        <v>1.1915732057796558</v>
      </c>
      <c r="W39" s="107">
        <v>31</v>
      </c>
      <c r="X39" s="105" t="s">
        <v>116</v>
      </c>
      <c r="Y39" s="105">
        <v>5</v>
      </c>
      <c r="Z39" s="105">
        <v>17</v>
      </c>
      <c r="AA39" s="105">
        <v>4</v>
      </c>
      <c r="AB39" s="117">
        <v>2.1607500000000002</v>
      </c>
      <c r="AC39" s="107">
        <v>10.778</v>
      </c>
      <c r="AD39" s="107">
        <v>10.747</v>
      </c>
      <c r="AE39" s="117">
        <v>39.465006996053361</v>
      </c>
      <c r="AF39" s="117">
        <v>39.464998367104641</v>
      </c>
      <c r="AG39" s="117">
        <v>17.697338106520533</v>
      </c>
      <c r="AH39" s="118">
        <v>26.5</v>
      </c>
      <c r="AI39" s="118">
        <v>19.2</v>
      </c>
      <c r="AJ39" s="118">
        <v>7.3000000000000007</v>
      </c>
      <c r="AK39" s="117">
        <v>27.54716981132076</v>
      </c>
      <c r="AL39" s="119">
        <v>0.48650705167655151</v>
      </c>
      <c r="AM39" s="119">
        <v>1.045208235043565</v>
      </c>
    </row>
    <row r="40" spans="1:39" x14ac:dyDescent="0.25">
      <c r="A40" s="105" t="s">
        <v>116</v>
      </c>
      <c r="B40" s="105">
        <v>1</v>
      </c>
      <c r="C40" s="105">
        <v>24</v>
      </c>
      <c r="E40" s="105" t="s">
        <v>115</v>
      </c>
      <c r="F40" s="122">
        <v>1.02</v>
      </c>
      <c r="G40" s="122">
        <v>0.96899999999999997</v>
      </c>
      <c r="H40" s="122">
        <v>0.98</v>
      </c>
      <c r="I40" s="122">
        <v>0.92</v>
      </c>
      <c r="J40" s="123">
        <f t="shared" si="1"/>
        <v>0.97224999999999995</v>
      </c>
      <c r="K40" s="120"/>
      <c r="L40" s="120"/>
      <c r="M40" s="114">
        <f>PI()*((((((F39-(0.2*F40))+(G39-(0.2*G40)))/4)*(((H39-(0.2*H40))+(I39-(0.2*I40)))/4))+((((F39-(0.2*F40))+(G39-(0.2*G40)))/4)^2)+((((H39-(0.2*H40))+(I39-(0.2*I40)))/4)^2))/3)*((K39+L39)/2)</f>
        <v>55.558882027587394</v>
      </c>
      <c r="N40" s="114">
        <f>PI()*((((F39-(0.2*F40))+(G39-(0.2*G40))+(H39-(0.2*H40))+(I39-(0.2*I40)))/8)^2)*((K39+L39)/2)</f>
        <v>55.545789998071875</v>
      </c>
      <c r="O40" s="114"/>
      <c r="W40" s="107">
        <v>37</v>
      </c>
      <c r="X40" s="105" t="s">
        <v>116</v>
      </c>
      <c r="Y40" s="105">
        <v>3</v>
      </c>
      <c r="Z40" s="105" t="s">
        <v>92</v>
      </c>
      <c r="AA40" s="105">
        <v>2</v>
      </c>
      <c r="AB40" s="117">
        <v>2.0445000000000002</v>
      </c>
      <c r="AC40" s="107">
        <v>5.9</v>
      </c>
      <c r="AD40" s="107">
        <v>5.6</v>
      </c>
      <c r="AE40" s="117">
        <v>18.877341034177583</v>
      </c>
      <c r="AF40" s="117">
        <v>18.876955665478739</v>
      </c>
      <c r="AG40" s="117">
        <v>13.99921088143897</v>
      </c>
      <c r="AH40" s="118">
        <v>11.4</v>
      </c>
      <c r="AI40" s="118">
        <v>8.3000000000000007</v>
      </c>
      <c r="AJ40" s="118">
        <v>3.0999999999999996</v>
      </c>
      <c r="AK40" s="117">
        <v>27.192982456140346</v>
      </c>
      <c r="AL40" s="119">
        <v>0.43968954248161096</v>
      </c>
      <c r="AM40" s="119">
        <v>1.1730760881846065</v>
      </c>
    </row>
    <row r="41" spans="1:39" x14ac:dyDescent="0.25">
      <c r="A41" s="105" t="s">
        <v>116</v>
      </c>
      <c r="B41" s="105">
        <v>3</v>
      </c>
      <c r="C41" s="105" t="s">
        <v>92</v>
      </c>
      <c r="D41" s="105">
        <v>1</v>
      </c>
      <c r="E41" s="105" t="s">
        <v>114</v>
      </c>
      <c r="F41" s="122">
        <v>2.7010000000000001</v>
      </c>
      <c r="G41" s="122">
        <v>2.286</v>
      </c>
      <c r="H41" s="122">
        <v>2.532</v>
      </c>
      <c r="I41" s="122">
        <v>2.3460000000000001</v>
      </c>
      <c r="J41" s="123">
        <f t="shared" si="1"/>
        <v>2.4662500000000001</v>
      </c>
      <c r="K41" s="120">
        <v>10.18</v>
      </c>
      <c r="L41" s="120">
        <v>9.8699999999999992</v>
      </c>
      <c r="M41" s="114">
        <f>PI()*(((((F41+G41)/4)*((H41+I41)/4))+(((F41+G41)/4)^2)+(((H41+I41)/4)^2))/3)*((K41+L41)/2)</f>
        <v>47.892348301670395</v>
      </c>
      <c r="N41" s="114">
        <f>PI()*(((F41+G41+H41+I41)/8)^2)*((K41+L41)/2)</f>
        <v>47.890399417531171</v>
      </c>
      <c r="O41" s="114">
        <f>((N41-N42)/N41)*100</f>
        <v>21.848306419481041</v>
      </c>
      <c r="P41" s="113">
        <v>30.7</v>
      </c>
      <c r="Q41" s="113">
        <v>23.2</v>
      </c>
      <c r="R41" s="113">
        <f>P41-Q41</f>
        <v>7.5</v>
      </c>
      <c r="S41" s="115">
        <f>100*(R41/P41)</f>
        <v>24.429967426710096</v>
      </c>
      <c r="T41" s="116">
        <f>Q41/N41</f>
        <v>0.48443947601546228</v>
      </c>
      <c r="U41" s="116">
        <f>R41/(N41-N42)</f>
        <v>0.71679509716825163</v>
      </c>
      <c r="W41" s="107">
        <v>39</v>
      </c>
      <c r="X41" s="105" t="s">
        <v>116</v>
      </c>
      <c r="Y41" s="105">
        <v>3</v>
      </c>
      <c r="Z41" s="105">
        <v>115</v>
      </c>
      <c r="AA41" s="105">
        <v>2</v>
      </c>
      <c r="AB41" s="117">
        <v>1.5662499999999999</v>
      </c>
      <c r="AC41" s="107">
        <v>9.4</v>
      </c>
      <c r="AD41" s="107">
        <v>9.1</v>
      </c>
      <c r="AE41" s="117">
        <v>17.822170808049563</v>
      </c>
      <c r="AF41" s="117">
        <v>17.821890956775849</v>
      </c>
      <c r="AG41" s="117">
        <v>16.621545062759179</v>
      </c>
      <c r="AH41" s="118">
        <v>11.3</v>
      </c>
      <c r="AI41" s="118">
        <v>8.7550000000000008</v>
      </c>
      <c r="AJ41" s="118">
        <v>2.5449999999999999</v>
      </c>
      <c r="AK41" s="117">
        <v>22.522123893805308</v>
      </c>
      <c r="AL41" s="119">
        <v>0.49124977934349701</v>
      </c>
      <c r="AM41" s="119">
        <v>0.85913737634275067</v>
      </c>
    </row>
    <row r="42" spans="1:39" x14ac:dyDescent="0.25">
      <c r="A42" s="105" t="s">
        <v>116</v>
      </c>
      <c r="B42" s="105">
        <v>3</v>
      </c>
      <c r="C42" s="105" t="s">
        <v>92</v>
      </c>
      <c r="D42" s="105"/>
      <c r="E42" s="105" t="s">
        <v>115</v>
      </c>
      <c r="F42" s="122">
        <v>1.46</v>
      </c>
      <c r="G42" s="122">
        <v>0.99</v>
      </c>
      <c r="H42" s="122">
        <v>2.0499999999999998</v>
      </c>
      <c r="I42" s="122">
        <v>1.22</v>
      </c>
      <c r="J42" s="123">
        <f t="shared" si="1"/>
        <v>1.43</v>
      </c>
      <c r="K42" s="120"/>
      <c r="L42" s="120"/>
      <c r="M42" s="114">
        <f>PI()*((((((F41-(0.2*F42))+(G41-(0.2*G42)))/4)*(((H41-(0.2*H42))+(I41-(0.2*I42)))/4))+((((F41-(0.2*F42))+(G41-(0.2*G42)))/4)^2)+((((H41-(0.2*H42))+(I41-(0.2*I42)))/4)^2))/3)*((K41+L41)/2)</f>
        <v>37.439383473331674</v>
      </c>
      <c r="N42" s="114">
        <f>PI()*((((F41-(0.2*F42))+(G41-(0.2*G42))+(H41-(0.2*H42))+(I41-(0.2*I42)))/8)^2)*((K41+L41)/2)</f>
        <v>37.427158207275596</v>
      </c>
      <c r="O42" s="114"/>
      <c r="W42" s="107">
        <v>44</v>
      </c>
      <c r="X42" s="105" t="s">
        <v>116</v>
      </c>
      <c r="Y42" s="105">
        <v>2</v>
      </c>
      <c r="Z42" s="105" t="s">
        <v>91</v>
      </c>
      <c r="AA42" s="105">
        <v>4</v>
      </c>
      <c r="AB42" s="117">
        <v>1.18025</v>
      </c>
      <c r="AC42" s="107">
        <v>8.8230000000000004</v>
      </c>
      <c r="AD42" s="107">
        <v>8.202</v>
      </c>
      <c r="AE42" s="117">
        <v>9.3194355018977468</v>
      </c>
      <c r="AF42" s="117">
        <v>9.3131162600653514</v>
      </c>
      <c r="AG42" s="117">
        <v>17.284468248890775</v>
      </c>
      <c r="AH42" s="118">
        <v>7.1</v>
      </c>
      <c r="AI42" s="118">
        <v>4.9119999999999999</v>
      </c>
      <c r="AJ42" s="118">
        <v>2.1879999999999997</v>
      </c>
      <c r="AK42" s="117">
        <v>30.816901408450704</v>
      </c>
      <c r="AL42" s="119">
        <v>0.52742818438363737</v>
      </c>
      <c r="AM42" s="119">
        <v>1.3592403863876763</v>
      </c>
    </row>
    <row r="43" spans="1:39" x14ac:dyDescent="0.25">
      <c r="A43" s="105" t="s">
        <v>116</v>
      </c>
      <c r="B43" s="105">
        <v>3</v>
      </c>
      <c r="C43" s="105" t="s">
        <v>92</v>
      </c>
      <c r="D43" s="105">
        <v>2</v>
      </c>
      <c r="E43" s="105" t="s">
        <v>114</v>
      </c>
      <c r="F43" s="122">
        <v>2.25</v>
      </c>
      <c r="G43" s="122">
        <v>2.0750000000000002</v>
      </c>
      <c r="H43" s="122">
        <v>2.258</v>
      </c>
      <c r="I43" s="122">
        <v>2.06</v>
      </c>
      <c r="J43" s="123">
        <f t="shared" si="1"/>
        <v>2.1607500000000002</v>
      </c>
      <c r="K43" s="120">
        <v>10.778</v>
      </c>
      <c r="L43" s="120">
        <v>10.747</v>
      </c>
      <c r="M43" s="114">
        <f>PI()*(((((F43+G43)/4)*((H43+I43)/4))+(((F43+G43)/4)^2)+(((H43+I43)/4)^2))/3)*((K43+L43)/2)</f>
        <v>39.465006996053361</v>
      </c>
      <c r="N43" s="114">
        <f>PI()*(((F43+G43+H43+I43)/8)^2)*((K43+L43)/2)</f>
        <v>39.464998367104641</v>
      </c>
      <c r="O43" s="114">
        <f>((N43-N44)/N43)*100</f>
        <v>17.697338106520533</v>
      </c>
      <c r="P43" s="113">
        <v>26.5</v>
      </c>
      <c r="Q43" s="113">
        <v>19.2</v>
      </c>
      <c r="R43" s="113">
        <f>P43-Q43</f>
        <v>7.3000000000000007</v>
      </c>
      <c r="S43" s="115">
        <f>100*(R43/P43)</f>
        <v>27.54716981132076</v>
      </c>
      <c r="T43" s="116">
        <f>Q43/N43</f>
        <v>0.48650705167655151</v>
      </c>
      <c r="U43" s="116">
        <f>R43/(N43-N44)</f>
        <v>1.045208235043565</v>
      </c>
      <c r="X43" s="105"/>
      <c r="Y43" s="105"/>
      <c r="Z43" s="121"/>
      <c r="AA43" s="105"/>
    </row>
    <row r="44" spans="1:39" x14ac:dyDescent="0.25">
      <c r="A44" s="105" t="s">
        <v>116</v>
      </c>
      <c r="B44" s="105">
        <v>3</v>
      </c>
      <c r="C44" s="105" t="s">
        <v>92</v>
      </c>
      <c r="D44" s="105"/>
      <c r="E44" s="105" t="s">
        <v>115</v>
      </c>
      <c r="F44" s="122">
        <v>1.17</v>
      </c>
      <c r="G44" s="122">
        <v>1.08</v>
      </c>
      <c r="H44" s="122">
        <v>0.88</v>
      </c>
      <c r="I44" s="122">
        <v>0.88</v>
      </c>
      <c r="J44" s="123">
        <f t="shared" si="1"/>
        <v>1.0024999999999999</v>
      </c>
      <c r="K44" s="120"/>
      <c r="L44" s="120"/>
      <c r="M44" s="114">
        <f>PI()*((((((F43-(0.2*F44))+(G43-(0.2*G44)))/4)*(((H43-(0.2*H44))+(I43-(0.2*I44)))/4))+((((F43-(0.2*F44))+(G43-(0.2*G44)))/4)^2)+((((H43-(0.2*H44))+(I43-(0.2*I44)))/4)^2))/3)*((K43+L43)/2)</f>
        <v>32.482202464680363</v>
      </c>
      <c r="N44" s="114">
        <f>PI()*((((F43-(0.2*F44))+(G43-(0.2*G44))+(H43-(0.2*H44))+(I43-(0.2*I44)))/8)^2)*((K43+L43)/2)</f>
        <v>32.480744172345325</v>
      </c>
      <c r="O44" s="114"/>
      <c r="X44" s="105"/>
      <c r="Y44" s="105"/>
      <c r="Z44" s="121"/>
      <c r="AA44" s="105"/>
    </row>
    <row r="45" spans="1:39" x14ac:dyDescent="0.25">
      <c r="A45" s="105" t="s">
        <v>116</v>
      </c>
      <c r="B45" s="105">
        <v>3</v>
      </c>
      <c r="C45" s="105">
        <v>115</v>
      </c>
      <c r="D45" s="105">
        <v>1</v>
      </c>
      <c r="E45" s="105" t="s">
        <v>114</v>
      </c>
      <c r="F45" s="122">
        <v>8.1</v>
      </c>
      <c r="G45" s="122">
        <v>7</v>
      </c>
      <c r="H45" s="122">
        <v>8.1</v>
      </c>
      <c r="I45" s="122">
        <v>6.2</v>
      </c>
      <c r="J45" s="123">
        <f t="shared" si="1"/>
        <v>7.35</v>
      </c>
      <c r="K45" s="120">
        <v>6.6</v>
      </c>
      <c r="L45" s="120">
        <v>5</v>
      </c>
      <c r="M45" s="114">
        <f>PI()*(((((F45+G45)/4)*((H45+I45)/4))+(((F45+G45)/4)^2)+(((H45+I45)/4)^2))/3)*((K45+L45)/2)</f>
        <v>246.14993669437359</v>
      </c>
      <c r="N45" s="114">
        <f>PI()*(((F45+G45+H45+I45)/8)^2)*((K45+L45)/2)</f>
        <v>246.08919923640414</v>
      </c>
      <c r="O45" s="114">
        <f>((N45-N46)/N45)*100</f>
        <v>19.525674950252213</v>
      </c>
      <c r="P45" s="113">
        <v>225</v>
      </c>
      <c r="Q45" s="113">
        <v>201.50800000000001</v>
      </c>
      <c r="R45" s="113">
        <f>P45-Q45</f>
        <v>23.49199999999999</v>
      </c>
      <c r="S45" s="115">
        <f>100*(R45/P45)</f>
        <v>10.440888888888884</v>
      </c>
      <c r="T45" s="116">
        <f>Q45/N45</f>
        <v>0.81884130073674033</v>
      </c>
      <c r="U45" s="116">
        <f>R45/(N45-N46)</f>
        <v>0.48890151592060593</v>
      </c>
      <c r="X45" s="105"/>
      <c r="Y45" s="105"/>
      <c r="Z45" s="121"/>
      <c r="AA45" s="105"/>
    </row>
    <row r="46" spans="1:39" x14ac:dyDescent="0.25">
      <c r="A46" s="105" t="s">
        <v>116</v>
      </c>
      <c r="B46" s="105">
        <v>3</v>
      </c>
      <c r="C46" s="105">
        <v>115</v>
      </c>
      <c r="D46" s="105"/>
      <c r="E46" s="105" t="s">
        <v>115</v>
      </c>
      <c r="F46" s="122">
        <v>5.45</v>
      </c>
      <c r="G46" s="122">
        <v>4.47</v>
      </c>
      <c r="H46" s="122">
        <v>3.22</v>
      </c>
      <c r="I46" s="122">
        <v>1.99</v>
      </c>
      <c r="J46" s="123">
        <f t="shared" si="1"/>
        <v>3.7825000000000002</v>
      </c>
      <c r="K46" s="120"/>
      <c r="L46" s="120"/>
      <c r="M46" s="114">
        <f>PI()*((((((F45-(0.2*F46))+(G45-(0.2*G46)))/4)*(((H45-(0.2*H46))+(I45-(0.2*I46)))/4))+((((F45-(0.2*F46))+(G45-(0.2*G46)))/4)^2)+((((H45-(0.2*H46))+(I45-(0.2*I46)))/4)^2))/3)*((K45+L45)/2)</f>
        <v>198.04053571536048</v>
      </c>
      <c r="N46" s="114">
        <f>PI()*((((F45-(0.2*F46))+(G45-(0.2*G46))+(H45-(0.2*H46))+(I45-(0.2*I46)))/8)^2)*((K45+L45)/2)</f>
        <v>198.03862210582531</v>
      </c>
      <c r="O46" s="114"/>
      <c r="X46" s="105"/>
      <c r="Y46" s="105"/>
      <c r="Z46" s="121"/>
      <c r="AA46" s="105"/>
    </row>
    <row r="47" spans="1:39" x14ac:dyDescent="0.25">
      <c r="A47" s="105" t="s">
        <v>116</v>
      </c>
      <c r="B47" s="105">
        <v>3</v>
      </c>
      <c r="C47" s="105">
        <v>115</v>
      </c>
      <c r="D47" s="105">
        <v>2</v>
      </c>
      <c r="E47" s="105" t="s">
        <v>114</v>
      </c>
      <c r="F47" s="122">
        <v>5.4</v>
      </c>
      <c r="G47" s="122">
        <v>4.8</v>
      </c>
      <c r="H47" s="122">
        <v>5</v>
      </c>
      <c r="I47" s="122">
        <v>4.8</v>
      </c>
      <c r="J47" s="123">
        <f t="shared" si="1"/>
        <v>5</v>
      </c>
      <c r="K47" s="120">
        <v>12.5</v>
      </c>
      <c r="L47" s="120">
        <v>12.2</v>
      </c>
      <c r="M47" s="114">
        <f>PI()*(((((F47+G47)/4)*((H47+I47)/4))+(((F47+G47)/4)^2)+(((H47+I47)/4)^2))/3)*((K47+L47)/2)</f>
        <v>242.52401517335534</v>
      </c>
      <c r="N47" s="114">
        <f>PI()*(((F47+G47+H47+I47)/8)^2)*((K47+L47)/2)</f>
        <v>242.49168294896216</v>
      </c>
      <c r="O47" s="114">
        <f>((N47-N48)/N47)*100</f>
        <v>22.43675099999999</v>
      </c>
      <c r="P47" s="113">
        <v>162.1</v>
      </c>
      <c r="Q47" s="113">
        <v>129.58799999999999</v>
      </c>
      <c r="R47" s="113">
        <f>P47-Q47</f>
        <v>32.512</v>
      </c>
      <c r="S47" s="115">
        <f>100*(R47/P47)</f>
        <v>20.056755089450956</v>
      </c>
      <c r="T47" s="116">
        <f>Q47/N47</f>
        <v>0.53440183359721538</v>
      </c>
      <c r="U47" s="116">
        <f>R47/(N47-N48)</f>
        <v>0.5975673637800677</v>
      </c>
      <c r="X47" s="105"/>
      <c r="Y47" s="105"/>
      <c r="Z47" s="121"/>
      <c r="AA47" s="105"/>
    </row>
    <row r="48" spans="1:39" x14ac:dyDescent="0.25">
      <c r="A48" s="105" t="s">
        <v>116</v>
      </c>
      <c r="B48" s="105">
        <v>3</v>
      </c>
      <c r="C48" s="105">
        <v>115</v>
      </c>
      <c r="D48" s="105"/>
      <c r="E48" s="105" t="s">
        <v>115</v>
      </c>
      <c r="F48" s="122">
        <v>4.34</v>
      </c>
      <c r="G48" s="122">
        <v>3.15</v>
      </c>
      <c r="H48" s="122">
        <v>2.66</v>
      </c>
      <c r="I48" s="122">
        <v>1.78</v>
      </c>
      <c r="J48" s="123">
        <f t="shared" si="1"/>
        <v>2.9824999999999999</v>
      </c>
      <c r="K48" s="120"/>
      <c r="L48" s="120"/>
      <c r="M48" s="114">
        <f>PI()*((((((F47-(0.2*F48))+(G47-(0.2*G48)))/4)*(((H47-(0.2*H48))+(I47-(0.2*I48)))/4))+((((F47-(0.2*F48))+(G47-(0.2*G48)))/4)^2)+((((H47-(0.2*H48))+(I47-(0.2*I48)))/4)^2))/3)*((K47+L47)/2)</f>
        <v>188.09333941934241</v>
      </c>
      <c r="N48" s="114">
        <f>PI()*((((F47-(0.2*F48))+(G47-(0.2*G48))+(H47-(0.2*H48))+(I47-(0.2*I48)))/8)^2)*((K47+L47)/2)</f>
        <v>188.08442784999409</v>
      </c>
      <c r="O48" s="114"/>
      <c r="X48" s="105"/>
      <c r="Y48" s="105"/>
      <c r="Z48" s="105"/>
      <c r="AA48" s="105"/>
    </row>
    <row r="49" spans="1:27" x14ac:dyDescent="0.25">
      <c r="A49" s="105" t="s">
        <v>116</v>
      </c>
      <c r="B49" s="105">
        <v>3</v>
      </c>
      <c r="C49" s="105">
        <v>115</v>
      </c>
      <c r="D49" s="105">
        <v>3</v>
      </c>
      <c r="E49" s="105" t="s">
        <v>114</v>
      </c>
      <c r="F49" s="122">
        <v>5.2</v>
      </c>
      <c r="G49" s="122">
        <v>4.7</v>
      </c>
      <c r="H49" s="122">
        <v>4.7</v>
      </c>
      <c r="I49" s="122">
        <v>4.5</v>
      </c>
      <c r="J49" s="123">
        <f t="shared" si="1"/>
        <v>4.7750000000000004</v>
      </c>
      <c r="K49" s="120">
        <v>10</v>
      </c>
      <c r="L49" s="120">
        <v>9.9</v>
      </c>
      <c r="M49" s="114">
        <f>PI()*(((((F49+G49)/4)*((H49+I49)/4))+(((F49+G49)/4)^2)+(((H49+I49)/4)^2))/3)*((K49+L49)/2)</f>
        <v>178.26008672537466</v>
      </c>
      <c r="N49" s="114">
        <f>PI()*(((F49+G49+H49+I49)/8)^2)*((K49+L49)/2)</f>
        <v>178.18031154317379</v>
      </c>
      <c r="O49" s="114">
        <f>((N49-N50)/N49)*100</f>
        <v>19.995872920150251</v>
      </c>
      <c r="P49" s="113">
        <v>126.8</v>
      </c>
      <c r="Q49" s="113">
        <v>96.113</v>
      </c>
      <c r="R49" s="113">
        <f>P49-Q49</f>
        <v>30.686999999999998</v>
      </c>
      <c r="S49" s="115">
        <f>100*(R49/P49)</f>
        <v>24.20110410094637</v>
      </c>
      <c r="T49" s="116">
        <f>Q49/N49</f>
        <v>0.53941425496223494</v>
      </c>
      <c r="U49" s="116">
        <f>R49/(N49-N50)</f>
        <v>0.8612998098982716</v>
      </c>
      <c r="X49" s="105"/>
      <c r="Y49" s="105"/>
      <c r="Z49" s="105"/>
      <c r="AA49" s="105"/>
    </row>
    <row r="50" spans="1:27" x14ac:dyDescent="0.25">
      <c r="A50" s="105" t="s">
        <v>116</v>
      </c>
      <c r="B50" s="105">
        <v>3</v>
      </c>
      <c r="C50" s="105">
        <v>115</v>
      </c>
      <c r="D50" s="105"/>
      <c r="E50" s="105" t="s">
        <v>115</v>
      </c>
      <c r="F50" s="122">
        <v>3.69</v>
      </c>
      <c r="G50" s="122">
        <v>1.94</v>
      </c>
      <c r="H50" s="122">
        <v>2.5299999999999998</v>
      </c>
      <c r="I50" s="122">
        <v>1.92</v>
      </c>
      <c r="J50" s="123">
        <f t="shared" si="1"/>
        <v>2.52</v>
      </c>
      <c r="K50" s="120"/>
      <c r="L50" s="120"/>
      <c r="M50" s="114">
        <f>PI()*((((((F49-(0.2*F50))+(G49-(0.2*G50)))/4)*(((H49-(0.2*H50))+(I49-(0.2*I50)))/4))+((((F49-(0.2*F50))+(G49-(0.2*G50)))/4)^2)+((((H49-(0.2*H50))+(I49-(0.2*I50)))/4)^2))/3)*((K49+L49)/2)</f>
        <v>142.58665446526709</v>
      </c>
      <c r="N50" s="114">
        <f>PI()*((((F49-(0.2*F50))+(G49-(0.2*G50))+(H49-(0.2*H50))+(I49-(0.2*I50)))/8)^2)*((K49+L49)/2)</f>
        <v>142.55160287827294</v>
      </c>
      <c r="O50" s="114"/>
      <c r="X50" s="105"/>
      <c r="Y50" s="105"/>
      <c r="Z50" s="105"/>
      <c r="AA50" s="105"/>
    </row>
    <row r="51" spans="1:27" x14ac:dyDescent="0.25">
      <c r="A51" s="105" t="s">
        <v>116</v>
      </c>
      <c r="B51" s="105">
        <v>2</v>
      </c>
      <c r="C51" s="105" t="s">
        <v>91</v>
      </c>
      <c r="D51" s="105">
        <v>1</v>
      </c>
      <c r="E51" s="105" t="s">
        <v>114</v>
      </c>
      <c r="F51" s="122">
        <v>3.1179999999999999</v>
      </c>
      <c r="G51" s="122">
        <v>2.7570000000000001</v>
      </c>
      <c r="H51" s="122">
        <v>2.875</v>
      </c>
      <c r="I51" s="122">
        <v>2.633</v>
      </c>
      <c r="J51" s="123">
        <f t="shared" si="1"/>
        <v>2.8457499999999998</v>
      </c>
      <c r="K51" s="120">
        <v>10.4</v>
      </c>
      <c r="L51" s="120">
        <v>10.1</v>
      </c>
      <c r="M51" s="114">
        <f>PI()*(((((F51+G51)/4)*((H51+I51)/4))+(((F51+G51)/4)^2)+(((H51+I51)/4)^2))/3)*((K51+L51)/2)</f>
        <v>65.216530500895203</v>
      </c>
      <c r="N51" s="114">
        <f>PI()*(((F51+G51+H51+I51)/8)^2)*((K51+L51)/2)</f>
        <v>65.193941103903398</v>
      </c>
      <c r="O51" s="114">
        <f>((N51-N52)/N51)*100</f>
        <v>16.413211892206668</v>
      </c>
      <c r="P51" s="113">
        <v>42.4</v>
      </c>
      <c r="Q51" s="113">
        <v>33.6</v>
      </c>
      <c r="R51" s="113">
        <f>P51-Q51</f>
        <v>8.7999999999999972</v>
      </c>
      <c r="S51" s="115">
        <f>100*(R51/P51)</f>
        <v>20.754716981132066</v>
      </c>
      <c r="T51" s="116">
        <f>Q51/N51</f>
        <v>0.51538531696449696</v>
      </c>
      <c r="U51" s="116">
        <f>R51/(N51-N52)</f>
        <v>0.82239764901158041</v>
      </c>
      <c r="X51" s="105"/>
      <c r="Y51" s="105"/>
      <c r="Z51" s="105"/>
      <c r="AA51" s="105"/>
    </row>
    <row r="52" spans="1:27" x14ac:dyDescent="0.25">
      <c r="A52" s="105" t="s">
        <v>116</v>
      </c>
      <c r="B52" s="105">
        <v>2</v>
      </c>
      <c r="C52" s="105" t="s">
        <v>91</v>
      </c>
      <c r="D52" s="105"/>
      <c r="E52" s="105" t="s">
        <v>115</v>
      </c>
      <c r="F52" s="122">
        <v>1.06</v>
      </c>
      <c r="G52" s="122">
        <v>0.97</v>
      </c>
      <c r="H52" s="122">
        <v>2.02</v>
      </c>
      <c r="I52" s="122">
        <v>0.83</v>
      </c>
      <c r="J52" s="123">
        <f t="shared" si="1"/>
        <v>1.2200000000000002</v>
      </c>
      <c r="K52" s="120"/>
      <c r="L52" s="120"/>
      <c r="M52" s="114">
        <f>PI()*((((((F51-(0.2*F52))+(G51-(0.2*G52)))/4)*(((H51-(0.2*H52))+(I51-(0.2*I52)))/4))+((((F51-(0.2*F52))+(G51-(0.2*G52)))/4)^2)+((((H51-(0.2*H52))+(I51-(0.2*I52)))/4)^2))/3)*((K51+L51)/2)</f>
        <v>54.540810564397326</v>
      </c>
      <c r="N52" s="114">
        <f>PI()*((((F51-(0.2*F52))+(G51-(0.2*G52))+(H51-(0.2*H52))+(I51-(0.2*I52)))/8)^2)*((K51+L51)/2)</f>
        <v>54.493521409639314</v>
      </c>
      <c r="O52" s="114"/>
      <c r="P52" s="120"/>
      <c r="Q52" s="120"/>
      <c r="R52" s="120"/>
      <c r="X52" s="105"/>
      <c r="Y52" s="105"/>
      <c r="Z52" s="105"/>
      <c r="AA52" s="105"/>
    </row>
    <row r="53" spans="1:27" x14ac:dyDescent="0.25">
      <c r="A53" s="105" t="s">
        <v>116</v>
      </c>
      <c r="B53" s="105">
        <v>2</v>
      </c>
      <c r="C53" s="105" t="s">
        <v>91</v>
      </c>
      <c r="D53" s="105">
        <v>2</v>
      </c>
      <c r="E53" s="105" t="s">
        <v>114</v>
      </c>
      <c r="F53" s="122">
        <v>2.573</v>
      </c>
      <c r="G53" s="122">
        <v>2.3050000000000002</v>
      </c>
      <c r="H53" s="122">
        <v>2.6040000000000001</v>
      </c>
      <c r="I53" s="122">
        <v>2.2370000000000001</v>
      </c>
      <c r="J53" s="123">
        <f t="shared" si="1"/>
        <v>2.4297500000000003</v>
      </c>
      <c r="K53" s="120">
        <v>7.43</v>
      </c>
      <c r="L53" s="120">
        <v>7.36</v>
      </c>
      <c r="M53" s="114">
        <f>PI()*(((((F53+G53)/4)*((H53+I53)/4))+(((F53+G53)/4)^2)+(((H53+I53)/4)^2))/3)*((K53+L53)/2)</f>
        <v>34.288883132223937</v>
      </c>
      <c r="N53" s="114">
        <f>PI()*(((F53+G53+H53+I53)/8)^2)*((K53+L53)/2)</f>
        <v>34.288717482670108</v>
      </c>
      <c r="O53" s="114">
        <f>((N53-N54)/N53)*100</f>
        <v>17.326457783078958</v>
      </c>
      <c r="P53" s="113">
        <v>21.5</v>
      </c>
      <c r="Q53" s="113">
        <v>16.7</v>
      </c>
      <c r="R53" s="113">
        <f>P53-Q53</f>
        <v>4.8000000000000007</v>
      </c>
      <c r="S53" s="115">
        <f>100*(R53/P53)</f>
        <v>22.325581395348841</v>
      </c>
      <c r="T53" s="116">
        <f>Q53/N53</f>
        <v>0.48704067186065975</v>
      </c>
      <c r="U53" s="116">
        <f>R53/(N53-N54)</f>
        <v>0.80794204893133204</v>
      </c>
      <c r="X53" s="105"/>
      <c r="Y53" s="105"/>
      <c r="Z53" s="105"/>
      <c r="AA53" s="105"/>
    </row>
    <row r="54" spans="1:27" x14ac:dyDescent="0.25">
      <c r="A54" s="105" t="s">
        <v>116</v>
      </c>
      <c r="B54" s="105">
        <v>2</v>
      </c>
      <c r="C54" s="105" t="s">
        <v>91</v>
      </c>
      <c r="D54" s="105"/>
      <c r="E54" s="105" t="s">
        <v>115</v>
      </c>
      <c r="F54" s="122">
        <v>1.3</v>
      </c>
      <c r="G54" s="122">
        <v>1.22</v>
      </c>
      <c r="H54" s="122">
        <v>1.1399999999999999</v>
      </c>
      <c r="I54" s="122">
        <v>0.75</v>
      </c>
      <c r="J54" s="123">
        <f t="shared" si="1"/>
        <v>1.1025</v>
      </c>
      <c r="K54" s="120"/>
      <c r="L54" s="120"/>
      <c r="M54" s="114">
        <f>PI()*((((((F53-(0.2*F54))+(G53-(0.2*G54)))/4)*(((H53-(0.2*H54))+(I53-(0.2*I54)))/4))+((((F53-(0.2*F54))+(G53-(0.2*G54)))/4)^2)+((((H53-(0.2*H54))+(I53-(0.2*I54)))/4)^2))/3)*((K53+L53)/2)</f>
        <v>28.348655767880491</v>
      </c>
      <c r="N54" s="114">
        <f>PI()*((((F53-(0.2*F54))+(G53-(0.2*G54))+(H53-(0.2*H54))+(I53-(0.2*I54)))/8)^2)*((K53+L53)/2)</f>
        <v>28.347697323676059</v>
      </c>
      <c r="O54" s="114"/>
      <c r="P54" s="120"/>
      <c r="Q54" s="120"/>
      <c r="R54" s="120"/>
      <c r="X54" s="105"/>
      <c r="Y54" s="105"/>
      <c r="Z54" s="105"/>
      <c r="AA54" s="105"/>
    </row>
    <row r="55" spans="1:27" x14ac:dyDescent="0.25">
      <c r="A55" s="105" t="s">
        <v>116</v>
      </c>
      <c r="B55" s="105">
        <v>2</v>
      </c>
      <c r="C55" s="105" t="s">
        <v>91</v>
      </c>
      <c r="D55" s="105">
        <v>3</v>
      </c>
      <c r="E55" s="105" t="s">
        <v>114</v>
      </c>
      <c r="F55" s="122">
        <v>2.0779999999999998</v>
      </c>
      <c r="G55" s="122">
        <v>2.0430000000000001</v>
      </c>
      <c r="H55" s="122">
        <v>2.0529999999999999</v>
      </c>
      <c r="I55" s="122">
        <v>2.004</v>
      </c>
      <c r="J55" s="123">
        <f t="shared" si="1"/>
        <v>2.0445000000000002</v>
      </c>
      <c r="K55" s="120">
        <v>5.9</v>
      </c>
      <c r="L55" s="120">
        <v>5.6</v>
      </c>
      <c r="M55" s="114">
        <f>PI()*(((((F55+G55)/4)*((H55+I55)/4))+(((F55+G55)/4)^2)+(((H55+I55)/4)^2))/3)*((K55+L55)/2)</f>
        <v>18.877341034177583</v>
      </c>
      <c r="N55" s="114">
        <f>PI()*(((F55+G55+H55+I55)/8)^2)*((K55+L55)/2)</f>
        <v>18.876955665478739</v>
      </c>
      <c r="O55" s="114">
        <f>((N55-N56)/N55)*100</f>
        <v>13.99921088143897</v>
      </c>
      <c r="P55" s="120">
        <v>11.4</v>
      </c>
      <c r="Q55" s="120">
        <v>8.3000000000000007</v>
      </c>
      <c r="R55" s="120">
        <f>P55-Q55</f>
        <v>3.0999999999999996</v>
      </c>
      <c r="S55" s="115">
        <f>100*(R55/P55)</f>
        <v>27.192982456140346</v>
      </c>
      <c r="T55" s="116">
        <f>Q55/N55</f>
        <v>0.43968954248161096</v>
      </c>
      <c r="U55" s="116">
        <f>R55/(N55-N56)</f>
        <v>1.1730760881846065</v>
      </c>
      <c r="X55" s="105"/>
      <c r="Y55" s="105"/>
      <c r="Z55" s="105"/>
      <c r="AA55" s="105"/>
    </row>
    <row r="56" spans="1:27" x14ac:dyDescent="0.25">
      <c r="A56" s="105" t="s">
        <v>116</v>
      </c>
      <c r="B56" s="105">
        <v>2</v>
      </c>
      <c r="C56" s="105" t="s">
        <v>91</v>
      </c>
      <c r="D56" s="105"/>
      <c r="E56" s="105" t="s">
        <v>115</v>
      </c>
      <c r="F56" s="122">
        <v>0.72</v>
      </c>
      <c r="G56" s="122">
        <v>0.62</v>
      </c>
      <c r="H56" s="122">
        <v>0.97</v>
      </c>
      <c r="I56" s="122">
        <v>0.66</v>
      </c>
      <c r="J56" s="123">
        <f t="shared" si="1"/>
        <v>0.74249999999999994</v>
      </c>
      <c r="K56" s="120"/>
      <c r="L56" s="120"/>
      <c r="M56" s="114">
        <f>PI()*((((((F55-(0.2*F56))+(G55-(0.2*G56)))/4)*(((H55-(0.2*H56))+(I55-(0.2*I56)))/4))+((((F55-(0.2*F56))+(G55-(0.2*G56)))/4)^2)+((((H55-(0.2*H56))+(I55-(0.2*I56)))/4)^2))/3)*((K55+L55)/2)</f>
        <v>16.235731182435504</v>
      </c>
      <c r="N56" s="114">
        <f>PI()*((((F55-(0.2*F56))+(G55-(0.2*G56))+(H55-(0.2*H56))+(I55-(0.2*I56)))/8)^2)*((K55+L55)/2)</f>
        <v>16.23433083387263</v>
      </c>
      <c r="O56" s="114"/>
      <c r="P56" s="120"/>
      <c r="Q56" s="120"/>
      <c r="R56" s="120"/>
      <c r="X56" s="105"/>
      <c r="Y56" s="105"/>
      <c r="Z56" s="105"/>
      <c r="AA56" s="105"/>
    </row>
    <row r="57" spans="1:27" x14ac:dyDescent="0.25">
      <c r="A57" s="105" t="s">
        <v>116</v>
      </c>
      <c r="B57" s="105">
        <v>2</v>
      </c>
      <c r="C57" s="105" t="s">
        <v>91</v>
      </c>
      <c r="D57" s="105">
        <v>4</v>
      </c>
      <c r="E57" s="105" t="s">
        <v>114</v>
      </c>
      <c r="F57" s="122">
        <v>3.5310000000000001</v>
      </c>
      <c r="G57" s="122">
        <v>3.2130000000000001</v>
      </c>
      <c r="H57" s="122">
        <v>3.37</v>
      </c>
      <c r="I57" s="122">
        <v>2.9340000000000002</v>
      </c>
      <c r="J57" s="123">
        <f t="shared" si="1"/>
        <v>3.2620000000000005</v>
      </c>
      <c r="K57" s="120">
        <v>10.199999999999999</v>
      </c>
      <c r="L57" s="120">
        <v>9</v>
      </c>
      <c r="M57" s="114">
        <f>PI()*(((((F57+G57)/4)*((H57+I57)/4))+(((F57+G57)/4)^2)+(((H57+I57)/4)^2))/3)*((K57+L57)/2)</f>
        <v>80.258976264561099</v>
      </c>
      <c r="N57" s="114">
        <f>PI()*(((F57+G57+H57+I57)/8)^2)*((K57+L57)/2)</f>
        <v>80.228565647674358</v>
      </c>
      <c r="O57" s="114">
        <f>((N57-N58)/N57)*100</f>
        <v>15.869152280632658</v>
      </c>
      <c r="P57" s="120">
        <v>57.5</v>
      </c>
      <c r="Q57" s="120">
        <v>44.3</v>
      </c>
      <c r="R57" s="120">
        <f>P57-Q57</f>
        <v>13.200000000000003</v>
      </c>
      <c r="S57" s="115">
        <f>100*(R57/P57)</f>
        <v>22.956521739130441</v>
      </c>
      <c r="T57" s="116">
        <f>Q57/N57</f>
        <v>0.55217240445933546</v>
      </c>
      <c r="U57" s="116">
        <f>R57/(N57-N58)</f>
        <v>1.0367908976837619</v>
      </c>
      <c r="X57" s="105"/>
      <c r="Y57" s="105"/>
      <c r="Z57" s="105"/>
      <c r="AA57" s="105"/>
    </row>
    <row r="58" spans="1:27" x14ac:dyDescent="0.25">
      <c r="A58" s="105" t="s">
        <v>116</v>
      </c>
      <c r="B58" s="105">
        <v>2</v>
      </c>
      <c r="C58" s="105" t="s">
        <v>91</v>
      </c>
      <c r="E58" s="105" t="s">
        <v>115</v>
      </c>
      <c r="F58" s="122">
        <v>2.73</v>
      </c>
      <c r="G58" s="122">
        <v>0.72</v>
      </c>
      <c r="H58" s="122">
        <v>1.19</v>
      </c>
      <c r="I58" s="122">
        <v>0.76</v>
      </c>
      <c r="J58" s="123">
        <f t="shared" si="1"/>
        <v>1.35</v>
      </c>
      <c r="K58" s="120"/>
      <c r="L58" s="120"/>
      <c r="M58" s="114">
        <f>PI()*((((((F57-(0.2*F58))+(G57-(0.2*G58)))/4)*(((H57-(0.2*H58))+(I57-(0.2*I58)))/4))+((((F57-(0.2*F58))+(G57-(0.2*G58)))/4)^2)+((((H57-(0.2*H58))+(I57-(0.2*I58)))/4)^2))/3)*((K57+L57)/2)</f>
        <v>67.500051153278093</v>
      </c>
      <c r="N58" s="114">
        <f>PI()*((((F57-(0.2*F58))+(G57-(0.2*G58))+(H57-(0.2*H58))+(I57-(0.2*I58)))/8)^2)*((K57+L57)/2)</f>
        <v>67.496972392477574</v>
      </c>
      <c r="O58" s="114"/>
      <c r="P58" s="120"/>
      <c r="Q58" s="120"/>
      <c r="R58" s="120"/>
      <c r="X58" s="105"/>
      <c r="Y58" s="105"/>
      <c r="Z58" s="105"/>
      <c r="AA58" s="105"/>
    </row>
    <row r="59" spans="1:27" x14ac:dyDescent="0.25">
      <c r="A59" s="105" t="s">
        <v>116</v>
      </c>
      <c r="B59" s="105">
        <v>2</v>
      </c>
      <c r="C59" s="105">
        <v>129</v>
      </c>
      <c r="D59" s="105" t="s">
        <v>120</v>
      </c>
      <c r="E59" s="105" t="s">
        <v>114</v>
      </c>
      <c r="F59" s="122">
        <v>1.5820000000000001</v>
      </c>
      <c r="G59" s="122">
        <v>1.5289999999999999</v>
      </c>
      <c r="H59" s="122">
        <v>1.6359999999999999</v>
      </c>
      <c r="I59" s="122">
        <v>1.518</v>
      </c>
      <c r="J59" s="123">
        <f t="shared" si="1"/>
        <v>1.5662499999999999</v>
      </c>
      <c r="K59" s="120">
        <v>9.4</v>
      </c>
      <c r="L59" s="120">
        <v>9.1</v>
      </c>
      <c r="M59" s="114">
        <f>PI()*(((((F59+G59)/4)*((H59+I59)/4))+(((F59+G59)/4)^2)+(((H59+I59)/4)^2))/3)*((K59+L59)/2)</f>
        <v>17.822170808049563</v>
      </c>
      <c r="N59" s="114">
        <f>PI()*(((F59+G59+H59+I59)/8)^2)*((K59+L59)/2)</f>
        <v>17.821890956775849</v>
      </c>
      <c r="O59" s="114">
        <f>((N59-N60)/N59)*100</f>
        <v>16.629838020036829</v>
      </c>
      <c r="P59" s="120">
        <v>11.3</v>
      </c>
      <c r="Q59" s="120">
        <v>8.7550000000000008</v>
      </c>
      <c r="R59" s="120">
        <f>P59-Q59</f>
        <v>2.5449999999999999</v>
      </c>
      <c r="S59" s="115">
        <f>100*(R59/P59)</f>
        <v>22.522123893805308</v>
      </c>
      <c r="T59" s="116">
        <f>Q59/N59</f>
        <v>0.49124977934349701</v>
      </c>
      <c r="U59" s="116">
        <f>R59/(N59-N60)</f>
        <v>0.85870894225042471</v>
      </c>
      <c r="X59" s="105"/>
      <c r="Y59" s="105"/>
      <c r="Z59" s="105"/>
      <c r="AA59" s="105"/>
    </row>
    <row r="60" spans="1:27" x14ac:dyDescent="0.25">
      <c r="A60" s="105" t="s">
        <v>116</v>
      </c>
      <c r="B60" s="105">
        <v>2</v>
      </c>
      <c r="C60" s="105">
        <v>129</v>
      </c>
      <c r="D60" s="105"/>
      <c r="E60" s="105" t="s">
        <v>115</v>
      </c>
      <c r="F60" s="122">
        <v>0.68600000000000005</v>
      </c>
      <c r="G60" s="122">
        <v>0.66700000000000004</v>
      </c>
      <c r="H60" s="122">
        <v>0.71</v>
      </c>
      <c r="I60" s="122">
        <v>0.66</v>
      </c>
      <c r="J60" s="123">
        <f t="shared" si="1"/>
        <v>0.68075000000000008</v>
      </c>
      <c r="K60" s="120"/>
      <c r="L60" s="120"/>
      <c r="M60" s="114">
        <f>PI()*((((((F59-(0.2*F60))+(G59-(0.2*G60)))/4)*(((H59-(0.2*H60))+(I59-(0.2*I60)))/4))+((((F59-(0.2*F60))+(G59-(0.2*G60)))/4)^2)+((((H59-(0.2*H60))+(I59-(0.2*I60)))/4)^2))/3)*((K59+L59)/2)</f>
        <v>14.858376703917921</v>
      </c>
      <c r="N60" s="114">
        <f>PI()*((((F59-(0.2*F60))+(G59-(0.2*G60))+(H59-(0.2*H60))+(I59-(0.2*I60)))/8)^2)*((K59+L59)/2)</f>
        <v>14.858139358556434</v>
      </c>
      <c r="O60" s="114"/>
      <c r="P60" s="120"/>
      <c r="Q60" s="120"/>
      <c r="R60" s="120"/>
      <c r="X60" s="105"/>
      <c r="Y60" s="105"/>
      <c r="Z60" s="105"/>
      <c r="AA60" s="105"/>
    </row>
    <row r="61" spans="1:27" x14ac:dyDescent="0.25">
      <c r="A61" s="105" t="s">
        <v>116</v>
      </c>
      <c r="B61" s="105">
        <v>2</v>
      </c>
      <c r="C61" s="105">
        <v>129</v>
      </c>
      <c r="D61" s="105">
        <v>1</v>
      </c>
      <c r="E61" s="105" t="s">
        <v>114</v>
      </c>
      <c r="F61" s="122">
        <v>3.0489999999999999</v>
      </c>
      <c r="G61" s="122">
        <v>2.8359999999999999</v>
      </c>
      <c r="H61" s="122">
        <v>2.8029999999999999</v>
      </c>
      <c r="I61" s="122">
        <v>2.6030000000000002</v>
      </c>
      <c r="J61" s="123">
        <f t="shared" si="1"/>
        <v>2.8227499999999996</v>
      </c>
      <c r="K61" s="120">
        <v>12.9</v>
      </c>
      <c r="L61" s="120">
        <v>12.24</v>
      </c>
      <c r="M61" s="114">
        <f>PI()*(((((F61+G61)/4)*((H61+I61)/4))+(((F61+G61)/4)^2)+(((H61+I61)/4)^2))/3)*((K61+L61)/2)</f>
        <v>78.710097433665069</v>
      </c>
      <c r="N61" s="114">
        <f>PI()*(((F61+G61+H61+I61)/8)^2)*((K61+L61)/2)</f>
        <v>78.66290689350042</v>
      </c>
      <c r="O61" s="114">
        <f>((N61-N62)/N61)*100</f>
        <v>15.306540139671501</v>
      </c>
      <c r="P61" s="120">
        <v>48.3</v>
      </c>
      <c r="Q61" s="120">
        <v>37.877000000000002</v>
      </c>
      <c r="R61" s="120">
        <f>P61-Q61</f>
        <v>10.422999999999995</v>
      </c>
      <c r="S61" s="115">
        <f>100*(R61/P61)</f>
        <v>21.579710144927528</v>
      </c>
      <c r="T61" s="116">
        <f>Q61/N61</f>
        <v>0.48151030130733213</v>
      </c>
      <c r="U61" s="116">
        <f>R61/(N61-N62)</f>
        <v>0.86565673412623489</v>
      </c>
      <c r="X61" s="105"/>
      <c r="Y61" s="105"/>
      <c r="Z61" s="105"/>
      <c r="AA61" s="105"/>
    </row>
    <row r="62" spans="1:27" x14ac:dyDescent="0.25">
      <c r="A62" s="105" t="s">
        <v>116</v>
      </c>
      <c r="B62" s="105">
        <v>2</v>
      </c>
      <c r="C62" s="105">
        <v>129</v>
      </c>
      <c r="D62" s="105"/>
      <c r="E62" s="105" t="s">
        <v>115</v>
      </c>
      <c r="F62" s="122">
        <v>1.2</v>
      </c>
      <c r="G62" s="122">
        <v>1.1299999999999999</v>
      </c>
      <c r="H62" s="122">
        <v>1.1200000000000001</v>
      </c>
      <c r="I62" s="122">
        <v>1.05</v>
      </c>
      <c r="J62" s="123">
        <f t="shared" si="1"/>
        <v>1.125</v>
      </c>
      <c r="K62" s="120"/>
      <c r="L62" s="120"/>
      <c r="M62" s="114">
        <f>PI()*((((((F61-(0.2*F62))+(G61-(0.2*G62)))/4)*(((H61-(0.2*H62))+(I61-(0.2*I62)))/4))+((((F61-(0.2*F62))+(G61-(0.2*G62)))/4)^2)+((((H61-(0.2*H62))+(I61-(0.2*I62)))/4)^2))/3)*((K61+L61)/2)</f>
        <v>66.663433419478778</v>
      </c>
      <c r="N62" s="114">
        <f>PI()*((((F61-(0.2*F62))+(G61-(0.2*G62))+(H61-(0.2*H62))+(I61-(0.2*I62)))/8)^2)*((K61+L61)/2)</f>
        <v>66.622337474814358</v>
      </c>
      <c r="O62" s="114"/>
      <c r="P62" s="120"/>
      <c r="Q62" s="120"/>
      <c r="R62" s="120"/>
      <c r="X62" s="105"/>
      <c r="Y62" s="105"/>
      <c r="Z62" s="105"/>
      <c r="AA62" s="105"/>
    </row>
    <row r="63" spans="1:27" x14ac:dyDescent="0.25">
      <c r="A63" s="105" t="s">
        <v>116</v>
      </c>
      <c r="B63" s="105">
        <v>2</v>
      </c>
      <c r="C63" s="105">
        <v>129</v>
      </c>
      <c r="D63" s="105">
        <v>2</v>
      </c>
      <c r="E63" s="105" t="s">
        <v>114</v>
      </c>
      <c r="F63" s="122">
        <v>5.5049999999999999</v>
      </c>
      <c r="G63" s="122">
        <v>5.0339999999999998</v>
      </c>
      <c r="H63" s="122">
        <v>5.0439999999999996</v>
      </c>
      <c r="I63" s="122">
        <v>4.6020000000000003</v>
      </c>
      <c r="J63" s="123">
        <f t="shared" si="1"/>
        <v>5.0462499999999997</v>
      </c>
      <c r="K63" s="120">
        <v>16.399999999999999</v>
      </c>
      <c r="L63" s="120">
        <v>15.2</v>
      </c>
      <c r="M63" s="114">
        <f>PI()*(((((F63+G63)/4)*((H63+I63)/4))+(((F63+G63)/4)^2)+(((H63+I63)/4)^2))/3)*((K63+L63)/2)</f>
        <v>316.20427788426042</v>
      </c>
      <c r="N63" s="114">
        <f>PI()*(((F63+G63+H63+I63)/8)^2)*((K63+L63)/2)</f>
        <v>315.99811587000937</v>
      </c>
      <c r="O63" s="114">
        <f>((N63-N64)/N63)*100</f>
        <v>14.119400833349227</v>
      </c>
      <c r="P63" s="120">
        <v>262.5</v>
      </c>
      <c r="Q63" s="120">
        <v>216.2</v>
      </c>
      <c r="R63" s="120">
        <f>P63-Q63</f>
        <v>46.300000000000011</v>
      </c>
      <c r="S63" s="115">
        <f>100*(R63/P63)</f>
        <v>17.638095238095243</v>
      </c>
      <c r="T63" s="116">
        <f>Q63/N63</f>
        <v>0.68418129457751942</v>
      </c>
      <c r="U63" s="116">
        <f>R63/(N63-N64)</f>
        <v>1.0377201036115766</v>
      </c>
      <c r="X63" s="105"/>
      <c r="Y63" s="105"/>
      <c r="Z63" s="105"/>
      <c r="AA63" s="105"/>
    </row>
    <row r="64" spans="1:27" x14ac:dyDescent="0.25">
      <c r="A64" s="105" t="s">
        <v>116</v>
      </c>
      <c r="B64" s="105">
        <v>2</v>
      </c>
      <c r="C64" s="105">
        <v>129</v>
      </c>
      <c r="D64" s="105"/>
      <c r="E64" s="105" t="s">
        <v>115</v>
      </c>
      <c r="F64" s="122">
        <v>1.99</v>
      </c>
      <c r="G64" s="122">
        <v>1.8460000000000001</v>
      </c>
      <c r="H64" s="122">
        <v>1.85</v>
      </c>
      <c r="I64" s="122">
        <v>1.71</v>
      </c>
      <c r="J64" s="123">
        <f t="shared" si="1"/>
        <v>1.849</v>
      </c>
      <c r="K64" s="120"/>
      <c r="L64" s="120"/>
      <c r="M64" s="114">
        <f>PI()*((((((F63-(0.2*F64))+(G63-(0.2*G64)))/4)*(((H63-(0.2*H64))+(I63-(0.2*I64)))/4))+((((F63-(0.2*F64))+(G63-(0.2*G64)))/4)^2)+((((H63-(0.2*H64))+(I63-(0.2*I64)))/4)^2))/3)*((K63+L63)/2)</f>
        <v>271.56253757778666</v>
      </c>
      <c r="N64" s="114">
        <f>PI()*((((F63-(0.2*F64))+(G63-(0.2*G64))+(H63-(0.2*H64))+(I63-(0.2*I64)))/8)^2)*((K63+L63)/2)</f>
        <v>271.38107526449141</v>
      </c>
      <c r="O64" s="114"/>
      <c r="P64" s="120"/>
      <c r="Q64" s="120"/>
      <c r="R64" s="120"/>
      <c r="X64" s="105"/>
      <c r="Y64" s="105"/>
      <c r="Z64" s="105"/>
      <c r="AA64" s="105"/>
    </row>
    <row r="65" spans="1:27" x14ac:dyDescent="0.25">
      <c r="A65" s="105" t="s">
        <v>116</v>
      </c>
      <c r="B65" s="105">
        <v>2</v>
      </c>
      <c r="C65" s="105">
        <v>129</v>
      </c>
      <c r="D65" s="105">
        <v>3</v>
      </c>
      <c r="E65" s="105" t="s">
        <v>114</v>
      </c>
      <c r="F65" s="122">
        <v>4.6070000000000002</v>
      </c>
      <c r="G65" s="122">
        <v>4.3650000000000002</v>
      </c>
      <c r="H65" s="122">
        <v>4.4390000000000001</v>
      </c>
      <c r="I65" s="122">
        <v>4.2300000000000004</v>
      </c>
      <c r="J65" s="123">
        <f t="shared" si="1"/>
        <v>4.4102500000000004</v>
      </c>
      <c r="K65" s="120">
        <v>14.3</v>
      </c>
      <c r="L65" s="120">
        <v>14</v>
      </c>
      <c r="M65" s="114">
        <f>PI()*(((((F65+G65)/4)*((H65+I65)/4))+(((F65+G65)/4)^2)+(((H65+I65)/4)^2))/3)*((K65+L65)/2)</f>
        <v>216.17996574223005</v>
      </c>
      <c r="N65" s="114">
        <f>PI()*(((F65+G65+H65+I65)/8)^2)*((K65+L65)/2)</f>
        <v>216.15870931154745</v>
      </c>
      <c r="O65" s="114">
        <f>((N65-N66)/N65)*100</f>
        <v>14.386368560845305</v>
      </c>
      <c r="P65" s="113">
        <v>153.1</v>
      </c>
      <c r="Q65" s="113">
        <v>120.9</v>
      </c>
      <c r="R65" s="113">
        <f>P65-Q65</f>
        <v>32.199999999999989</v>
      </c>
      <c r="S65" s="115">
        <f>100*(R65/P65)</f>
        <v>21.032005225342907</v>
      </c>
      <c r="T65" s="116">
        <f>Q65/N65</f>
        <v>0.55931125969922413</v>
      </c>
      <c r="U65" s="116">
        <f>R65/(N65-N66)</f>
        <v>1.035456720058741</v>
      </c>
      <c r="X65" s="105"/>
      <c r="Y65" s="105"/>
      <c r="Z65" s="105"/>
      <c r="AA65" s="105"/>
    </row>
    <row r="66" spans="1:27" x14ac:dyDescent="0.25">
      <c r="A66" s="105" t="s">
        <v>116</v>
      </c>
      <c r="B66" s="105">
        <v>2</v>
      </c>
      <c r="C66" s="105">
        <v>129</v>
      </c>
      <c r="D66" s="105"/>
      <c r="E66" s="105" t="s">
        <v>115</v>
      </c>
      <c r="F66" s="122">
        <v>1.7110000000000001</v>
      </c>
      <c r="G66" s="122">
        <v>1.63</v>
      </c>
      <c r="H66" s="122">
        <v>1.66</v>
      </c>
      <c r="I66" s="122">
        <v>1.59</v>
      </c>
      <c r="J66" s="123">
        <f t="shared" si="1"/>
        <v>1.64775</v>
      </c>
      <c r="K66" s="120"/>
      <c r="L66" s="120"/>
      <c r="M66" s="114">
        <f>PI()*((((((F65-(0.2*F66))+(G65-(0.2*G66)))/4)*(((H65-(0.2*H66))+(I65-(0.2*I66)))/4))+((((F65-(0.2*F66))+(G65-(0.2*G66)))/4)^2)+((((H65-(0.2*H66))+(I65-(0.2*I66)))/4)^2))/3)*((K65+L65)/2)</f>
        <v>185.08010025810404</v>
      </c>
      <c r="N66" s="114">
        <f>PI()*((((F65-(0.2*F66))+(G65-(0.2*G66))+(H65-(0.2*H66))+(I65-(0.2*I66)))/8)^2)*((K65+L65)/2)</f>
        <v>185.061320713622</v>
      </c>
      <c r="O66" s="114"/>
      <c r="X66" s="105"/>
      <c r="Y66" s="105"/>
      <c r="Z66" s="105"/>
      <c r="AA66" s="105"/>
    </row>
    <row r="67" spans="1:27" x14ac:dyDescent="0.25">
      <c r="A67" s="105" t="s">
        <v>116</v>
      </c>
      <c r="B67" s="105">
        <v>2</v>
      </c>
      <c r="C67" s="105">
        <v>129</v>
      </c>
      <c r="D67" s="105">
        <v>4</v>
      </c>
      <c r="E67" s="105" t="s">
        <v>114</v>
      </c>
      <c r="F67" s="122">
        <v>2.6520000000000001</v>
      </c>
      <c r="G67" s="122">
        <v>2.4750000000000001</v>
      </c>
      <c r="H67" s="122">
        <v>2.2839999999999998</v>
      </c>
      <c r="I67" s="122">
        <v>2.2400000000000002</v>
      </c>
      <c r="J67" s="123">
        <f t="shared" ref="J67:J82" si="2">(F67+G67+H67+I67)/4</f>
        <v>2.41275</v>
      </c>
      <c r="K67" s="120">
        <v>8.6</v>
      </c>
      <c r="L67" s="120">
        <v>8.1</v>
      </c>
      <c r="M67" s="114">
        <f>PI()*(((((F67+G67)/4)*((H67+I67)/4))+(((F67+G67)/4)^2)+(((H67+I67)/4)^2))/3)*((K67+L67)/2)</f>
        <v>38.226608978457257</v>
      </c>
      <c r="N67" s="114">
        <f>PI()*(((F67+G67+H67+I67)/8)^2)*((K67+L67)/2)</f>
        <v>38.17693033323566</v>
      </c>
      <c r="O67" s="114">
        <f>((N67-N68)/N67)*100</f>
        <v>15.66324877054932</v>
      </c>
      <c r="P67" s="113">
        <v>23.6</v>
      </c>
      <c r="Q67" s="113">
        <v>18.600000000000001</v>
      </c>
      <c r="R67" s="113">
        <f>P67-Q67</f>
        <v>5</v>
      </c>
      <c r="S67" s="115">
        <f>100*(R67/P67)</f>
        <v>21.1864406779661</v>
      </c>
      <c r="T67" s="116">
        <f>Q67/N67</f>
        <v>0.48720522675987427</v>
      </c>
      <c r="U67" s="116">
        <f>R67/(N67-N68)</f>
        <v>0.8361556973079195</v>
      </c>
      <c r="X67" s="105"/>
      <c r="Y67" s="105"/>
      <c r="Z67" s="121"/>
      <c r="AA67" s="105"/>
    </row>
    <row r="68" spans="1:27" x14ac:dyDescent="0.25">
      <c r="A68" s="105" t="s">
        <v>116</v>
      </c>
      <c r="B68" s="105">
        <v>2</v>
      </c>
      <c r="C68" s="105">
        <v>129</v>
      </c>
      <c r="E68" s="105" t="s">
        <v>115</v>
      </c>
      <c r="F68" s="122">
        <v>1.07</v>
      </c>
      <c r="G68" s="122">
        <v>1.01</v>
      </c>
      <c r="H68" s="122">
        <v>0.94</v>
      </c>
      <c r="I68" s="122">
        <v>0.92</v>
      </c>
      <c r="J68" s="123">
        <f t="shared" si="2"/>
        <v>0.98499999999999999</v>
      </c>
      <c r="K68" s="120"/>
      <c r="L68" s="120"/>
      <c r="M68" s="114">
        <f>PI()*((((((F67-(0.2*F68))+(G67-(0.2*G68)))/4)*(((H67-(0.2*H68))+(I67-(0.2*I68)))/4))+((((F67-(0.2*F68))+(G67-(0.2*G68)))/4)^2)+((((H67-(0.2*H68))+(I67-(0.2*I68)))/4)^2))/3)*((K67+L67)/2)</f>
        <v>32.239875964873242</v>
      </c>
      <c r="N68" s="114">
        <f>PI()*((((F67-(0.2*F68))+(G67-(0.2*G68))+(H67-(0.2*H68))+(I67-(0.2*I68)))/8)^2)*((K67+L67)/2)</f>
        <v>32.197182762181654</v>
      </c>
      <c r="O68" s="114"/>
      <c r="X68" s="105"/>
      <c r="Y68" s="105"/>
      <c r="Z68" s="121"/>
      <c r="AA68" s="105"/>
    </row>
    <row r="69" spans="1:27" x14ac:dyDescent="0.25">
      <c r="A69" s="105" t="s">
        <v>116</v>
      </c>
      <c r="B69" s="105">
        <v>2</v>
      </c>
      <c r="C69" s="105">
        <v>129</v>
      </c>
      <c r="D69" s="105" t="s">
        <v>117</v>
      </c>
      <c r="E69" s="105" t="s">
        <v>114</v>
      </c>
      <c r="F69" s="122">
        <v>1.24</v>
      </c>
      <c r="G69" s="122">
        <v>1.2270000000000001</v>
      </c>
      <c r="H69" s="122">
        <v>1.163</v>
      </c>
      <c r="I69" s="122">
        <v>1.091</v>
      </c>
      <c r="J69" s="123">
        <f t="shared" si="2"/>
        <v>1.18025</v>
      </c>
      <c r="K69" s="120">
        <v>8.8230000000000004</v>
      </c>
      <c r="L69" s="120">
        <v>8.202</v>
      </c>
      <c r="M69" s="114">
        <f>PI()*(((((F69+G69)/4)*((H69+I69)/4))+(((F69+G69)/4)^2)+(((H69+I69)/4)^2))/3)*((K69+L69)/2)</f>
        <v>9.3194355018977468</v>
      </c>
      <c r="N69" s="114">
        <f>PI()*(((F69+G69+H69+I69)/8)^2)*((K69+L69)/2)</f>
        <v>9.3131162600653514</v>
      </c>
      <c r="O69" s="114">
        <f>((N69-N70)/N69)*100</f>
        <v>17.27132296035316</v>
      </c>
      <c r="P69" s="113">
        <v>7.1</v>
      </c>
      <c r="Q69" s="113">
        <v>4.9119999999999999</v>
      </c>
      <c r="R69" s="113">
        <f>P69-Q69</f>
        <v>2.1879999999999997</v>
      </c>
      <c r="S69" s="115">
        <f>100*(R69/P69)</f>
        <v>30.816901408450704</v>
      </c>
      <c r="T69" s="116">
        <f>Q69/N69</f>
        <v>0.52742818438363737</v>
      </c>
      <c r="U69" s="116">
        <f>R69/(N69-N70)</f>
        <v>1.3602749109062706</v>
      </c>
      <c r="X69" s="105"/>
      <c r="Y69" s="105"/>
      <c r="Z69" s="121"/>
      <c r="AA69" s="105"/>
    </row>
    <row r="70" spans="1:27" x14ac:dyDescent="0.25">
      <c r="A70" s="105" t="s">
        <v>116</v>
      </c>
      <c r="B70" s="105">
        <v>2</v>
      </c>
      <c r="C70" s="105">
        <v>129</v>
      </c>
      <c r="D70" s="105"/>
      <c r="E70" s="105" t="s">
        <v>115</v>
      </c>
      <c r="F70" s="122">
        <v>0.56000000000000005</v>
      </c>
      <c r="G70" s="122">
        <v>0.55000000000000004</v>
      </c>
      <c r="H70" s="122">
        <v>0.52500000000000002</v>
      </c>
      <c r="I70" s="122">
        <v>0.5</v>
      </c>
      <c r="J70" s="123">
        <f t="shared" si="2"/>
        <v>0.53375000000000006</v>
      </c>
      <c r="K70" s="120"/>
      <c r="L70" s="120"/>
      <c r="M70" s="114">
        <f>PI()*((((((F69-(0.2*F70))+(G69-(0.2*G70)))/4)*(((H69-(0.2*H70))+(I69-(0.2*I70)))/4))+((((F69-(0.2*F70))+(G69-(0.2*G70)))/4)^2)+((((H69-(0.2*H70))+(I69-(0.2*I70)))/4)^2))/3)*((K69+L69)/2)</f>
        <v>7.7099686631763271</v>
      </c>
      <c r="N70" s="114">
        <f>PI()*((((F69-(0.2*F70))+(G69-(0.2*G70))+(H69-(0.2*H70))+(I69-(0.2*I70)))/8)^2)*((K69+L69)/2)</f>
        <v>7.7046178731163009</v>
      </c>
      <c r="O70" s="114"/>
      <c r="X70" s="105"/>
      <c r="Y70" s="105"/>
      <c r="Z70" s="121"/>
      <c r="AA70" s="105"/>
    </row>
    <row r="71" spans="1:27" x14ac:dyDescent="0.25">
      <c r="A71" s="105" t="s">
        <v>116</v>
      </c>
      <c r="B71" s="105">
        <v>4</v>
      </c>
      <c r="C71" s="105">
        <v>17</v>
      </c>
      <c r="D71" s="105">
        <v>1</v>
      </c>
      <c r="E71" s="105" t="s">
        <v>114</v>
      </c>
      <c r="F71" s="122">
        <v>3.964</v>
      </c>
      <c r="G71" s="122">
        <v>3.65</v>
      </c>
      <c r="H71" s="122">
        <v>3.915</v>
      </c>
      <c r="I71" s="122">
        <v>3.55</v>
      </c>
      <c r="J71" s="123">
        <f t="shared" si="2"/>
        <v>3.7697500000000002</v>
      </c>
      <c r="K71" s="120">
        <v>19</v>
      </c>
      <c r="L71" s="120">
        <v>19</v>
      </c>
      <c r="M71" s="114">
        <f>PI()*(((((F71+G71)/4)*((H71+I71)/4))+(((F71+G71)/4)^2)+(((H71+I71)/4)^2))/3)*((K71+L71)/2)</f>
        <v>212.07169946916613</v>
      </c>
      <c r="N71" s="114">
        <f>PI()*(((F71+G71+H71+I71)/8)^2)*((K71+L71)/2)</f>
        <v>212.0647974719185</v>
      </c>
      <c r="O71" s="114">
        <f>((N71-N72)/N71)*100</f>
        <v>14.254291414730561</v>
      </c>
      <c r="P71" s="113">
        <v>130.19999999999999</v>
      </c>
      <c r="Q71" s="113">
        <v>103.3</v>
      </c>
      <c r="R71" s="113">
        <f>P71-Q71</f>
        <v>26.899999999999991</v>
      </c>
      <c r="S71" s="115">
        <f>100*(R71/P71)</f>
        <v>20.660522273425492</v>
      </c>
      <c r="T71" s="116">
        <f>Q71/N71</f>
        <v>0.4871152649165118</v>
      </c>
      <c r="U71" s="116">
        <f>R71/(N71-N72)</f>
        <v>0.88989356159970789</v>
      </c>
      <c r="X71" s="105"/>
      <c r="Y71" s="105"/>
      <c r="Z71" s="121"/>
      <c r="AA71" s="105"/>
    </row>
    <row r="72" spans="1:27" x14ac:dyDescent="0.25">
      <c r="A72" s="105" t="s">
        <v>116</v>
      </c>
      <c r="B72" s="105">
        <v>4</v>
      </c>
      <c r="C72" s="105">
        <v>17</v>
      </c>
      <c r="D72" s="105"/>
      <c r="E72" s="105" t="s">
        <v>115</v>
      </c>
      <c r="F72" s="122">
        <v>2</v>
      </c>
      <c r="G72" s="122">
        <v>0.92</v>
      </c>
      <c r="H72" s="122">
        <v>1.78</v>
      </c>
      <c r="I72" s="122">
        <v>0.88</v>
      </c>
      <c r="J72" s="123">
        <f t="shared" si="2"/>
        <v>1.395</v>
      </c>
      <c r="K72" s="120"/>
      <c r="L72" s="120"/>
      <c r="M72" s="114">
        <f>PI()*((((((F71-(0.2*F72))+(G71-(0.2*G72)))/4)*(((H71-(0.2*H72))+(I71-(0.2*I72)))/4))+((((F71-(0.2*F72))+(G71-(0.2*G72)))/4)^2)+((((H71-(0.2*H72))+(I71-(0.2*I72)))/4)^2))/3)*((K71+L71)/2)</f>
        <v>181.83938838586036</v>
      </c>
      <c r="N72" s="114">
        <f>PI()*((((F71-(0.2*F72))+(G71-(0.2*G72))+(H71-(0.2*H72))+(I71-(0.2*I72)))/8)^2)*((K71+L71)/2)</f>
        <v>181.83646325221306</v>
      </c>
      <c r="O72" s="114"/>
      <c r="X72" s="105"/>
      <c r="Y72" s="105"/>
      <c r="Z72" s="121"/>
      <c r="AA72" s="105"/>
    </row>
    <row r="73" spans="1:27" x14ac:dyDescent="0.25">
      <c r="A73" s="105" t="s">
        <v>116</v>
      </c>
      <c r="B73" s="105">
        <v>4</v>
      </c>
      <c r="C73" s="105">
        <v>17</v>
      </c>
      <c r="D73" s="105">
        <v>2</v>
      </c>
      <c r="E73" s="105" t="s">
        <v>114</v>
      </c>
      <c r="F73" s="122">
        <v>3.15</v>
      </c>
      <c r="G73" s="122">
        <v>2.9790000000000001</v>
      </c>
      <c r="H73" s="122">
        <v>3.0459999999999998</v>
      </c>
      <c r="I73" s="122">
        <v>2.8090000000000002</v>
      </c>
      <c r="J73" s="123">
        <f t="shared" si="2"/>
        <v>2.9959999999999996</v>
      </c>
      <c r="K73" s="120">
        <v>14</v>
      </c>
      <c r="L73" s="120">
        <v>14</v>
      </c>
      <c r="M73" s="114">
        <f>PI()*(((((F73+G73)/4)*((H73+I73)/4))+(((F73+G73)/4)^2)+(((H73+I73)/4)^2))/3)*((K73+L73)/2)</f>
        <v>98.713648728849165</v>
      </c>
      <c r="N73" s="114">
        <f>PI()*(((F73+G73+H73+I73)/8)^2)*((K73+L73)/2)</f>
        <v>98.696450734365527</v>
      </c>
      <c r="O73" s="114">
        <f>((N73-N74)/N73)*100</f>
        <v>18.211038728094927</v>
      </c>
      <c r="P73" s="113">
        <v>55.7</v>
      </c>
      <c r="Q73" s="113">
        <v>42.2</v>
      </c>
      <c r="R73" s="113">
        <f>P73-Q73</f>
        <v>13.5</v>
      </c>
      <c r="S73" s="115">
        <f>100*(R73/P73)</f>
        <v>24.236983842010769</v>
      </c>
      <c r="T73" s="116">
        <f>Q73/N73</f>
        <v>0.42757363295239764</v>
      </c>
      <c r="U73" s="116">
        <f>R73/(N73-N74)</f>
        <v>0.75109957361907853</v>
      </c>
      <c r="X73" s="105"/>
      <c r="Y73" s="105"/>
      <c r="Z73" s="105"/>
      <c r="AA73" s="105"/>
    </row>
    <row r="74" spans="1:27" x14ac:dyDescent="0.25">
      <c r="A74" s="105" t="s">
        <v>116</v>
      </c>
      <c r="B74" s="105">
        <v>4</v>
      </c>
      <c r="C74" s="105">
        <v>17</v>
      </c>
      <c r="D74" s="105"/>
      <c r="E74" s="105" t="s">
        <v>115</v>
      </c>
      <c r="F74" s="122">
        <v>1.88</v>
      </c>
      <c r="G74" s="122">
        <v>1.46</v>
      </c>
      <c r="H74" s="122">
        <v>1.37</v>
      </c>
      <c r="I74" s="122">
        <v>1.02</v>
      </c>
      <c r="J74" s="123">
        <f t="shared" si="2"/>
        <v>1.4325000000000001</v>
      </c>
      <c r="K74" s="120"/>
      <c r="L74" s="120"/>
      <c r="M74" s="114">
        <f>PI()*((((((F73-(0.2*F74))+(G73-(0.2*G74)))/4)*(((H73-(0.2*H74))+(I73-(0.2*I74)))/4))+((((F73-(0.2*F74))+(G73-(0.2*G74)))/4)^2)+((((H73-(0.2*H74))+(I73-(0.2*I74)))/4)^2))/3)*((K73+L73)/2)</f>
        <v>80.724418217295337</v>
      </c>
      <c r="N74" s="114">
        <f>PI()*((((F73-(0.2*F74))+(G73-(0.2*G74))+(H73-(0.2*H74))+(I73-(0.2*I74)))/8)^2)*((K73+L73)/2)</f>
        <v>80.722801867875091</v>
      </c>
      <c r="O74" s="114"/>
      <c r="X74" s="105"/>
      <c r="Y74" s="105"/>
      <c r="Z74" s="105"/>
      <c r="AA74" s="105"/>
    </row>
    <row r="75" spans="1:27" x14ac:dyDescent="0.25">
      <c r="A75" s="105" t="s">
        <v>118</v>
      </c>
      <c r="B75" s="105">
        <v>3</v>
      </c>
      <c r="C75" s="105">
        <v>166</v>
      </c>
      <c r="D75" s="105">
        <v>3</v>
      </c>
      <c r="E75" s="105" t="s">
        <v>114</v>
      </c>
      <c r="F75" s="122">
        <v>15.2</v>
      </c>
      <c r="G75" s="122">
        <v>14</v>
      </c>
      <c r="H75" s="122">
        <v>14.1</v>
      </c>
      <c r="I75" s="122">
        <v>13.6</v>
      </c>
      <c r="J75" s="123">
        <f t="shared" si="2"/>
        <v>14.225</v>
      </c>
      <c r="K75" s="120">
        <v>13.5</v>
      </c>
      <c r="L75" s="120">
        <v>12.8</v>
      </c>
      <c r="M75" s="114">
        <f>PI()*(((((F75+G75)/4)*((H75+I75)/4))+(((F75+G75)/4)^2)+(((H75+I75)/4)^2))/3)*((K75+L75)/2)</f>
        <v>2090.3585158074907</v>
      </c>
      <c r="N75" s="114">
        <f>PI()*(((F75+G75+H75+I75)/8)^2)*((K75+L75)/2)</f>
        <v>2089.8743914708339</v>
      </c>
      <c r="O75" s="114">
        <f>((N75-N76)/N75)*100</f>
        <v>9.7065852897662168</v>
      </c>
      <c r="P75" s="113">
        <f>Q75+R75</f>
        <v>1712.6999999999998</v>
      </c>
      <c r="Q75" s="113">
        <v>1641.1</v>
      </c>
      <c r="R75" s="113">
        <v>71.599999999999994</v>
      </c>
      <c r="S75" s="115">
        <f>100*(R75/P75)</f>
        <v>4.1805336603024461</v>
      </c>
      <c r="T75" s="116">
        <f>Q75/N75</f>
        <v>0.78526250510443796</v>
      </c>
      <c r="U75" s="116">
        <f>R75/(N75-N76)</f>
        <v>0.35296070891297804</v>
      </c>
      <c r="X75" s="105"/>
      <c r="Y75" s="105"/>
      <c r="Z75" s="105"/>
      <c r="AA75" s="105"/>
    </row>
    <row r="76" spans="1:27" x14ac:dyDescent="0.25">
      <c r="A76" s="105" t="s">
        <v>118</v>
      </c>
      <c r="B76" s="105">
        <v>3</v>
      </c>
      <c r="C76" s="105">
        <v>166</v>
      </c>
      <c r="D76" s="105"/>
      <c r="E76" s="105" t="s">
        <v>115</v>
      </c>
      <c r="F76" s="122">
        <v>5.04</v>
      </c>
      <c r="G76" s="122">
        <v>2.5099999999999998</v>
      </c>
      <c r="H76" s="122">
        <v>4.16</v>
      </c>
      <c r="I76" s="122">
        <v>2.4500000000000002</v>
      </c>
      <c r="J76" s="123">
        <f t="shared" si="2"/>
        <v>3.54</v>
      </c>
      <c r="K76" s="120"/>
      <c r="L76" s="120"/>
      <c r="M76" s="114">
        <f>PI()*((((((F75-(0.2*F76))+(G75-(0.2*G76)))/4)*(((H75-(0.2*H76))+(I75-(0.2*I76)))/4))+((((F75-(0.2*F76))+(G75-(0.2*G76)))/4)^2)+((((H75-(0.2*H76))+(I75-(0.2*I76)))/4)^2))/3)*((K75+L75)/2)</f>
        <v>1887.3893265569161</v>
      </c>
      <c r="N76" s="114">
        <f>PI()*((((F75-(0.2*F76))+(G75-(0.2*G76))+(H75-(0.2*H76))+(I75-(0.2*I76)))/8)^2)*((K75+L75)/2)</f>
        <v>1887.0189512137347</v>
      </c>
      <c r="O76" s="114"/>
      <c r="X76" s="105"/>
      <c r="Y76" s="105"/>
      <c r="Z76" s="105"/>
      <c r="AA76" s="105"/>
    </row>
    <row r="77" spans="1:27" x14ac:dyDescent="0.25">
      <c r="A77" s="105" t="s">
        <v>118</v>
      </c>
      <c r="B77" s="105">
        <v>3</v>
      </c>
      <c r="C77" s="105">
        <v>166</v>
      </c>
      <c r="D77" s="105">
        <v>4</v>
      </c>
      <c r="E77" s="105" t="s">
        <v>114</v>
      </c>
      <c r="F77" s="122">
        <v>15.6</v>
      </c>
      <c r="G77" s="122">
        <v>14</v>
      </c>
      <c r="H77" s="122">
        <v>15.1</v>
      </c>
      <c r="I77" s="122">
        <v>14</v>
      </c>
      <c r="J77" s="123">
        <f t="shared" si="2"/>
        <v>14.675000000000001</v>
      </c>
      <c r="K77" s="120">
        <v>5.0999999999999996</v>
      </c>
      <c r="L77" s="120">
        <v>4.0999999999999996</v>
      </c>
      <c r="M77" s="114">
        <f>PI()*(((((F77+G77)/4)*((H77+I77)/4))+(((F77+G77)/4)^2)+(((H77+I77)/4)^2))/3)*((K77+L77)/2)</f>
        <v>778.06241365162236</v>
      </c>
      <c r="N77" s="114">
        <f>PI()*(((F77+G77+H77+I77)/8)^2)*((K77+L77)/2)</f>
        <v>778.04359682062432</v>
      </c>
      <c r="O77" s="114">
        <f>((N77-N78)/N77)*100</f>
        <v>11.036861818677862</v>
      </c>
      <c r="P77" s="113">
        <v>703</v>
      </c>
      <c r="Q77" s="113">
        <v>677.6</v>
      </c>
      <c r="R77" s="113">
        <f>P77-Q77</f>
        <v>25.399999999999977</v>
      </c>
      <c r="S77" s="115">
        <f>100*(R77/P77)</f>
        <v>3.6130867709815044</v>
      </c>
      <c r="T77" s="116">
        <f>Q77/N77</f>
        <v>0.87090235401836835</v>
      </c>
      <c r="U77" s="116">
        <f>R77/(N77-N78)</f>
        <v>0.29579047071364589</v>
      </c>
      <c r="X77" s="105"/>
      <c r="Y77" s="105"/>
      <c r="Z77" s="105"/>
      <c r="AA77" s="105"/>
    </row>
    <row r="78" spans="1:27" x14ac:dyDescent="0.25">
      <c r="A78" s="105" t="s">
        <v>118</v>
      </c>
      <c r="B78" s="105">
        <v>3</v>
      </c>
      <c r="C78" s="105">
        <v>166</v>
      </c>
      <c r="E78" s="105" t="s">
        <v>115</v>
      </c>
      <c r="F78" s="122">
        <v>5.44</v>
      </c>
      <c r="G78" s="122">
        <v>3.27</v>
      </c>
      <c r="H78" s="122">
        <v>5.77</v>
      </c>
      <c r="I78" s="122">
        <v>2.19</v>
      </c>
      <c r="J78" s="123">
        <f t="shared" si="2"/>
        <v>4.1675000000000004</v>
      </c>
      <c r="K78" s="120"/>
      <c r="L78" s="120"/>
      <c r="M78" s="114">
        <f>PI()*((((((F77-(0.2*F78))+(G77-(0.2*G78)))/4)*(((H77-(0.2*H78))+(I77-(0.2*I78)))/4))+((((F77-(0.2*F78))+(G77-(0.2*G78)))/4)^2)+((((H77-(0.2*H78))+(I77-(0.2*I78)))/4)^2))/3)*((K77+L77)/2)</f>
        <v>692.18122039764989</v>
      </c>
      <c r="N78" s="114">
        <f>PI()*((((F77-(0.2*F78))+(G77-(0.2*G78))+(H77-(0.2*H78))+(I77-(0.2*I78)))/8)^2)*((K77+L77)/2)</f>
        <v>692.17200015046092</v>
      </c>
      <c r="O78" s="114"/>
      <c r="X78" s="105"/>
      <c r="Y78" s="105"/>
      <c r="Z78" s="105"/>
      <c r="AA78" s="105"/>
    </row>
    <row r="79" spans="1:27" x14ac:dyDescent="0.25">
      <c r="A79" s="105" t="s">
        <v>121</v>
      </c>
      <c r="B79" s="105">
        <v>6</v>
      </c>
      <c r="C79" s="105">
        <v>137</v>
      </c>
      <c r="D79" s="105">
        <v>1</v>
      </c>
      <c r="E79" s="105" t="s">
        <v>114</v>
      </c>
      <c r="F79" s="122">
        <v>11.2</v>
      </c>
      <c r="G79" s="122">
        <v>10.7</v>
      </c>
      <c r="H79" s="122">
        <v>10.7</v>
      </c>
      <c r="I79" s="122">
        <v>10.199999999999999</v>
      </c>
      <c r="J79" s="123">
        <f t="shared" si="2"/>
        <v>10.7</v>
      </c>
      <c r="K79" s="120">
        <v>13.1</v>
      </c>
      <c r="L79" s="120">
        <v>12.7</v>
      </c>
      <c r="M79" s="114">
        <f>PI()*(((((F79+G79)/4)*((H79+I79)/4))+(((F79+G79)/4)^2)+(((H79+I79)/4)^2))/3)*((K79+L79)/2)</f>
        <v>1160.1821166395355</v>
      </c>
      <c r="N79" s="114">
        <f>PI()*(((F79+G79+H79+I79)/8)^2)*((K79+L79)/2)</f>
        <v>1159.9710408831224</v>
      </c>
      <c r="O79" s="114">
        <f>((N79-N80)/N79)*100</f>
        <v>9.5279009083762976</v>
      </c>
      <c r="P79" s="113">
        <v>858.5</v>
      </c>
      <c r="Q79" s="113">
        <v>799.9</v>
      </c>
      <c r="R79" s="113">
        <f>P79-Q79</f>
        <v>58.600000000000023</v>
      </c>
      <c r="S79" s="115">
        <f>100*(R79/P79)</f>
        <v>6.8258590564938864</v>
      </c>
      <c r="T79" s="116">
        <f>Q79/N79</f>
        <v>0.68958618086793866</v>
      </c>
      <c r="U79" s="116">
        <f>R79/(N79-N80)</f>
        <v>0.53021649833683926</v>
      </c>
      <c r="X79" s="105"/>
      <c r="Y79" s="105"/>
      <c r="Z79" s="105"/>
    </row>
    <row r="80" spans="1:27" x14ac:dyDescent="0.25">
      <c r="A80" s="105" t="s">
        <v>121</v>
      </c>
      <c r="B80" s="105">
        <v>6</v>
      </c>
      <c r="C80" s="105">
        <v>137</v>
      </c>
      <c r="D80" s="105"/>
      <c r="E80" s="105" t="s">
        <v>115</v>
      </c>
      <c r="F80" s="122">
        <v>3.98</v>
      </c>
      <c r="G80" s="122">
        <v>1.87</v>
      </c>
      <c r="H80" s="122">
        <v>3.01</v>
      </c>
      <c r="I80" s="122">
        <v>1.59</v>
      </c>
      <c r="J80" s="112">
        <f t="shared" si="2"/>
        <v>2.6124999999999998</v>
      </c>
      <c r="K80" s="113"/>
      <c r="L80" s="113"/>
      <c r="M80" s="114">
        <f>PI()*((((((F79-(0.2*F80))+(G79-(0.2*G80)))/4)*(((H79-(0.2*H80))+(I79-(0.2*I80)))/4))+((((F79-(0.2*F80))+(G79-(0.2*G80)))/4)^2)+((((H79-(0.2*H80))+(I79-(0.2*I80)))/4)^2))/3)*((K79+L79)/2)</f>
        <v>1049.5688796548998</v>
      </c>
      <c r="N80" s="114">
        <f>PI()*((((F79-(0.2*F80))+(G79-(0.2*G80))+(H79-(0.2*H80))+(I79-(0.2*I80)))/8)^2)*((K79+L79)/2)</f>
        <v>1049.4501495419174</v>
      </c>
      <c r="O80" s="114"/>
      <c r="X80" s="105"/>
      <c r="Y80" s="105"/>
      <c r="Z80" s="105"/>
      <c r="AA80" s="105"/>
    </row>
    <row r="81" spans="1:27" x14ac:dyDescent="0.25">
      <c r="A81" s="105" t="s">
        <v>121</v>
      </c>
      <c r="B81" s="105">
        <v>6</v>
      </c>
      <c r="C81" s="105">
        <v>137</v>
      </c>
      <c r="D81" s="105">
        <v>5</v>
      </c>
      <c r="E81" s="105" t="s">
        <v>114</v>
      </c>
      <c r="F81" s="122">
        <v>7.8</v>
      </c>
      <c r="G81" s="122">
        <v>7.1</v>
      </c>
      <c r="H81" s="122">
        <v>8</v>
      </c>
      <c r="I81" s="122">
        <v>7.1</v>
      </c>
      <c r="J81" s="112">
        <f t="shared" si="2"/>
        <v>7.5</v>
      </c>
      <c r="K81" s="120">
        <v>14.8</v>
      </c>
      <c r="L81" s="120">
        <v>13.1</v>
      </c>
      <c r="M81" s="114">
        <f>PI()*(((((F81+G81)/4)*((H81+I81)/4))+(((F81+G81)/4)^2)+(((H81+I81)/4)^2))/3)*((K81+L81)/2)</f>
        <v>616.30125159458464</v>
      </c>
      <c r="N81" s="114">
        <f>PI()*(((F81+G81+H81+I81)/8)^2)*((K81+L81)/2)</f>
        <v>616.29212134093518</v>
      </c>
      <c r="O81" s="114">
        <f>((N81-N82)/N81)*100</f>
        <v>12.128124000000021</v>
      </c>
      <c r="P81" s="113">
        <v>386.3</v>
      </c>
      <c r="Q81" s="113">
        <v>344.6</v>
      </c>
      <c r="R81" s="113">
        <f>P81-Q81</f>
        <v>41.699999999999989</v>
      </c>
      <c r="S81" s="115">
        <f>100*(R81/P81)</f>
        <v>10.794719130209678</v>
      </c>
      <c r="T81" s="116">
        <f>Q81/N81</f>
        <v>0.5591504224493663</v>
      </c>
      <c r="U81" s="116">
        <f>R81/(N81-N82)</f>
        <v>0.55789929242699832</v>
      </c>
      <c r="X81" s="105"/>
      <c r="Y81" s="105"/>
      <c r="Z81" s="105"/>
      <c r="AA81" s="105"/>
    </row>
    <row r="82" spans="1:27" x14ac:dyDescent="0.25">
      <c r="A82" s="105" t="s">
        <v>121</v>
      </c>
      <c r="B82" s="105">
        <v>6</v>
      </c>
      <c r="C82" s="105">
        <v>137</v>
      </c>
      <c r="D82" s="105"/>
      <c r="E82" s="105" t="s">
        <v>115</v>
      </c>
      <c r="F82" s="122">
        <v>2.66</v>
      </c>
      <c r="G82" s="122">
        <v>1.86</v>
      </c>
      <c r="H82" s="122">
        <v>3.71</v>
      </c>
      <c r="I82" s="122">
        <v>1.1599999999999999</v>
      </c>
      <c r="J82" s="112">
        <f t="shared" si="2"/>
        <v>2.3475000000000001</v>
      </c>
      <c r="K82" s="113"/>
      <c r="L82" s="113"/>
      <c r="M82" s="114">
        <f>PI()*((((((F81-(0.2*F82))+(G81-(0.2*G82)))/4)*(((H81-(0.2*H82))+(I81-(0.2*I82)))/4))+((((F81-(0.2*F82))+(G81-(0.2*G82)))/4)^2)+((((H81-(0.2*H82))+(I81-(0.2*I82)))/4)^2))/3)*((K81+L81)/2)</f>
        <v>541.55130619464296</v>
      </c>
      <c r="N82" s="114">
        <f>PI()*((((F81-(0.2*F82))+(G81-(0.2*G82))+(H81-(0.2*H82))+(I81-(0.2*I82)))/8)^2)*((K81+L81)/2)</f>
        <v>541.54744866247597</v>
      </c>
      <c r="O82" s="114"/>
      <c r="X82" s="105"/>
      <c r="Y82" s="105"/>
      <c r="Z82" s="105"/>
      <c r="AA82" s="105"/>
    </row>
    <row r="83" spans="1:27" x14ac:dyDescent="0.25">
      <c r="X83" s="105"/>
      <c r="Y83" s="105"/>
      <c r="Z83" s="105"/>
    </row>
    <row r="84" spans="1:27" x14ac:dyDescent="0.25">
      <c r="X84" s="105"/>
      <c r="Y84" s="105"/>
      <c r="Z84" s="105"/>
      <c r="AA84" s="105"/>
    </row>
    <row r="85" spans="1:27" x14ac:dyDescent="0.25">
      <c r="X85" s="105"/>
      <c r="Y85" s="105"/>
      <c r="Z85" s="105"/>
      <c r="AA85" s="105"/>
    </row>
    <row r="86" spans="1:27" x14ac:dyDescent="0.25">
      <c r="X86" s="105"/>
      <c r="Y86" s="105"/>
      <c r="Z86" s="105"/>
      <c r="AA86" s="105"/>
    </row>
    <row r="87" spans="1:27" x14ac:dyDescent="0.25">
      <c r="X87" s="105"/>
      <c r="Y87" s="105"/>
      <c r="Z87" s="105"/>
    </row>
    <row r="88" spans="1:27" x14ac:dyDescent="0.25">
      <c r="X88" s="105"/>
      <c r="Y88" s="105"/>
      <c r="Z88" s="105"/>
      <c r="AA88" s="105"/>
    </row>
    <row r="89" spans="1:27" x14ac:dyDescent="0.25">
      <c r="X89" s="105"/>
      <c r="Y89" s="105"/>
      <c r="Z89" s="105"/>
    </row>
    <row r="90" spans="1:27" x14ac:dyDescent="0.25">
      <c r="X90" s="105"/>
      <c r="Y90" s="105"/>
      <c r="Z90" s="105"/>
      <c r="AA90" s="105"/>
    </row>
    <row r="91" spans="1:27" x14ac:dyDescent="0.25">
      <c r="X91" s="105"/>
      <c r="Y91" s="105"/>
      <c r="Z91" s="105"/>
      <c r="AA91" s="105"/>
    </row>
    <row r="92" spans="1:27" x14ac:dyDescent="0.25">
      <c r="X92" s="105"/>
      <c r="Y92" s="105"/>
      <c r="Z92" s="105"/>
      <c r="AA92" s="105"/>
    </row>
    <row r="93" spans="1:27" x14ac:dyDescent="0.25">
      <c r="X93" s="105"/>
      <c r="Y93" s="105"/>
      <c r="Z93" s="105"/>
    </row>
    <row r="94" spans="1:27" x14ac:dyDescent="0.25">
      <c r="X94" s="105"/>
      <c r="Y94" s="105"/>
      <c r="Z94" s="105"/>
      <c r="AA94" s="105"/>
    </row>
    <row r="95" spans="1:27" x14ac:dyDescent="0.25">
      <c r="X95" s="105"/>
      <c r="Y95" s="105"/>
      <c r="Z95" s="105"/>
      <c r="AA95" s="105"/>
    </row>
    <row r="96" spans="1:27" x14ac:dyDescent="0.25">
      <c r="X96" s="105"/>
      <c r="Y96" s="105"/>
      <c r="Z96" s="105"/>
      <c r="AA96" s="105"/>
    </row>
    <row r="97" spans="1:27" x14ac:dyDescent="0.25">
      <c r="X97" s="105"/>
      <c r="Y97" s="105"/>
      <c r="Z97" s="105"/>
    </row>
    <row r="98" spans="1:27" x14ac:dyDescent="0.25">
      <c r="X98" s="105"/>
      <c r="Y98" s="105"/>
      <c r="Z98" s="105"/>
      <c r="AA98" s="105"/>
    </row>
    <row r="99" spans="1:27" x14ac:dyDescent="0.25">
      <c r="X99" s="105"/>
      <c r="Y99" s="105"/>
      <c r="Z99" s="105"/>
      <c r="AA99" s="105"/>
    </row>
    <row r="100" spans="1:27" x14ac:dyDescent="0.25">
      <c r="X100" s="105"/>
      <c r="Y100" s="105"/>
      <c r="Z100" s="105"/>
      <c r="AA100" s="105"/>
    </row>
    <row r="101" spans="1:27" x14ac:dyDescent="0.25">
      <c r="X101" s="105"/>
      <c r="Y101" s="105"/>
      <c r="Z101" s="105"/>
    </row>
    <row r="102" spans="1:27" x14ac:dyDescent="0.25">
      <c r="X102" s="105"/>
      <c r="Y102" s="105"/>
      <c r="Z102" s="105"/>
      <c r="AA102" s="105"/>
    </row>
    <row r="103" spans="1:27" x14ac:dyDescent="0.25">
      <c r="X103" s="105"/>
      <c r="Y103" s="105"/>
      <c r="Z103" s="105"/>
      <c r="AA103" s="105"/>
    </row>
    <row r="104" spans="1:27" x14ac:dyDescent="0.25">
      <c r="X104" s="105"/>
      <c r="Y104" s="105"/>
      <c r="Z104" s="105"/>
      <c r="AA104" s="105"/>
    </row>
    <row r="105" spans="1:27" x14ac:dyDescent="0.25">
      <c r="X105" s="105"/>
      <c r="Y105" s="105"/>
      <c r="Z105" s="105"/>
      <c r="AA105" s="105"/>
    </row>
    <row r="106" spans="1:27" x14ac:dyDescent="0.25">
      <c r="X106" s="105"/>
      <c r="Y106" s="105"/>
      <c r="Z106" s="105"/>
      <c r="AA106" s="105"/>
    </row>
    <row r="107" spans="1:27" x14ac:dyDescent="0.25">
      <c r="A107" s="105"/>
      <c r="D107" s="105"/>
      <c r="E107" s="105"/>
      <c r="F107" s="121"/>
      <c r="G107" s="121"/>
      <c r="H107" s="121"/>
      <c r="I107" s="121"/>
      <c r="J107" s="117"/>
      <c r="X107" s="105"/>
      <c r="Y107" s="105"/>
      <c r="Z107" s="105"/>
      <c r="AA107" s="105"/>
    </row>
    <row r="108" spans="1:27" x14ac:dyDescent="0.25">
      <c r="A108" s="105"/>
      <c r="D108" s="105"/>
      <c r="E108" s="105"/>
      <c r="F108" s="124"/>
      <c r="G108" s="121"/>
      <c r="H108" s="121"/>
      <c r="I108" s="121"/>
      <c r="J108" s="117"/>
      <c r="X108" s="105"/>
      <c r="Y108" s="105"/>
      <c r="Z108" s="105"/>
      <c r="AA108" s="105"/>
    </row>
    <row r="109" spans="1:27" x14ac:dyDescent="0.25">
      <c r="A109" s="105"/>
      <c r="D109" s="105"/>
      <c r="E109" s="105"/>
      <c r="F109" s="121"/>
      <c r="G109" s="121"/>
      <c r="H109" s="121"/>
      <c r="I109" s="121"/>
      <c r="J109" s="117"/>
      <c r="X109" s="105"/>
      <c r="Y109" s="105"/>
      <c r="Z109" s="105"/>
      <c r="AA109" s="105"/>
    </row>
    <row r="110" spans="1:27" x14ac:dyDescent="0.25">
      <c r="A110" s="105"/>
      <c r="D110" s="105"/>
      <c r="E110" s="105"/>
      <c r="F110" s="124"/>
      <c r="G110" s="121"/>
      <c r="H110" s="121"/>
      <c r="I110" s="121"/>
      <c r="J110" s="117"/>
      <c r="X110" s="105"/>
      <c r="Y110" s="105"/>
      <c r="Z110" s="105"/>
    </row>
    <row r="111" spans="1:27" x14ac:dyDescent="0.25">
      <c r="X111" s="105"/>
      <c r="Y111" s="105"/>
      <c r="Z111" s="105"/>
      <c r="AA111" s="105"/>
    </row>
    <row r="112" spans="1:27" x14ac:dyDescent="0.25">
      <c r="X112" s="105"/>
      <c r="Y112" s="105"/>
      <c r="Z112" s="105"/>
      <c r="AA112" s="105"/>
    </row>
    <row r="113" spans="1:27" x14ac:dyDescent="0.25">
      <c r="X113" s="105"/>
      <c r="Y113" s="105"/>
      <c r="Z113" s="105"/>
      <c r="AA113" s="105"/>
    </row>
    <row r="114" spans="1:27" x14ac:dyDescent="0.25">
      <c r="X114" s="105"/>
      <c r="Y114" s="105"/>
      <c r="Z114" s="105"/>
      <c r="AA114" s="105"/>
    </row>
    <row r="115" spans="1:27" x14ac:dyDescent="0.25">
      <c r="X115" s="105"/>
      <c r="Y115" s="105"/>
      <c r="Z115" s="105"/>
    </row>
    <row r="116" spans="1:27" x14ac:dyDescent="0.25">
      <c r="X116" s="105"/>
      <c r="Y116" s="105"/>
      <c r="Z116" s="105"/>
      <c r="AA116" s="105"/>
    </row>
    <row r="117" spans="1:27" x14ac:dyDescent="0.25">
      <c r="X117" s="105"/>
      <c r="Y117" s="105"/>
      <c r="Z117" s="105"/>
      <c r="AA117" s="105"/>
    </row>
    <row r="118" spans="1:27" x14ac:dyDescent="0.25">
      <c r="X118" s="105"/>
      <c r="Y118" s="105"/>
      <c r="Z118" s="105"/>
      <c r="AA118" s="105"/>
    </row>
    <row r="119" spans="1:27" x14ac:dyDescent="0.25">
      <c r="A119" s="105"/>
      <c r="D119" s="105"/>
      <c r="E119" s="105"/>
      <c r="F119" s="121"/>
      <c r="G119" s="121"/>
      <c r="H119" s="121"/>
      <c r="I119" s="121"/>
      <c r="J119" s="117"/>
      <c r="X119" s="105"/>
      <c r="Y119" s="105"/>
      <c r="Z119" s="105"/>
      <c r="AA119" s="105"/>
    </row>
    <row r="120" spans="1:27" x14ac:dyDescent="0.25">
      <c r="A120" s="105"/>
      <c r="D120" s="105"/>
      <c r="E120" s="105"/>
      <c r="F120" s="124"/>
      <c r="G120" s="121"/>
      <c r="H120" s="121"/>
      <c r="I120" s="121"/>
      <c r="J120" s="117"/>
      <c r="X120" s="105"/>
      <c r="Y120" s="105"/>
      <c r="Z120" s="105"/>
      <c r="AA120" s="105"/>
    </row>
    <row r="121" spans="1:27" x14ac:dyDescent="0.25">
      <c r="A121" s="105"/>
      <c r="D121" s="105"/>
      <c r="E121" s="105"/>
      <c r="F121" s="121"/>
      <c r="G121" s="121"/>
      <c r="H121" s="121"/>
      <c r="I121" s="121"/>
      <c r="J121" s="117"/>
      <c r="X121" s="105"/>
      <c r="Y121" s="105"/>
      <c r="Z121" s="105"/>
      <c r="AA121" s="105"/>
    </row>
    <row r="122" spans="1:27" x14ac:dyDescent="0.25">
      <c r="A122" s="105"/>
      <c r="E122" s="105"/>
      <c r="F122" s="124"/>
      <c r="G122" s="121"/>
      <c r="H122" s="121"/>
      <c r="I122" s="121"/>
      <c r="J122" s="117"/>
      <c r="X122" s="105"/>
      <c r="Y122" s="105"/>
      <c r="Z122" s="105"/>
    </row>
    <row r="123" spans="1:27" x14ac:dyDescent="0.25">
      <c r="X123" s="105"/>
      <c r="Y123" s="105"/>
      <c r="Z123" s="105"/>
      <c r="AA123" s="105"/>
    </row>
    <row r="124" spans="1:27" x14ac:dyDescent="0.25">
      <c r="X124" s="105"/>
      <c r="Y124" s="105"/>
      <c r="Z124" s="105"/>
      <c r="AA124" s="105"/>
    </row>
    <row r="125" spans="1:27" x14ac:dyDescent="0.25">
      <c r="A125" s="105"/>
      <c r="D125" s="105"/>
      <c r="E125" s="105"/>
      <c r="F125" s="121"/>
      <c r="G125" s="121"/>
      <c r="H125" s="121"/>
      <c r="I125" s="121"/>
      <c r="J125" s="117"/>
      <c r="X125" s="105"/>
      <c r="Y125" s="105"/>
      <c r="Z125" s="105"/>
      <c r="AA125" s="105"/>
    </row>
    <row r="126" spans="1:27" x14ac:dyDescent="0.25">
      <c r="A126" s="105"/>
      <c r="D126" s="105"/>
      <c r="E126" s="105"/>
      <c r="F126" s="124"/>
      <c r="G126" s="121"/>
      <c r="H126" s="121"/>
      <c r="I126" s="121"/>
      <c r="J126" s="117"/>
      <c r="X126" s="105"/>
      <c r="Y126" s="105"/>
      <c r="Z126" s="105"/>
    </row>
    <row r="127" spans="1:27" x14ac:dyDescent="0.25">
      <c r="A127" s="105"/>
      <c r="D127" s="105"/>
      <c r="E127" s="105"/>
      <c r="F127" s="121"/>
      <c r="G127" s="121"/>
      <c r="H127" s="121"/>
      <c r="I127" s="121"/>
      <c r="J127" s="117"/>
      <c r="X127" s="105"/>
      <c r="Y127" s="105"/>
      <c r="Z127" s="105"/>
      <c r="AA127" s="105"/>
    </row>
    <row r="128" spans="1:27" x14ac:dyDescent="0.25">
      <c r="A128" s="105"/>
      <c r="D128" s="105"/>
      <c r="E128" s="105"/>
      <c r="F128" s="124"/>
      <c r="G128" s="121"/>
      <c r="H128" s="121"/>
      <c r="I128" s="121"/>
      <c r="J128" s="117"/>
      <c r="X128" s="105"/>
      <c r="Y128" s="105"/>
      <c r="Z128" s="105"/>
      <c r="AA128" s="105"/>
    </row>
    <row r="129" spans="1:27" x14ac:dyDescent="0.25">
      <c r="A129" s="105"/>
      <c r="D129" s="105"/>
      <c r="E129" s="105"/>
      <c r="F129" s="121"/>
      <c r="G129" s="121"/>
      <c r="H129" s="121"/>
      <c r="I129" s="121"/>
      <c r="J129" s="117"/>
      <c r="X129" s="105"/>
      <c r="Y129" s="105"/>
      <c r="Z129" s="105"/>
      <c r="AA129" s="105"/>
    </row>
    <row r="130" spans="1:27" x14ac:dyDescent="0.25">
      <c r="A130" s="105"/>
      <c r="E130" s="105"/>
      <c r="F130" s="124"/>
      <c r="G130" s="121"/>
      <c r="H130" s="121"/>
      <c r="I130" s="121"/>
      <c r="J130" s="117"/>
      <c r="X130" s="105"/>
      <c r="Y130" s="105"/>
      <c r="Z130" s="105"/>
    </row>
    <row r="131" spans="1:27" x14ac:dyDescent="0.25">
      <c r="D131" s="105"/>
      <c r="E131" s="105"/>
    </row>
    <row r="132" spans="1:27" x14ac:dyDescent="0.25">
      <c r="D132" s="105"/>
      <c r="E132" s="105"/>
    </row>
    <row r="135" spans="1:27" x14ac:dyDescent="0.25">
      <c r="L135" s="124"/>
      <c r="M135" s="125"/>
      <c r="N135" s="125"/>
      <c r="O135" s="125"/>
      <c r="P135" s="120"/>
      <c r="Q135" s="120"/>
    </row>
    <row r="136" spans="1:27" x14ac:dyDescent="0.25">
      <c r="L136" s="124"/>
      <c r="M136" s="125"/>
      <c r="N136" s="125"/>
      <c r="O136" s="125"/>
      <c r="P136" s="120"/>
      <c r="Q136" s="120"/>
    </row>
    <row r="137" spans="1:27" x14ac:dyDescent="0.25">
      <c r="L137" s="124"/>
      <c r="M137" s="125"/>
      <c r="N137" s="125"/>
      <c r="O137" s="125"/>
      <c r="P137" s="120"/>
      <c r="Q137" s="120"/>
    </row>
    <row r="138" spans="1:27" x14ac:dyDescent="0.25">
      <c r="L138" s="124"/>
      <c r="M138" s="125"/>
      <c r="N138" s="125"/>
      <c r="O138" s="125"/>
      <c r="P138" s="120"/>
      <c r="Q138" s="120"/>
    </row>
    <row r="139" spans="1:27" x14ac:dyDescent="0.25">
      <c r="L139" s="124"/>
      <c r="M139" s="125"/>
      <c r="N139" s="125"/>
      <c r="O139" s="125"/>
      <c r="P139" s="120"/>
      <c r="Q139" s="120"/>
    </row>
    <row r="140" spans="1:27" x14ac:dyDescent="0.25">
      <c r="L140" s="124"/>
      <c r="M140" s="125"/>
      <c r="N140" s="125"/>
      <c r="O140" s="125"/>
      <c r="P140" s="120"/>
      <c r="Q140" s="120"/>
    </row>
    <row r="141" spans="1:27" x14ac:dyDescent="0.25">
      <c r="L141" s="124"/>
      <c r="M141" s="125"/>
      <c r="N141" s="125"/>
      <c r="O141" s="125"/>
      <c r="P141" s="120"/>
      <c r="Q141" s="120"/>
    </row>
    <row r="142" spans="1:27" x14ac:dyDescent="0.25">
      <c r="L142" s="124"/>
      <c r="M142" s="125"/>
      <c r="N142" s="125"/>
      <c r="O142" s="125"/>
      <c r="P142" s="120"/>
      <c r="Q142" s="120"/>
    </row>
    <row r="143" spans="1:27" x14ac:dyDescent="0.25">
      <c r="L143" s="124"/>
      <c r="M143" s="120"/>
      <c r="N143" s="120"/>
      <c r="O143" s="120"/>
      <c r="P143" s="120"/>
      <c r="Q143" s="120"/>
    </row>
    <row r="144" spans="1:27" x14ac:dyDescent="0.25">
      <c r="L144" s="124"/>
      <c r="M144" s="120"/>
      <c r="N144" s="120"/>
      <c r="O144" s="120"/>
      <c r="P144" s="120"/>
      <c r="Q144" s="120"/>
    </row>
    <row r="145" spans="12:17" x14ac:dyDescent="0.25">
      <c r="L145" s="124"/>
      <c r="M145" s="120"/>
      <c r="N145" s="120"/>
      <c r="O145" s="120"/>
      <c r="P145" s="120"/>
      <c r="Q145" s="120"/>
    </row>
  </sheetData>
  <mergeCells count="10">
    <mergeCell ref="AC1:AD1"/>
    <mergeCell ref="AE1:AG1"/>
    <mergeCell ref="AH1:AK1"/>
    <mergeCell ref="AL1:AM1"/>
    <mergeCell ref="T1:U1"/>
    <mergeCell ref="F1:G1"/>
    <mergeCell ref="H1:I1"/>
    <mergeCell ref="K1:L1"/>
    <mergeCell ref="M1:O1"/>
    <mergeCell ref="P1:S1"/>
  </mergeCells>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38"/>
  <sheetViews>
    <sheetView workbookViewId="0">
      <selection activeCell="C30" sqref="C30"/>
    </sheetView>
  </sheetViews>
  <sheetFormatPr defaultColWidth="11" defaultRowHeight="15.75" x14ac:dyDescent="0.25"/>
  <cols>
    <col min="1" max="1" width="3.875" customWidth="1"/>
    <col min="2" max="2" width="21.875" bestFit="1" customWidth="1"/>
    <col min="3" max="3" width="20.625" bestFit="1" customWidth="1"/>
    <col min="4" max="5" width="11.375" style="147" bestFit="1" customWidth="1"/>
    <col min="6" max="6" width="5.875" customWidth="1"/>
    <col min="7" max="7" width="5.875" style="32" bestFit="1" customWidth="1"/>
    <col min="8" max="8" width="11" bestFit="1" customWidth="1"/>
    <col min="9" max="9" width="3.625" customWidth="1"/>
    <col min="10" max="10" width="8.5" style="44" bestFit="1" customWidth="1"/>
    <col min="11" max="11" width="17.5" style="44" bestFit="1" customWidth="1"/>
    <col min="12" max="12" width="13.125" bestFit="1" customWidth="1"/>
    <col min="13" max="13" width="12" bestFit="1" customWidth="1"/>
    <col min="14" max="14" width="22.125" bestFit="1" customWidth="1"/>
    <col min="15" max="15" width="20.125" bestFit="1" customWidth="1"/>
    <col min="16" max="16" width="16.625" bestFit="1" customWidth="1"/>
    <col min="17" max="17" width="14.625" bestFit="1" customWidth="1"/>
    <col min="18" max="18" width="13.125" bestFit="1" customWidth="1"/>
    <col min="19" max="19" width="11.375" bestFit="1" customWidth="1"/>
    <col min="20" max="20" width="13.125" bestFit="1" customWidth="1"/>
    <col min="21" max="21" width="11.125" bestFit="1" customWidth="1"/>
    <col min="22" max="22" width="12.375" bestFit="1" customWidth="1"/>
    <col min="23" max="23" width="11.125" bestFit="1" customWidth="1"/>
    <col min="24" max="24" width="12.625" bestFit="1" customWidth="1"/>
    <col min="25" max="25" width="10.625" bestFit="1" customWidth="1"/>
    <col min="26" max="26" width="15.125" bestFit="1" customWidth="1"/>
    <col min="27" max="27" width="17.625" bestFit="1" customWidth="1"/>
    <col min="28" max="28" width="3.625" customWidth="1"/>
  </cols>
  <sheetData>
    <row r="1" spans="1:28" x14ac:dyDescent="0.25">
      <c r="A1" s="25"/>
      <c r="B1" s="25"/>
      <c r="C1" s="25"/>
      <c r="D1" s="150"/>
      <c r="E1" s="150"/>
      <c r="F1" s="25"/>
      <c r="G1" s="41"/>
      <c r="H1" s="25"/>
      <c r="I1" s="25"/>
      <c r="J1" s="45"/>
      <c r="K1" s="151"/>
      <c r="L1" s="198" t="s">
        <v>177</v>
      </c>
      <c r="M1" s="198"/>
      <c r="N1" s="198"/>
      <c r="O1" s="198"/>
      <c r="P1" s="198"/>
      <c r="Q1" s="198"/>
      <c r="R1" s="198"/>
      <c r="S1" s="198"/>
      <c r="T1" s="198"/>
      <c r="U1" s="198"/>
      <c r="V1" s="198"/>
      <c r="W1" s="198"/>
      <c r="X1" s="198"/>
      <c r="Y1" s="198"/>
      <c r="Z1" s="198"/>
      <c r="AA1" s="198"/>
      <c r="AB1" s="25"/>
    </row>
    <row r="2" spans="1:28" ht="18" x14ac:dyDescent="0.25">
      <c r="A2" s="128"/>
      <c r="B2" s="129" t="s">
        <v>85</v>
      </c>
      <c r="C2" s="129" t="s">
        <v>86</v>
      </c>
      <c r="D2" s="145" t="s">
        <v>87</v>
      </c>
      <c r="E2" s="145" t="s">
        <v>88</v>
      </c>
      <c r="F2" s="130" t="s">
        <v>81</v>
      </c>
      <c r="G2" s="148" t="s">
        <v>149</v>
      </c>
      <c r="H2" s="129" t="s">
        <v>89</v>
      </c>
      <c r="I2" s="128"/>
      <c r="J2" s="48" t="s">
        <v>166</v>
      </c>
      <c r="K2" s="30" t="s">
        <v>158</v>
      </c>
      <c r="L2" s="30" t="s">
        <v>157</v>
      </c>
      <c r="M2" s="30" t="s">
        <v>169</v>
      </c>
      <c r="N2" s="30" t="s">
        <v>178</v>
      </c>
      <c r="O2" s="30" t="s">
        <v>170</v>
      </c>
      <c r="P2" s="30" t="s">
        <v>147</v>
      </c>
      <c r="Q2" s="30" t="s">
        <v>171</v>
      </c>
      <c r="R2" s="30" t="s">
        <v>70</v>
      </c>
      <c r="S2" s="30" t="s">
        <v>172</v>
      </c>
      <c r="T2" s="30" t="s">
        <v>179</v>
      </c>
      <c r="U2" s="30" t="s">
        <v>173</v>
      </c>
      <c r="V2" s="30" t="s">
        <v>144</v>
      </c>
      <c r="W2" s="30" t="s">
        <v>174</v>
      </c>
      <c r="X2" s="30" t="s">
        <v>164</v>
      </c>
      <c r="Y2" s="30" t="s">
        <v>175</v>
      </c>
      <c r="Z2" s="30" t="s">
        <v>151</v>
      </c>
      <c r="AA2" s="30" t="s">
        <v>176</v>
      </c>
      <c r="AB2" s="128"/>
    </row>
    <row r="3" spans="1:28" ht="18" x14ac:dyDescent="0.25">
      <c r="A3" s="128"/>
      <c r="B3" s="44" t="s">
        <v>157</v>
      </c>
      <c r="C3" s="44" t="s">
        <v>158</v>
      </c>
      <c r="D3" s="132">
        <v>9.3053730373195503E-2</v>
      </c>
      <c r="E3" s="132">
        <v>2.21028811583759</v>
      </c>
      <c r="F3" s="131">
        <v>16</v>
      </c>
      <c r="G3" s="133">
        <v>0.79884500000000003</v>
      </c>
      <c r="H3" s="134" t="s">
        <v>165</v>
      </c>
      <c r="I3" s="25"/>
      <c r="J3" s="44" t="s">
        <v>167</v>
      </c>
      <c r="K3" s="38">
        <f>SQRT(2*AVERAGE('branch dissections'!I3:I3))</f>
        <v>0.7017240625773068</v>
      </c>
      <c r="L3" s="152">
        <v>4.3175195E-2</v>
      </c>
      <c r="M3" s="152">
        <v>3.1845567599999999E-2</v>
      </c>
      <c r="N3" s="152">
        <v>6.7390099999999997E-5</v>
      </c>
      <c r="O3" s="152">
        <v>7.5873999999999999E-5</v>
      </c>
      <c r="P3" s="152">
        <v>1.7581899999999998E-5</v>
      </c>
      <c r="Q3" s="152">
        <v>2.0460400000000001E-5</v>
      </c>
      <c r="R3" s="152">
        <v>0.119255823</v>
      </c>
      <c r="S3" s="152">
        <v>0.1563779079</v>
      </c>
      <c r="T3" s="152">
        <v>6.5192604799999998E-2</v>
      </c>
      <c r="U3" s="152">
        <v>8.3066672600000002E-2</v>
      </c>
      <c r="V3" s="152">
        <v>2.9145069199999998E-2</v>
      </c>
      <c r="W3" s="152">
        <v>2.0702855700000002E-2</v>
      </c>
      <c r="X3" s="152">
        <v>6.0561481100000002E-2</v>
      </c>
      <c r="Y3" s="152">
        <v>4.32513733E-2</v>
      </c>
      <c r="Z3" s="152">
        <v>1.6740463999999999E-3</v>
      </c>
      <c r="AA3" s="152">
        <v>1.2348254999999999E-3</v>
      </c>
      <c r="AB3" s="25"/>
    </row>
    <row r="4" spans="1:28" ht="18" x14ac:dyDescent="0.25">
      <c r="A4" s="128"/>
      <c r="B4" s="44" t="s">
        <v>160</v>
      </c>
      <c r="C4" s="44" t="s">
        <v>158</v>
      </c>
      <c r="D4" s="132">
        <v>1.49059290131318E-4</v>
      </c>
      <c r="E4" s="132">
        <v>2.2849390536080501</v>
      </c>
      <c r="F4" s="131">
        <v>16</v>
      </c>
      <c r="G4" s="133">
        <v>0.66194500000000001</v>
      </c>
      <c r="H4" s="134" t="s">
        <v>165</v>
      </c>
      <c r="I4" s="135"/>
      <c r="J4" s="44" t="s">
        <v>168</v>
      </c>
      <c r="K4" s="38">
        <f>SQRT(4*2)</f>
        <v>2.8284271247461903</v>
      </c>
      <c r="L4" s="152">
        <v>0.92635685779999999</v>
      </c>
      <c r="M4" s="152">
        <v>0.2380513517</v>
      </c>
      <c r="N4" s="152">
        <v>1.6036583000000001E-3</v>
      </c>
      <c r="O4" s="152">
        <v>6.3080020000000001E-4</v>
      </c>
      <c r="P4" s="152">
        <v>6.8099139999999996E-4</v>
      </c>
      <c r="Q4" s="152">
        <v>2.8025050000000002E-4</v>
      </c>
      <c r="R4" s="152">
        <v>1.0825995456999999</v>
      </c>
      <c r="S4" s="152">
        <v>0.48177921089999998</v>
      </c>
      <c r="T4" s="152">
        <v>0.65161835300000004</v>
      </c>
      <c r="U4" s="152">
        <v>0.28269541440000001</v>
      </c>
      <c r="V4" s="152">
        <v>0.34073015029999998</v>
      </c>
      <c r="W4" s="152">
        <v>8.3555668400000005E-2</v>
      </c>
      <c r="X4" s="152">
        <v>1.1270424029999999</v>
      </c>
      <c r="Y4" s="152">
        <v>0.2823922304</v>
      </c>
      <c r="Z4" s="152">
        <v>4.5282576499999998E-2</v>
      </c>
      <c r="AA4" s="152">
        <v>1.1848245800000001E-2</v>
      </c>
      <c r="AB4" s="135"/>
    </row>
    <row r="5" spans="1:28" ht="18" x14ac:dyDescent="0.25">
      <c r="A5" s="128"/>
      <c r="B5" s="44" t="s">
        <v>161</v>
      </c>
      <c r="C5" s="44" t="s">
        <v>158</v>
      </c>
      <c r="D5" s="132">
        <v>4.3935530536148899E-5</v>
      </c>
      <c r="E5" s="132">
        <v>2.6361176549263599</v>
      </c>
      <c r="F5" s="131">
        <v>16</v>
      </c>
      <c r="G5" s="133">
        <v>0.70987999999999996</v>
      </c>
      <c r="H5" s="134" t="s">
        <v>165</v>
      </c>
      <c r="I5" s="135"/>
      <c r="J5" s="45"/>
      <c r="K5" s="45"/>
      <c r="L5" s="25"/>
      <c r="M5" s="25"/>
      <c r="N5" s="25"/>
      <c r="O5" s="25"/>
      <c r="P5" s="25"/>
      <c r="Q5" s="25"/>
      <c r="R5" s="25"/>
      <c r="S5" s="25"/>
      <c r="T5" s="25"/>
      <c r="U5" s="25"/>
      <c r="V5" s="25"/>
      <c r="W5" s="25"/>
      <c r="X5" s="25"/>
      <c r="Y5" s="25"/>
      <c r="Z5" s="25"/>
      <c r="AA5" s="25"/>
      <c r="AB5" s="135"/>
    </row>
    <row r="6" spans="1:28" ht="18" x14ac:dyDescent="0.25">
      <c r="A6" s="128"/>
      <c r="B6" s="44" t="s">
        <v>162</v>
      </c>
      <c r="C6" s="44" t="s">
        <v>158</v>
      </c>
      <c r="D6" s="132">
        <v>0.20721349000308301</v>
      </c>
      <c r="E6" s="132">
        <v>1.5902065693877401</v>
      </c>
      <c r="F6" s="131">
        <v>16</v>
      </c>
      <c r="G6" s="133">
        <v>0.39304699999999998</v>
      </c>
      <c r="H6" s="134" t="s">
        <v>165</v>
      </c>
      <c r="I6" s="135"/>
      <c r="J6" s="45"/>
      <c r="K6" s="45"/>
      <c r="L6" s="25"/>
      <c r="M6" s="25"/>
      <c r="N6" s="25"/>
      <c r="O6" s="25"/>
      <c r="P6" s="25"/>
      <c r="Q6" s="25"/>
      <c r="R6" s="25"/>
      <c r="S6" s="25"/>
      <c r="T6" s="25"/>
      <c r="U6" s="25"/>
      <c r="V6" s="25"/>
      <c r="W6" s="25"/>
      <c r="X6" s="25"/>
      <c r="Y6" s="25"/>
      <c r="Z6" s="25"/>
      <c r="AA6" s="25"/>
      <c r="AB6" s="135"/>
    </row>
    <row r="7" spans="1:28" ht="18" x14ac:dyDescent="0.25">
      <c r="A7" s="128"/>
      <c r="B7" s="44" t="s">
        <v>163</v>
      </c>
      <c r="C7" s="44" t="s">
        <v>158</v>
      </c>
      <c r="D7" s="132">
        <v>0.11603999692245399</v>
      </c>
      <c r="E7" s="132">
        <v>1.6596033837499999</v>
      </c>
      <c r="F7" s="131">
        <v>16</v>
      </c>
      <c r="G7" s="133">
        <v>0.42793900000000001</v>
      </c>
      <c r="H7" s="134" t="s">
        <v>165</v>
      </c>
      <c r="I7" s="135"/>
      <c r="J7" s="45"/>
      <c r="K7" s="45"/>
      <c r="L7" s="25"/>
      <c r="M7" s="25"/>
      <c r="N7" s="25"/>
      <c r="O7" s="25"/>
      <c r="P7" s="25"/>
      <c r="Q7" s="25"/>
      <c r="R7" s="25"/>
      <c r="S7" s="25"/>
      <c r="T7" s="25"/>
      <c r="U7" s="25"/>
      <c r="V7" s="25"/>
      <c r="W7" s="25"/>
      <c r="X7" s="25"/>
      <c r="Y7" s="25"/>
      <c r="Z7" s="25"/>
      <c r="AA7" s="25"/>
      <c r="AB7" s="135"/>
    </row>
    <row r="8" spans="1:28" ht="18" x14ac:dyDescent="0.25">
      <c r="A8" s="128"/>
      <c r="B8" s="44" t="s">
        <v>144</v>
      </c>
      <c r="C8" s="44" t="s">
        <v>158</v>
      </c>
      <c r="D8" s="132">
        <v>5.3953353453700802E-2</v>
      </c>
      <c r="E8" s="132">
        <v>1.7725633835483801</v>
      </c>
      <c r="F8" s="131">
        <v>31</v>
      </c>
      <c r="G8" s="133">
        <v>0.57918199999999997</v>
      </c>
      <c r="H8" s="134" t="s">
        <v>165</v>
      </c>
      <c r="I8" s="135"/>
      <c r="J8" s="45"/>
      <c r="K8" s="45"/>
      <c r="L8" s="25"/>
      <c r="M8" s="25"/>
      <c r="N8" s="25"/>
      <c r="O8" s="25"/>
      <c r="P8" s="25"/>
      <c r="Q8" s="25"/>
      <c r="R8" s="25"/>
      <c r="S8" s="25"/>
      <c r="T8" s="25"/>
      <c r="U8" s="25"/>
      <c r="V8" s="25"/>
      <c r="W8" s="25"/>
      <c r="X8" s="25"/>
      <c r="Y8" s="25"/>
      <c r="Z8" s="25"/>
      <c r="AA8" s="25"/>
      <c r="AB8" s="135"/>
    </row>
    <row r="9" spans="1:28" ht="18" x14ac:dyDescent="0.25">
      <c r="A9" s="128"/>
      <c r="B9" s="44" t="s">
        <v>150</v>
      </c>
      <c r="C9" s="44" t="s">
        <v>158</v>
      </c>
      <c r="D9" s="132">
        <v>0.12595558621741501</v>
      </c>
      <c r="E9" s="132">
        <v>2.1077031880313202</v>
      </c>
      <c r="F9" s="131">
        <v>31</v>
      </c>
      <c r="G9" s="133">
        <v>0.678392</v>
      </c>
      <c r="H9" s="134" t="s">
        <v>165</v>
      </c>
      <c r="I9" s="135"/>
      <c r="J9" s="45"/>
      <c r="K9" s="45"/>
      <c r="L9" s="25"/>
      <c r="M9" s="25"/>
      <c r="N9" s="25"/>
      <c r="O9" s="25"/>
      <c r="P9" s="25"/>
      <c r="Q9" s="25"/>
      <c r="R9" s="25"/>
      <c r="S9" s="25"/>
      <c r="T9" s="25"/>
      <c r="U9" s="25"/>
      <c r="V9" s="25"/>
      <c r="W9" s="25"/>
      <c r="X9" s="25"/>
      <c r="Y9" s="25"/>
      <c r="Z9" s="25"/>
      <c r="AA9" s="25"/>
      <c r="AB9" s="135"/>
    </row>
    <row r="10" spans="1:28" ht="18" x14ac:dyDescent="0.25">
      <c r="A10" s="128"/>
      <c r="B10" s="44" t="s">
        <v>151</v>
      </c>
      <c r="C10" s="44" t="s">
        <v>158</v>
      </c>
      <c r="D10" s="132">
        <v>3.8235627937368102E-3</v>
      </c>
      <c r="E10" s="132">
        <v>2.3773110493095801</v>
      </c>
      <c r="F10" s="131">
        <v>31</v>
      </c>
      <c r="G10" s="133">
        <v>0.72840800000000006</v>
      </c>
      <c r="H10" s="134" t="s">
        <v>165</v>
      </c>
      <c r="I10" s="135"/>
      <c r="J10" s="45"/>
      <c r="K10" s="45"/>
      <c r="L10" s="25"/>
      <c r="M10" s="25"/>
      <c r="N10" s="25"/>
      <c r="O10" s="25"/>
      <c r="P10" s="25"/>
      <c r="Q10" s="25"/>
      <c r="R10" s="25"/>
      <c r="S10" s="25"/>
      <c r="T10" s="25"/>
      <c r="U10" s="25"/>
      <c r="V10" s="25"/>
      <c r="W10" s="25"/>
      <c r="X10" s="25"/>
      <c r="Y10" s="25"/>
      <c r="Z10" s="25"/>
      <c r="AA10" s="25"/>
      <c r="AB10" s="135"/>
    </row>
    <row r="11" spans="1:28" x14ac:dyDescent="0.25">
      <c r="A11" s="128"/>
      <c r="B11" s="144"/>
      <c r="C11" s="144"/>
      <c r="D11" s="146"/>
      <c r="E11" s="146"/>
      <c r="F11" s="144"/>
      <c r="G11" s="149"/>
      <c r="H11" s="144"/>
      <c r="I11" s="135"/>
      <c r="J11" s="45"/>
      <c r="K11" s="45"/>
      <c r="L11" s="25"/>
      <c r="M11" s="25"/>
      <c r="N11" s="25"/>
      <c r="O11" s="25"/>
      <c r="P11" s="25"/>
      <c r="Q11" s="25"/>
      <c r="R11" s="25"/>
      <c r="S11" s="25"/>
      <c r="T11" s="25"/>
      <c r="U11" s="25"/>
      <c r="V11" s="25"/>
      <c r="W11" s="25"/>
      <c r="X11" s="25"/>
      <c r="Y11" s="25"/>
      <c r="Z11" s="25"/>
      <c r="AA11" s="25"/>
      <c r="AB11" s="135"/>
    </row>
    <row r="12" spans="1:28" x14ac:dyDescent="0.25">
      <c r="A12" s="140"/>
      <c r="C12" s="131"/>
      <c r="D12" s="132"/>
      <c r="E12" s="132"/>
      <c r="F12" s="131"/>
      <c r="G12" s="133"/>
      <c r="H12" s="131"/>
      <c r="I12" s="127"/>
      <c r="AB12" s="127"/>
    </row>
    <row r="13" spans="1:28" x14ac:dyDescent="0.25">
      <c r="A13" s="140"/>
      <c r="B13" s="131"/>
      <c r="C13" s="131"/>
      <c r="D13" s="132"/>
      <c r="E13" s="132"/>
      <c r="F13" s="131"/>
      <c r="G13" s="133"/>
      <c r="H13" s="131"/>
      <c r="I13" s="127"/>
      <c r="AB13" s="127"/>
    </row>
    <row r="14" spans="1:28" x14ac:dyDescent="0.25">
      <c r="A14" s="140"/>
      <c r="B14" s="131"/>
      <c r="C14" s="131"/>
      <c r="D14" s="132"/>
      <c r="E14" s="132"/>
      <c r="F14" s="131"/>
      <c r="G14" s="133"/>
      <c r="H14" s="131"/>
      <c r="I14" s="127"/>
      <c r="AB14" s="127"/>
    </row>
    <row r="15" spans="1:28" x14ac:dyDescent="0.25">
      <c r="A15" s="140"/>
      <c r="B15" s="131"/>
      <c r="C15" s="131"/>
      <c r="D15" s="132"/>
      <c r="E15" s="132"/>
      <c r="F15" s="131"/>
      <c r="G15" s="133"/>
      <c r="H15" s="131"/>
      <c r="I15" s="127"/>
      <c r="AB15" s="127"/>
    </row>
    <row r="16" spans="1:28" x14ac:dyDescent="0.25">
      <c r="A16" s="140"/>
      <c r="B16" s="131"/>
      <c r="C16" s="131"/>
      <c r="D16" s="132"/>
      <c r="E16" s="132"/>
      <c r="F16" s="131"/>
      <c r="G16" s="133"/>
      <c r="H16" s="131"/>
      <c r="I16" s="127"/>
      <c r="AB16" s="127"/>
    </row>
    <row r="17" spans="1:28" x14ac:dyDescent="0.25">
      <c r="A17" s="140"/>
      <c r="B17" s="131"/>
      <c r="C17" s="131"/>
      <c r="D17" s="132"/>
      <c r="E17" s="132"/>
      <c r="F17" s="131"/>
      <c r="G17" s="133"/>
      <c r="H17" s="131"/>
      <c r="I17" s="127"/>
      <c r="AB17" s="127"/>
    </row>
    <row r="18" spans="1:28" x14ac:dyDescent="0.25">
      <c r="A18" s="140"/>
      <c r="B18" s="131"/>
      <c r="C18" s="131"/>
      <c r="D18" s="132"/>
      <c r="E18" s="132"/>
      <c r="F18" s="131"/>
      <c r="G18" s="133"/>
      <c r="H18" s="131"/>
      <c r="I18" s="127"/>
      <c r="AB18" s="127"/>
    </row>
    <row r="19" spans="1:28" x14ac:dyDescent="0.25">
      <c r="A19" s="140"/>
      <c r="B19" s="131"/>
      <c r="C19" s="131"/>
      <c r="D19" s="132"/>
      <c r="E19" s="132"/>
      <c r="F19" s="131"/>
      <c r="G19" s="133"/>
      <c r="H19" s="131"/>
      <c r="I19" s="127"/>
      <c r="AB19" s="127"/>
    </row>
    <row r="20" spans="1:28" x14ac:dyDescent="0.25">
      <c r="A20" s="140"/>
      <c r="B20" s="131"/>
      <c r="C20" s="131"/>
      <c r="D20" s="132"/>
      <c r="E20" s="132"/>
      <c r="F20" s="131"/>
      <c r="G20" s="133"/>
      <c r="H20" s="131"/>
      <c r="I20" s="127"/>
      <c r="AB20" s="127"/>
    </row>
    <row r="21" spans="1:28" x14ac:dyDescent="0.25">
      <c r="A21" s="140"/>
      <c r="B21" s="131"/>
      <c r="C21" s="131"/>
      <c r="D21" s="132"/>
      <c r="E21" s="132"/>
      <c r="F21" s="131"/>
      <c r="G21" s="133"/>
      <c r="H21" s="131"/>
      <c r="I21" s="127"/>
      <c r="AB21" s="127"/>
    </row>
    <row r="22" spans="1:28" x14ac:dyDescent="0.25">
      <c r="A22" s="140"/>
      <c r="B22" s="131"/>
      <c r="C22" s="131"/>
      <c r="D22" s="132"/>
      <c r="E22" s="132"/>
      <c r="F22" s="131"/>
      <c r="G22" s="133"/>
      <c r="H22" s="131"/>
      <c r="I22" s="127"/>
      <c r="AB22" s="127"/>
    </row>
    <row r="23" spans="1:28" x14ac:dyDescent="0.25">
      <c r="A23" s="140"/>
      <c r="B23" s="131"/>
      <c r="C23" s="131"/>
      <c r="D23" s="132"/>
      <c r="E23" s="132"/>
      <c r="F23" s="131"/>
      <c r="G23" s="133"/>
      <c r="H23" s="131"/>
      <c r="I23" s="127"/>
      <c r="AB23" s="127"/>
    </row>
    <row r="24" spans="1:28" x14ac:dyDescent="0.25">
      <c r="A24" s="140"/>
      <c r="B24" s="131"/>
      <c r="C24" s="131"/>
      <c r="D24" s="132"/>
      <c r="E24" s="132"/>
      <c r="F24" s="131"/>
      <c r="G24" s="133"/>
      <c r="H24" s="131"/>
      <c r="I24" s="127"/>
      <c r="AB24" s="127"/>
    </row>
    <row r="25" spans="1:28" x14ac:dyDescent="0.25">
      <c r="A25" s="140"/>
      <c r="B25" s="131"/>
      <c r="C25" s="131"/>
      <c r="D25" s="132"/>
      <c r="E25" s="132"/>
      <c r="F25" s="131"/>
      <c r="G25" s="133"/>
      <c r="H25" s="131"/>
      <c r="I25" s="127"/>
      <c r="AB25" s="127"/>
    </row>
    <row r="26" spans="1:28" x14ac:dyDescent="0.25">
      <c r="A26" s="140"/>
      <c r="B26" s="131"/>
      <c r="C26" s="131"/>
      <c r="D26" s="132"/>
      <c r="E26" s="132"/>
      <c r="F26" s="131"/>
      <c r="G26" s="133"/>
      <c r="H26" s="131"/>
      <c r="I26" s="127"/>
      <c r="AB26" s="127"/>
    </row>
    <row r="27" spans="1:28" x14ac:dyDescent="0.25">
      <c r="A27" s="127"/>
      <c r="B27" s="131"/>
      <c r="C27" s="131"/>
      <c r="D27" s="132"/>
      <c r="E27" s="132"/>
      <c r="F27" s="131"/>
      <c r="G27" s="133"/>
      <c r="H27" s="131"/>
      <c r="I27" s="127"/>
      <c r="AB27" s="127"/>
    </row>
    <row r="28" spans="1:28" x14ac:dyDescent="0.25">
      <c r="A28" s="127"/>
      <c r="B28" s="131"/>
      <c r="C28" s="131"/>
      <c r="D28" s="132"/>
      <c r="E28" s="132"/>
      <c r="F28" s="131"/>
      <c r="G28" s="133"/>
      <c r="H28" s="131"/>
      <c r="I28" s="127"/>
      <c r="AB28" s="127"/>
    </row>
    <row r="29" spans="1:28" x14ac:dyDescent="0.25">
      <c r="A29" s="127"/>
      <c r="B29" s="131"/>
      <c r="C29" s="131"/>
      <c r="D29" s="132"/>
      <c r="E29" s="132"/>
      <c r="F29" s="131"/>
      <c r="G29" s="133"/>
      <c r="H29" s="131"/>
      <c r="I29" s="127"/>
      <c r="AB29" s="127"/>
    </row>
    <row r="30" spans="1:28" x14ac:dyDescent="0.25">
      <c r="A30" s="127"/>
      <c r="B30" s="131"/>
      <c r="C30" s="131"/>
      <c r="D30" s="132"/>
      <c r="E30" s="132"/>
      <c r="F30" s="131"/>
      <c r="G30" s="133"/>
      <c r="H30" s="131"/>
      <c r="I30" s="127"/>
      <c r="AB30" s="127"/>
    </row>
    <row r="31" spans="1:28" x14ac:dyDescent="0.25">
      <c r="A31" s="127"/>
      <c r="B31" s="131"/>
      <c r="C31" s="131"/>
      <c r="D31" s="132"/>
      <c r="E31" s="132"/>
      <c r="F31" s="131"/>
      <c r="G31" s="133"/>
      <c r="H31" s="131"/>
      <c r="I31" s="127"/>
      <c r="AB31" s="127"/>
    </row>
    <row r="32" spans="1:28" x14ac:dyDescent="0.25">
      <c r="A32" s="127"/>
      <c r="B32" s="131"/>
      <c r="C32" s="131"/>
      <c r="D32" s="132"/>
      <c r="E32" s="132"/>
      <c r="F32" s="131"/>
      <c r="G32" s="133"/>
      <c r="H32" s="131"/>
      <c r="I32" s="127"/>
      <c r="AB32" s="127"/>
    </row>
    <row r="33" spans="1:28" x14ac:dyDescent="0.25">
      <c r="A33" s="127"/>
      <c r="B33" s="131"/>
      <c r="C33" s="131"/>
      <c r="D33" s="132"/>
      <c r="E33" s="132"/>
      <c r="F33" s="131"/>
      <c r="G33" s="133"/>
      <c r="H33" s="131"/>
      <c r="I33" s="127"/>
      <c r="AB33" s="127"/>
    </row>
    <row r="34" spans="1:28" x14ac:dyDescent="0.25">
      <c r="A34" s="127"/>
      <c r="B34" s="131"/>
      <c r="C34" s="131"/>
      <c r="D34" s="132"/>
      <c r="E34" s="132"/>
      <c r="F34" s="131"/>
      <c r="G34" s="133"/>
      <c r="H34" s="131"/>
      <c r="I34" s="127"/>
      <c r="AB34" s="127"/>
    </row>
    <row r="35" spans="1:28" x14ac:dyDescent="0.25">
      <c r="A35" s="127"/>
      <c r="B35" s="131"/>
      <c r="C35" s="131"/>
      <c r="D35" s="132"/>
      <c r="E35" s="132"/>
      <c r="F35" s="131"/>
      <c r="G35" s="133"/>
      <c r="H35" s="131"/>
      <c r="I35" s="127"/>
      <c r="AB35" s="127"/>
    </row>
    <row r="36" spans="1:28" x14ac:dyDescent="0.25">
      <c r="A36" s="127"/>
      <c r="B36" s="131"/>
      <c r="C36" s="131"/>
      <c r="D36" s="132"/>
      <c r="E36" s="132"/>
      <c r="F36" s="131"/>
      <c r="G36" s="133"/>
      <c r="H36" s="131"/>
      <c r="I36" s="127"/>
      <c r="AB36" s="127"/>
    </row>
    <row r="37" spans="1:28" x14ac:dyDescent="0.25">
      <c r="A37" s="127"/>
      <c r="B37" s="131"/>
      <c r="C37" s="131"/>
      <c r="D37" s="132"/>
      <c r="E37" s="132"/>
      <c r="F37" s="131"/>
      <c r="G37" s="133"/>
      <c r="H37" s="131"/>
      <c r="I37" s="127"/>
      <c r="AB37" s="127"/>
    </row>
    <row r="38" spans="1:28" x14ac:dyDescent="0.25">
      <c r="A38" s="127"/>
      <c r="B38" s="131"/>
      <c r="C38" s="131"/>
      <c r="D38" s="132"/>
      <c r="E38" s="132"/>
      <c r="F38" s="131"/>
      <c r="G38" s="133"/>
      <c r="H38" s="131"/>
      <c r="I38" s="127"/>
      <c r="AB38" s="127"/>
    </row>
    <row r="39" spans="1:28" x14ac:dyDescent="0.25">
      <c r="A39" s="127"/>
      <c r="B39" s="131"/>
      <c r="C39" s="131"/>
      <c r="D39" s="132"/>
      <c r="E39" s="132"/>
      <c r="F39" s="131"/>
      <c r="G39" s="133"/>
      <c r="H39" s="131"/>
      <c r="I39" s="127"/>
      <c r="AB39" s="127"/>
    </row>
    <row r="40" spans="1:28" x14ac:dyDescent="0.25">
      <c r="A40" s="127"/>
      <c r="B40" s="131"/>
      <c r="C40" s="131"/>
      <c r="D40" s="132"/>
      <c r="E40" s="132"/>
      <c r="F40" s="131"/>
      <c r="G40" s="133"/>
      <c r="H40" s="131"/>
      <c r="I40" s="127"/>
      <c r="AB40" s="127"/>
    </row>
    <row r="41" spans="1:28" x14ac:dyDescent="0.25">
      <c r="A41" s="127"/>
      <c r="B41" s="131"/>
      <c r="C41" s="131"/>
      <c r="D41" s="132"/>
      <c r="E41" s="132"/>
      <c r="F41" s="131"/>
      <c r="G41" s="133"/>
      <c r="H41" s="131"/>
      <c r="I41" s="127"/>
      <c r="AB41" s="127"/>
    </row>
    <row r="42" spans="1:28" x14ac:dyDescent="0.25">
      <c r="A42" s="127"/>
      <c r="B42" s="131"/>
      <c r="C42" s="131"/>
      <c r="D42" s="132"/>
      <c r="E42" s="132"/>
      <c r="F42" s="131"/>
      <c r="G42" s="133"/>
      <c r="H42" s="131"/>
      <c r="I42" s="127"/>
      <c r="AB42" s="127"/>
    </row>
    <row r="43" spans="1:28" x14ac:dyDescent="0.25">
      <c r="A43" s="127"/>
      <c r="B43" s="131"/>
      <c r="C43" s="131"/>
      <c r="D43" s="132"/>
      <c r="E43" s="132"/>
      <c r="F43" s="131"/>
      <c r="G43" s="133"/>
      <c r="H43" s="131"/>
      <c r="I43" s="127"/>
      <c r="AB43" s="127"/>
    </row>
    <row r="44" spans="1:28" x14ac:dyDescent="0.25">
      <c r="A44" s="127"/>
      <c r="B44" s="131"/>
      <c r="C44" s="131"/>
      <c r="D44" s="132"/>
      <c r="E44" s="132"/>
      <c r="F44" s="131"/>
      <c r="G44" s="133"/>
      <c r="H44" s="131"/>
      <c r="I44" s="127"/>
      <c r="AB44" s="127"/>
    </row>
    <row r="45" spans="1:28" x14ac:dyDescent="0.25">
      <c r="A45" s="127"/>
      <c r="B45" s="131"/>
      <c r="C45" s="131"/>
      <c r="D45" s="132"/>
      <c r="E45" s="132"/>
      <c r="F45" s="131"/>
      <c r="G45" s="133"/>
      <c r="H45" s="131"/>
      <c r="I45" s="127"/>
      <c r="AB45" s="127"/>
    </row>
    <row r="46" spans="1:28" x14ac:dyDescent="0.25">
      <c r="A46" s="127"/>
      <c r="B46" s="131"/>
      <c r="C46" s="131"/>
      <c r="D46" s="132"/>
      <c r="E46" s="132"/>
      <c r="F46" s="131"/>
      <c r="G46" s="133"/>
      <c r="H46" s="131"/>
      <c r="I46" s="127"/>
      <c r="AB46" s="127"/>
    </row>
    <row r="47" spans="1:28" x14ac:dyDescent="0.25">
      <c r="A47" s="127"/>
      <c r="B47" s="131"/>
      <c r="C47" s="131"/>
      <c r="D47" s="132"/>
      <c r="E47" s="132"/>
      <c r="F47" s="131"/>
      <c r="G47" s="133"/>
      <c r="H47" s="131"/>
      <c r="I47" s="127"/>
      <c r="AB47" s="127"/>
    </row>
    <row r="48" spans="1:28" x14ac:dyDescent="0.25">
      <c r="A48" s="127"/>
      <c r="B48" s="131"/>
      <c r="C48" s="131"/>
      <c r="D48" s="132"/>
      <c r="E48" s="132"/>
      <c r="F48" s="131"/>
      <c r="G48" s="133"/>
      <c r="H48" s="131"/>
      <c r="I48" s="127"/>
      <c r="AB48" s="127"/>
    </row>
    <row r="49" spans="1:28" x14ac:dyDescent="0.25">
      <c r="A49" s="127"/>
      <c r="B49" s="131"/>
      <c r="C49" s="131"/>
      <c r="D49" s="132"/>
      <c r="E49" s="132"/>
      <c r="F49" s="131"/>
      <c r="G49" s="133"/>
      <c r="H49" s="131"/>
      <c r="I49" s="127"/>
      <c r="AB49" s="127"/>
    </row>
    <row r="50" spans="1:28" x14ac:dyDescent="0.25">
      <c r="A50" s="127"/>
      <c r="B50" s="131"/>
      <c r="C50" s="131"/>
      <c r="D50" s="132"/>
      <c r="E50" s="132"/>
      <c r="F50" s="131"/>
      <c r="G50" s="133"/>
      <c r="H50" s="131"/>
      <c r="I50" s="127"/>
      <c r="AB50" s="127"/>
    </row>
    <row r="51" spans="1:28" x14ac:dyDescent="0.25">
      <c r="A51" s="127"/>
      <c r="B51" s="131"/>
      <c r="C51" s="131"/>
      <c r="D51" s="132"/>
      <c r="E51" s="132"/>
      <c r="F51" s="131"/>
      <c r="G51" s="133"/>
      <c r="H51" s="131"/>
      <c r="I51" s="127"/>
      <c r="AB51" s="127"/>
    </row>
    <row r="52" spans="1:28" x14ac:dyDescent="0.25">
      <c r="A52" s="127"/>
      <c r="B52" s="131"/>
      <c r="C52" s="131"/>
      <c r="D52" s="132"/>
      <c r="E52" s="132"/>
      <c r="F52" s="131"/>
      <c r="G52" s="133"/>
      <c r="H52" s="131"/>
      <c r="I52" s="127"/>
      <c r="AB52" s="127"/>
    </row>
    <row r="53" spans="1:28" x14ac:dyDescent="0.25">
      <c r="A53" s="127"/>
      <c r="B53" s="131"/>
      <c r="C53" s="131"/>
      <c r="D53" s="132"/>
      <c r="E53" s="132"/>
      <c r="F53" s="131"/>
      <c r="G53" s="133"/>
      <c r="H53" s="131"/>
      <c r="I53" s="127"/>
      <c r="AB53" s="127"/>
    </row>
    <row r="54" spans="1:28" x14ac:dyDescent="0.25">
      <c r="A54" s="127"/>
      <c r="B54" s="131"/>
      <c r="C54" s="131"/>
      <c r="D54" s="132"/>
      <c r="E54" s="132"/>
      <c r="F54" s="131"/>
      <c r="G54" s="133"/>
      <c r="H54" s="131"/>
      <c r="I54" s="127"/>
      <c r="AB54" s="127"/>
    </row>
    <row r="55" spans="1:28" x14ac:dyDescent="0.25">
      <c r="A55" s="127"/>
      <c r="B55" s="131"/>
      <c r="C55" s="131"/>
      <c r="D55" s="132"/>
      <c r="E55" s="132"/>
      <c r="F55" s="131"/>
      <c r="G55" s="133"/>
      <c r="H55" s="131"/>
      <c r="I55" s="127"/>
      <c r="AB55" s="127"/>
    </row>
    <row r="56" spans="1:28" x14ac:dyDescent="0.25">
      <c r="A56" s="127"/>
      <c r="B56" s="131"/>
      <c r="C56" s="131"/>
      <c r="D56" s="132"/>
      <c r="E56" s="132"/>
      <c r="F56" s="131"/>
      <c r="G56" s="133"/>
      <c r="H56" s="131"/>
      <c r="I56" s="127"/>
      <c r="AB56" s="127"/>
    </row>
    <row r="57" spans="1:28" x14ac:dyDescent="0.25">
      <c r="A57" s="127"/>
      <c r="B57" s="131"/>
      <c r="C57" s="131"/>
      <c r="D57" s="132"/>
      <c r="E57" s="132"/>
      <c r="F57" s="131"/>
      <c r="G57" s="133"/>
      <c r="H57" s="131"/>
      <c r="I57" s="127"/>
      <c r="AB57" s="127"/>
    </row>
    <row r="58" spans="1:28" x14ac:dyDescent="0.25">
      <c r="A58" s="127"/>
      <c r="B58" s="131"/>
      <c r="C58" s="131"/>
      <c r="D58" s="132"/>
      <c r="E58" s="132"/>
      <c r="F58" s="131"/>
      <c r="G58" s="133"/>
      <c r="H58" s="131"/>
      <c r="I58" s="127"/>
      <c r="AB58" s="127"/>
    </row>
    <row r="59" spans="1:28" x14ac:dyDescent="0.25">
      <c r="A59" s="127"/>
      <c r="B59" s="131"/>
      <c r="C59" s="131"/>
      <c r="D59" s="132"/>
      <c r="E59" s="132"/>
      <c r="F59" s="131"/>
      <c r="G59" s="133"/>
      <c r="H59" s="131"/>
      <c r="I59" s="127"/>
      <c r="AB59" s="127"/>
    </row>
    <row r="60" spans="1:28" x14ac:dyDescent="0.25">
      <c r="A60" s="127"/>
      <c r="B60" s="131"/>
      <c r="C60" s="131"/>
      <c r="D60" s="132"/>
      <c r="E60" s="132"/>
      <c r="F60" s="131"/>
      <c r="G60" s="133"/>
      <c r="H60" s="131"/>
      <c r="I60" s="127"/>
      <c r="AB60" s="127"/>
    </row>
    <row r="61" spans="1:28" x14ac:dyDescent="0.25">
      <c r="A61" s="127"/>
      <c r="B61" s="131"/>
      <c r="C61" s="131"/>
      <c r="D61" s="132"/>
      <c r="E61" s="132"/>
      <c r="F61" s="131"/>
      <c r="G61" s="133"/>
      <c r="H61" s="131"/>
      <c r="I61" s="127"/>
      <c r="AB61" s="127"/>
    </row>
    <row r="62" spans="1:28" x14ac:dyDescent="0.25">
      <c r="A62" s="127"/>
      <c r="B62" s="131"/>
      <c r="C62" s="131"/>
      <c r="D62" s="132"/>
      <c r="E62" s="132"/>
      <c r="F62" s="131"/>
      <c r="G62" s="133"/>
      <c r="H62" s="131"/>
      <c r="I62" s="127"/>
      <c r="AB62" s="127"/>
    </row>
    <row r="63" spans="1:28" x14ac:dyDescent="0.25">
      <c r="A63" s="127"/>
      <c r="B63" s="131"/>
      <c r="C63" s="131"/>
      <c r="D63" s="132"/>
      <c r="E63" s="132"/>
      <c r="F63" s="131"/>
      <c r="G63" s="133"/>
      <c r="H63" s="131"/>
      <c r="I63" s="127"/>
      <c r="AB63" s="127"/>
    </row>
    <row r="64" spans="1:28" x14ac:dyDescent="0.25">
      <c r="A64" s="127"/>
      <c r="B64" s="131"/>
      <c r="C64" s="131"/>
      <c r="D64" s="132"/>
      <c r="E64" s="132"/>
      <c r="F64" s="131"/>
      <c r="G64" s="133"/>
      <c r="H64" s="131"/>
      <c r="I64" s="127"/>
      <c r="AB64" s="127"/>
    </row>
    <row r="65" spans="1:28" x14ac:dyDescent="0.25">
      <c r="A65" s="127"/>
      <c r="B65" s="131"/>
      <c r="C65" s="131"/>
      <c r="D65" s="132"/>
      <c r="E65" s="132"/>
      <c r="F65" s="131"/>
      <c r="G65" s="133"/>
      <c r="H65" s="131"/>
      <c r="I65" s="127"/>
      <c r="AB65" s="127"/>
    </row>
    <row r="66" spans="1:28" x14ac:dyDescent="0.25">
      <c r="A66" s="127"/>
      <c r="B66" s="131"/>
      <c r="C66" s="131"/>
      <c r="D66" s="132"/>
      <c r="E66" s="132"/>
      <c r="F66" s="131"/>
      <c r="G66" s="133"/>
      <c r="H66" s="131"/>
      <c r="I66" s="127"/>
      <c r="AB66" s="127"/>
    </row>
    <row r="67" spans="1:28" x14ac:dyDescent="0.25">
      <c r="A67" s="127"/>
      <c r="B67" s="131"/>
      <c r="C67" s="131"/>
      <c r="D67" s="132"/>
      <c r="E67" s="132"/>
      <c r="F67" s="131"/>
      <c r="G67" s="133"/>
      <c r="H67" s="131"/>
      <c r="I67" s="127"/>
      <c r="AB67" s="127"/>
    </row>
    <row r="68" spans="1:28" x14ac:dyDescent="0.25">
      <c r="A68" s="127"/>
      <c r="B68" s="131"/>
      <c r="C68" s="131"/>
      <c r="D68" s="132"/>
      <c r="E68" s="132"/>
      <c r="F68" s="131"/>
      <c r="G68" s="133"/>
      <c r="H68" s="131"/>
      <c r="I68" s="127"/>
      <c r="AB68" s="127"/>
    </row>
    <row r="69" spans="1:28" x14ac:dyDescent="0.25">
      <c r="A69" s="127"/>
      <c r="B69" s="131"/>
      <c r="C69" s="131"/>
      <c r="D69" s="132"/>
      <c r="E69" s="132"/>
      <c r="F69" s="131"/>
      <c r="G69" s="133"/>
      <c r="H69" s="131"/>
      <c r="I69" s="127"/>
      <c r="AB69" s="127"/>
    </row>
    <row r="70" spans="1:28" x14ac:dyDescent="0.25">
      <c r="A70" s="127"/>
      <c r="B70" s="131"/>
      <c r="C70" s="131"/>
      <c r="D70" s="132"/>
      <c r="E70" s="132"/>
      <c r="F70" s="131"/>
      <c r="G70" s="133"/>
      <c r="H70" s="131"/>
      <c r="I70" s="127"/>
      <c r="AB70" s="127"/>
    </row>
    <row r="71" spans="1:28" x14ac:dyDescent="0.25">
      <c r="A71" s="127"/>
      <c r="B71" s="131"/>
      <c r="C71" s="131"/>
      <c r="D71" s="132"/>
      <c r="E71" s="132"/>
      <c r="F71" s="131"/>
      <c r="G71" s="133"/>
      <c r="H71" s="131"/>
      <c r="I71" s="127"/>
      <c r="AB71" s="127"/>
    </row>
    <row r="72" spans="1:28" x14ac:dyDescent="0.25">
      <c r="A72" s="127"/>
      <c r="B72" s="131"/>
      <c r="C72" s="131"/>
      <c r="D72" s="132"/>
      <c r="E72" s="132"/>
      <c r="F72" s="131"/>
      <c r="G72" s="133"/>
      <c r="H72" s="131"/>
      <c r="I72" s="127"/>
      <c r="AB72" s="127"/>
    </row>
    <row r="73" spans="1:28" x14ac:dyDescent="0.25">
      <c r="A73" s="127"/>
      <c r="B73" s="131"/>
      <c r="C73" s="131"/>
      <c r="D73" s="132"/>
      <c r="E73" s="132"/>
      <c r="F73" s="131"/>
      <c r="G73" s="133"/>
      <c r="H73" s="131"/>
      <c r="I73" s="127"/>
      <c r="AB73" s="127"/>
    </row>
    <row r="74" spans="1:28" x14ac:dyDescent="0.25">
      <c r="A74" s="127"/>
      <c r="B74" s="131"/>
      <c r="C74" s="131"/>
      <c r="D74" s="132"/>
      <c r="E74" s="132"/>
      <c r="F74" s="131"/>
      <c r="G74" s="133"/>
      <c r="H74" s="131"/>
      <c r="I74" s="127"/>
      <c r="AB74" s="127"/>
    </row>
    <row r="75" spans="1:28" x14ac:dyDescent="0.25">
      <c r="A75" s="127"/>
      <c r="B75" s="131"/>
      <c r="C75" s="131"/>
      <c r="D75" s="132"/>
      <c r="E75" s="132"/>
      <c r="F75" s="131"/>
      <c r="G75" s="133"/>
      <c r="H75" s="131"/>
      <c r="I75" s="127"/>
      <c r="AB75" s="127"/>
    </row>
    <row r="76" spans="1:28" x14ac:dyDescent="0.25">
      <c r="A76" s="127"/>
      <c r="B76" s="131"/>
      <c r="C76" s="131"/>
      <c r="D76" s="132"/>
      <c r="E76" s="132"/>
      <c r="F76" s="131"/>
      <c r="G76" s="133"/>
      <c r="H76" s="131"/>
      <c r="I76" s="127"/>
      <c r="AB76" s="127"/>
    </row>
    <row r="77" spans="1:28" x14ac:dyDescent="0.25">
      <c r="A77" s="127"/>
      <c r="B77" s="131"/>
      <c r="C77" s="131"/>
      <c r="D77" s="132"/>
      <c r="E77" s="132"/>
      <c r="F77" s="131"/>
      <c r="G77" s="133"/>
      <c r="H77" s="131"/>
      <c r="I77" s="127"/>
      <c r="AB77" s="127"/>
    </row>
    <row r="78" spans="1:28" x14ac:dyDescent="0.25">
      <c r="A78" s="127"/>
      <c r="B78" s="131"/>
      <c r="C78" s="131"/>
      <c r="D78" s="132"/>
      <c r="E78" s="132"/>
      <c r="F78" s="131"/>
      <c r="G78" s="133"/>
      <c r="H78" s="131"/>
      <c r="I78" s="127"/>
      <c r="AB78" s="127"/>
    </row>
    <row r="79" spans="1:28" x14ac:dyDescent="0.25">
      <c r="A79" s="127"/>
      <c r="B79" s="131"/>
      <c r="C79" s="131"/>
      <c r="D79" s="132"/>
      <c r="E79" s="132"/>
      <c r="F79" s="131"/>
      <c r="G79" s="133"/>
      <c r="H79" s="131"/>
      <c r="I79" s="127"/>
      <c r="AB79" s="127"/>
    </row>
    <row r="80" spans="1:28" x14ac:dyDescent="0.25">
      <c r="A80" s="127"/>
      <c r="B80" s="131"/>
      <c r="C80" s="131"/>
      <c r="D80" s="132"/>
      <c r="E80" s="132"/>
      <c r="F80" s="131"/>
      <c r="G80" s="133"/>
      <c r="H80" s="131"/>
      <c r="I80" s="127"/>
      <c r="AB80" s="127"/>
    </row>
    <row r="81" spans="1:28" x14ac:dyDescent="0.25">
      <c r="A81" s="127"/>
      <c r="B81" s="131"/>
      <c r="C81" s="131"/>
      <c r="D81" s="132"/>
      <c r="E81" s="132"/>
      <c r="F81" s="131"/>
      <c r="G81" s="133"/>
      <c r="H81" s="131"/>
      <c r="I81" s="127"/>
      <c r="AB81" s="127"/>
    </row>
    <row r="82" spans="1:28" x14ac:dyDescent="0.25">
      <c r="A82" s="127"/>
      <c r="B82" s="131"/>
      <c r="C82" s="131"/>
      <c r="D82" s="132"/>
      <c r="E82" s="132"/>
      <c r="F82" s="131"/>
      <c r="G82" s="133"/>
      <c r="H82" s="131"/>
      <c r="I82" s="127"/>
      <c r="AB82" s="127"/>
    </row>
    <row r="83" spans="1:28" x14ac:dyDescent="0.25">
      <c r="A83" s="127"/>
      <c r="B83" s="131"/>
      <c r="C83" s="131"/>
      <c r="D83" s="132"/>
      <c r="E83" s="132"/>
      <c r="F83" s="131"/>
      <c r="G83" s="133"/>
      <c r="H83" s="131"/>
      <c r="I83" s="127"/>
      <c r="AB83" s="127"/>
    </row>
    <row r="84" spans="1:28" x14ac:dyDescent="0.25">
      <c r="A84" s="127"/>
      <c r="B84" s="131"/>
      <c r="C84" s="131"/>
      <c r="D84" s="132"/>
      <c r="E84" s="132"/>
      <c r="F84" s="131"/>
      <c r="G84" s="133"/>
      <c r="H84" s="131"/>
      <c r="I84" s="127"/>
      <c r="AB84" s="127"/>
    </row>
    <row r="85" spans="1:28" x14ac:dyDescent="0.25">
      <c r="A85" s="127"/>
      <c r="B85" s="131"/>
      <c r="C85" s="131"/>
      <c r="D85" s="132"/>
      <c r="E85" s="132"/>
      <c r="F85" s="131"/>
      <c r="G85" s="133"/>
      <c r="H85" s="131"/>
      <c r="I85" s="127"/>
      <c r="AB85" s="127"/>
    </row>
    <row r="86" spans="1:28" x14ac:dyDescent="0.25">
      <c r="A86" s="127"/>
      <c r="B86" s="131"/>
      <c r="C86" s="131"/>
      <c r="D86" s="132"/>
      <c r="E86" s="132"/>
      <c r="F86" s="131"/>
      <c r="G86" s="133"/>
      <c r="H86" s="131"/>
      <c r="I86" s="127"/>
      <c r="AB86" s="127"/>
    </row>
    <row r="87" spans="1:28" x14ac:dyDescent="0.25">
      <c r="A87" s="127"/>
      <c r="B87" s="131"/>
      <c r="C87" s="131"/>
      <c r="D87" s="132"/>
      <c r="E87" s="132"/>
      <c r="F87" s="131"/>
      <c r="G87" s="133"/>
      <c r="H87" s="131"/>
      <c r="I87" s="127"/>
      <c r="AB87" s="127"/>
    </row>
    <row r="88" spans="1:28" x14ac:dyDescent="0.25">
      <c r="A88" s="127"/>
      <c r="B88" s="131"/>
      <c r="C88" s="131"/>
      <c r="D88" s="132"/>
      <c r="E88" s="132"/>
      <c r="F88" s="131"/>
      <c r="G88" s="133"/>
      <c r="H88" s="131"/>
      <c r="I88" s="127"/>
      <c r="AB88" s="127"/>
    </row>
    <row r="89" spans="1:28" x14ac:dyDescent="0.25">
      <c r="A89" s="127"/>
      <c r="B89" s="131"/>
      <c r="C89" s="131"/>
      <c r="D89" s="132"/>
      <c r="E89" s="132"/>
      <c r="F89" s="131"/>
      <c r="G89" s="133"/>
      <c r="H89" s="131"/>
      <c r="I89" s="127"/>
      <c r="AB89" s="127"/>
    </row>
    <row r="90" spans="1:28" x14ac:dyDescent="0.25">
      <c r="A90" s="127"/>
      <c r="B90" s="131"/>
      <c r="C90" s="131"/>
      <c r="D90" s="132"/>
      <c r="E90" s="132"/>
      <c r="F90" s="131"/>
      <c r="G90" s="133"/>
      <c r="H90" s="131"/>
      <c r="I90" s="127"/>
      <c r="AB90" s="127"/>
    </row>
    <row r="91" spans="1:28" x14ac:dyDescent="0.25">
      <c r="A91" s="127"/>
      <c r="B91" s="131"/>
      <c r="C91" s="131"/>
      <c r="D91" s="132"/>
      <c r="E91" s="132"/>
      <c r="F91" s="131"/>
      <c r="G91" s="133"/>
      <c r="H91" s="131"/>
      <c r="I91" s="127"/>
      <c r="AB91" s="127"/>
    </row>
    <row r="92" spans="1:28" x14ac:dyDescent="0.25">
      <c r="A92" s="127"/>
      <c r="B92" s="131"/>
      <c r="C92" s="131"/>
      <c r="D92" s="132"/>
      <c r="E92" s="132"/>
      <c r="F92" s="131"/>
      <c r="G92" s="133"/>
      <c r="H92" s="131"/>
      <c r="I92" s="127"/>
      <c r="AB92" s="127"/>
    </row>
    <row r="93" spans="1:28" x14ac:dyDescent="0.25">
      <c r="A93" s="127"/>
      <c r="B93" s="131"/>
      <c r="C93" s="131"/>
      <c r="D93" s="132"/>
      <c r="E93" s="132"/>
      <c r="F93" s="131"/>
      <c r="G93" s="133"/>
      <c r="H93" s="131"/>
      <c r="I93" s="127"/>
      <c r="AB93" s="127"/>
    </row>
    <row r="94" spans="1:28" x14ac:dyDescent="0.25">
      <c r="A94" s="127"/>
      <c r="B94" s="131"/>
      <c r="C94" s="131"/>
      <c r="D94" s="132"/>
      <c r="E94" s="132"/>
      <c r="F94" s="131"/>
      <c r="G94" s="133"/>
      <c r="H94" s="131"/>
      <c r="I94" s="127"/>
      <c r="AB94" s="127"/>
    </row>
    <row r="95" spans="1:28" x14ac:dyDescent="0.25">
      <c r="A95" s="127"/>
      <c r="B95" s="131"/>
      <c r="C95" s="131"/>
      <c r="D95" s="132"/>
      <c r="E95" s="132"/>
      <c r="F95" s="131"/>
      <c r="G95" s="133"/>
      <c r="H95" s="131"/>
      <c r="I95" s="127"/>
      <c r="AB95" s="127"/>
    </row>
    <row r="96" spans="1:28" x14ac:dyDescent="0.25">
      <c r="A96" s="127"/>
      <c r="B96" s="131"/>
      <c r="C96" s="131"/>
      <c r="D96" s="132"/>
      <c r="E96" s="132"/>
      <c r="F96" s="131"/>
      <c r="G96" s="133"/>
      <c r="H96" s="131"/>
      <c r="I96" s="127"/>
      <c r="AB96" s="127"/>
    </row>
    <row r="97" spans="1:28" x14ac:dyDescent="0.25">
      <c r="A97" s="127"/>
      <c r="B97" s="131"/>
      <c r="C97" s="131"/>
      <c r="D97" s="132"/>
      <c r="E97" s="132"/>
      <c r="F97" s="131"/>
      <c r="G97" s="133"/>
      <c r="H97" s="131"/>
      <c r="I97" s="127"/>
      <c r="AB97" s="127"/>
    </row>
    <row r="98" spans="1:28" x14ac:dyDescent="0.25">
      <c r="A98" s="127"/>
      <c r="B98" s="131"/>
      <c r="C98" s="131"/>
      <c r="D98" s="132"/>
      <c r="E98" s="132"/>
      <c r="F98" s="131"/>
      <c r="G98" s="133"/>
      <c r="H98" s="131"/>
      <c r="I98" s="127"/>
      <c r="AB98" s="127"/>
    </row>
    <row r="99" spans="1:28" x14ac:dyDescent="0.25">
      <c r="A99" s="127"/>
      <c r="B99" s="131"/>
      <c r="C99" s="131"/>
      <c r="D99" s="132"/>
      <c r="E99" s="132"/>
      <c r="F99" s="131"/>
      <c r="G99" s="133"/>
      <c r="H99" s="131"/>
      <c r="I99" s="127"/>
      <c r="AB99" s="127"/>
    </row>
    <row r="100" spans="1:28" x14ac:dyDescent="0.25">
      <c r="A100" s="127"/>
      <c r="B100" s="131"/>
      <c r="C100" s="131"/>
      <c r="D100" s="132"/>
      <c r="E100" s="132"/>
      <c r="F100" s="131"/>
      <c r="G100" s="133"/>
      <c r="H100" s="131"/>
      <c r="I100" s="127"/>
      <c r="AB100" s="127"/>
    </row>
    <row r="101" spans="1:28" x14ac:dyDescent="0.25">
      <c r="A101" s="127"/>
      <c r="B101" s="131"/>
      <c r="C101" s="131"/>
      <c r="D101" s="132"/>
      <c r="E101" s="132"/>
      <c r="F101" s="131"/>
      <c r="G101" s="133"/>
      <c r="H101" s="131"/>
      <c r="I101" s="127"/>
      <c r="AB101" s="127"/>
    </row>
    <row r="102" spans="1:28" x14ac:dyDescent="0.25">
      <c r="A102" s="127"/>
      <c r="B102" s="131"/>
      <c r="C102" s="131"/>
      <c r="D102" s="132"/>
      <c r="E102" s="132"/>
      <c r="F102" s="131"/>
      <c r="G102" s="133"/>
      <c r="H102" s="131"/>
      <c r="I102" s="127"/>
      <c r="AB102" s="127"/>
    </row>
    <row r="103" spans="1:28" x14ac:dyDescent="0.25">
      <c r="A103" s="127"/>
      <c r="B103" s="131"/>
      <c r="C103" s="131"/>
      <c r="D103" s="132"/>
      <c r="E103" s="132"/>
      <c r="F103" s="131"/>
      <c r="G103" s="133"/>
      <c r="H103" s="131"/>
      <c r="I103" s="127"/>
      <c r="AB103" s="127"/>
    </row>
    <row r="104" spans="1:28" x14ac:dyDescent="0.25">
      <c r="A104" s="127"/>
      <c r="B104" s="131"/>
      <c r="C104" s="131"/>
      <c r="D104" s="132"/>
      <c r="E104" s="132"/>
      <c r="F104" s="131"/>
      <c r="G104" s="133"/>
      <c r="H104" s="131"/>
      <c r="I104" s="127"/>
      <c r="AB104" s="127"/>
    </row>
    <row r="105" spans="1:28" x14ac:dyDescent="0.25">
      <c r="A105" s="127"/>
      <c r="B105" s="131"/>
      <c r="C105" s="131"/>
      <c r="D105" s="132"/>
      <c r="E105" s="132"/>
      <c r="F105" s="131"/>
      <c r="G105" s="133"/>
      <c r="H105" s="131"/>
      <c r="I105" s="127"/>
      <c r="AB105" s="127"/>
    </row>
    <row r="106" spans="1:28" x14ac:dyDescent="0.25">
      <c r="A106" s="127"/>
      <c r="B106" s="131"/>
      <c r="C106" s="131"/>
      <c r="D106" s="132"/>
      <c r="E106" s="132"/>
      <c r="F106" s="131"/>
      <c r="G106" s="133"/>
      <c r="H106" s="131"/>
      <c r="I106" s="127"/>
      <c r="AB106" s="127"/>
    </row>
    <row r="107" spans="1:28" x14ac:dyDescent="0.25">
      <c r="A107" s="127"/>
      <c r="B107" s="131"/>
      <c r="C107" s="131"/>
      <c r="D107" s="132"/>
      <c r="E107" s="132"/>
      <c r="F107" s="131"/>
      <c r="G107" s="133"/>
      <c r="H107" s="131"/>
      <c r="I107" s="127"/>
      <c r="AB107" s="127"/>
    </row>
    <row r="108" spans="1:28" x14ac:dyDescent="0.25">
      <c r="A108" s="127"/>
      <c r="B108" s="131"/>
      <c r="C108" s="131"/>
      <c r="D108" s="132"/>
      <c r="E108" s="132"/>
      <c r="F108" s="131"/>
      <c r="G108" s="133"/>
      <c r="H108" s="131"/>
      <c r="I108" s="127"/>
      <c r="AB108" s="127"/>
    </row>
    <row r="109" spans="1:28" x14ac:dyDescent="0.25">
      <c r="A109" s="127"/>
      <c r="B109" s="131"/>
      <c r="C109" s="131"/>
      <c r="D109" s="132"/>
      <c r="E109" s="132"/>
      <c r="F109" s="131"/>
      <c r="G109" s="133"/>
      <c r="H109" s="131"/>
      <c r="I109" s="127"/>
      <c r="AB109" s="127"/>
    </row>
    <row r="110" spans="1:28" x14ac:dyDescent="0.25">
      <c r="A110" s="127"/>
      <c r="B110" s="131"/>
      <c r="C110" s="131"/>
      <c r="D110" s="132"/>
      <c r="E110" s="132"/>
      <c r="F110" s="131"/>
      <c r="G110" s="133"/>
      <c r="H110" s="131"/>
      <c r="I110" s="127"/>
      <c r="AB110" s="127"/>
    </row>
    <row r="111" spans="1:28" x14ac:dyDescent="0.25">
      <c r="A111" s="127"/>
      <c r="B111" s="131"/>
      <c r="C111" s="131"/>
      <c r="D111" s="132"/>
      <c r="E111" s="132"/>
      <c r="F111" s="131"/>
      <c r="G111" s="133"/>
      <c r="H111" s="131"/>
      <c r="I111" s="127"/>
      <c r="AB111" s="127"/>
    </row>
    <row r="112" spans="1:28" x14ac:dyDescent="0.25">
      <c r="A112" s="127"/>
      <c r="B112" s="131"/>
      <c r="C112" s="131"/>
      <c r="D112" s="132"/>
      <c r="E112" s="132"/>
      <c r="F112" s="131"/>
      <c r="G112" s="133"/>
      <c r="H112" s="131"/>
      <c r="I112" s="127"/>
      <c r="AB112" s="127"/>
    </row>
    <row r="113" spans="1:28" x14ac:dyDescent="0.25">
      <c r="A113" s="127"/>
      <c r="B113" s="131"/>
      <c r="C113" s="131"/>
      <c r="D113" s="132"/>
      <c r="E113" s="132"/>
      <c r="F113" s="131"/>
      <c r="G113" s="133"/>
      <c r="H113" s="131"/>
      <c r="I113" s="127"/>
      <c r="AB113" s="127"/>
    </row>
    <row r="114" spans="1:28" x14ac:dyDescent="0.25">
      <c r="A114" s="127"/>
      <c r="B114" s="131"/>
      <c r="C114" s="131"/>
      <c r="D114" s="132"/>
      <c r="E114" s="132"/>
      <c r="F114" s="131"/>
      <c r="G114" s="133"/>
      <c r="H114" s="131"/>
      <c r="I114" s="127"/>
      <c r="AB114" s="127"/>
    </row>
    <row r="115" spans="1:28" x14ac:dyDescent="0.25">
      <c r="A115" s="127"/>
      <c r="B115" s="131"/>
      <c r="C115" s="131"/>
      <c r="D115" s="132"/>
      <c r="E115" s="132"/>
      <c r="F115" s="131"/>
      <c r="G115" s="133"/>
      <c r="H115" s="131"/>
      <c r="I115" s="127"/>
      <c r="AB115" s="127"/>
    </row>
    <row r="116" spans="1:28" x14ac:dyDescent="0.25">
      <c r="A116" s="127"/>
      <c r="B116" s="131"/>
      <c r="C116" s="131"/>
      <c r="D116" s="132"/>
      <c r="E116" s="132"/>
      <c r="F116" s="131"/>
      <c r="G116" s="133"/>
      <c r="H116" s="131"/>
      <c r="I116" s="127"/>
      <c r="AB116" s="127"/>
    </row>
    <row r="117" spans="1:28" x14ac:dyDescent="0.25">
      <c r="A117" s="127"/>
      <c r="B117" s="131"/>
      <c r="C117" s="131"/>
      <c r="D117" s="132"/>
      <c r="E117" s="132"/>
      <c r="F117" s="131"/>
      <c r="G117" s="133"/>
      <c r="H117" s="131"/>
      <c r="I117" s="127"/>
      <c r="AB117" s="127"/>
    </row>
    <row r="118" spans="1:28" x14ac:dyDescent="0.25">
      <c r="A118" s="127"/>
      <c r="B118" s="131"/>
      <c r="C118" s="131"/>
      <c r="D118" s="132"/>
      <c r="E118" s="132"/>
      <c r="F118" s="131"/>
      <c r="G118" s="133"/>
      <c r="H118" s="131"/>
      <c r="I118" s="127"/>
      <c r="AB118" s="127"/>
    </row>
    <row r="119" spans="1:28" x14ac:dyDescent="0.25">
      <c r="A119" s="127"/>
      <c r="B119" s="131"/>
      <c r="C119" s="131"/>
      <c r="D119" s="132"/>
      <c r="E119" s="132"/>
      <c r="F119" s="131"/>
      <c r="G119" s="133"/>
      <c r="H119" s="131"/>
      <c r="I119" s="127"/>
      <c r="AB119" s="127"/>
    </row>
    <row r="120" spans="1:28" x14ac:dyDescent="0.25">
      <c r="A120" s="127"/>
      <c r="B120" s="131"/>
      <c r="C120" s="131"/>
      <c r="D120" s="132"/>
      <c r="E120" s="132"/>
      <c r="F120" s="131"/>
      <c r="G120" s="133"/>
      <c r="H120" s="131"/>
      <c r="I120" s="127"/>
      <c r="AB120" s="127"/>
    </row>
    <row r="121" spans="1:28" x14ac:dyDescent="0.25">
      <c r="A121" s="127"/>
      <c r="B121" s="131"/>
      <c r="C121" s="131"/>
      <c r="D121" s="132"/>
      <c r="E121" s="132"/>
      <c r="F121" s="131"/>
      <c r="G121" s="133"/>
      <c r="H121" s="131"/>
      <c r="I121" s="127"/>
      <c r="AB121" s="127"/>
    </row>
    <row r="122" spans="1:28" x14ac:dyDescent="0.25">
      <c r="A122" s="127"/>
      <c r="B122" s="131"/>
      <c r="C122" s="131"/>
      <c r="D122" s="132"/>
      <c r="E122" s="132"/>
      <c r="F122" s="131"/>
      <c r="G122" s="133"/>
      <c r="H122" s="131"/>
      <c r="I122" s="127"/>
      <c r="AB122" s="127"/>
    </row>
    <row r="123" spans="1:28" x14ac:dyDescent="0.25">
      <c r="A123" s="127"/>
      <c r="B123" s="131"/>
      <c r="C123" s="131"/>
      <c r="D123" s="132"/>
      <c r="E123" s="132"/>
      <c r="F123" s="131"/>
      <c r="G123" s="133"/>
      <c r="H123" s="131"/>
      <c r="I123" s="127"/>
      <c r="AB123" s="127"/>
    </row>
    <row r="124" spans="1:28" x14ac:dyDescent="0.25">
      <c r="A124" s="127"/>
      <c r="B124" s="131"/>
      <c r="C124" s="131"/>
      <c r="D124" s="132"/>
      <c r="E124" s="132"/>
      <c r="F124" s="131"/>
      <c r="G124" s="133"/>
      <c r="H124" s="131"/>
      <c r="I124" s="127"/>
      <c r="AB124" s="127"/>
    </row>
    <row r="125" spans="1:28" x14ac:dyDescent="0.25">
      <c r="A125" s="127"/>
      <c r="B125" s="131"/>
      <c r="C125" s="131"/>
      <c r="D125" s="132"/>
      <c r="E125" s="132"/>
      <c r="F125" s="131"/>
      <c r="G125" s="133"/>
      <c r="H125" s="131"/>
      <c r="I125" s="127"/>
      <c r="AB125" s="127"/>
    </row>
    <row r="126" spans="1:28" x14ac:dyDescent="0.25">
      <c r="A126" s="127"/>
      <c r="B126" s="131"/>
      <c r="C126" s="131"/>
      <c r="D126" s="132"/>
      <c r="E126" s="132"/>
      <c r="F126" s="131"/>
      <c r="G126" s="133"/>
      <c r="H126" s="131"/>
      <c r="I126" s="127"/>
      <c r="AB126" s="127"/>
    </row>
    <row r="127" spans="1:28" x14ac:dyDescent="0.25">
      <c r="A127" s="127"/>
      <c r="B127" s="131"/>
      <c r="C127" s="131"/>
      <c r="D127" s="132"/>
      <c r="E127" s="132"/>
      <c r="F127" s="131"/>
      <c r="G127" s="133"/>
      <c r="H127" s="131"/>
      <c r="I127" s="127"/>
      <c r="AB127" s="127"/>
    </row>
    <row r="128" spans="1:28" x14ac:dyDescent="0.25">
      <c r="A128" s="127"/>
      <c r="B128" s="131"/>
      <c r="C128" s="131"/>
      <c r="D128" s="132"/>
      <c r="E128" s="132"/>
      <c r="F128" s="131"/>
      <c r="G128" s="133"/>
      <c r="H128" s="131"/>
      <c r="I128" s="127"/>
      <c r="AB128" s="127"/>
    </row>
    <row r="129" spans="1:28" x14ac:dyDescent="0.25">
      <c r="A129" s="127"/>
      <c r="B129" s="131"/>
      <c r="C129" s="131"/>
      <c r="D129" s="132"/>
      <c r="E129" s="132"/>
      <c r="F129" s="131"/>
      <c r="G129" s="133"/>
      <c r="H129" s="131"/>
      <c r="I129" s="127"/>
      <c r="AB129" s="127"/>
    </row>
    <row r="130" spans="1:28" x14ac:dyDescent="0.25">
      <c r="A130" s="127"/>
      <c r="B130" s="131"/>
      <c r="C130" s="131"/>
      <c r="D130" s="132"/>
      <c r="E130" s="132"/>
      <c r="F130" s="131"/>
      <c r="G130" s="133"/>
      <c r="H130" s="131"/>
      <c r="I130" s="127"/>
      <c r="AB130" s="127"/>
    </row>
    <row r="131" spans="1:28" x14ac:dyDescent="0.25">
      <c r="A131" s="127"/>
      <c r="B131" s="131"/>
      <c r="C131" s="131"/>
      <c r="D131" s="132"/>
      <c r="E131" s="132"/>
      <c r="F131" s="131"/>
      <c r="G131" s="133"/>
      <c r="H131" s="131"/>
      <c r="I131" s="127"/>
      <c r="AB131" s="127"/>
    </row>
    <row r="132" spans="1:28" x14ac:dyDescent="0.25">
      <c r="A132" s="127"/>
      <c r="B132" s="131"/>
      <c r="C132" s="131"/>
      <c r="D132" s="132"/>
      <c r="E132" s="132"/>
      <c r="F132" s="131"/>
      <c r="G132" s="133"/>
      <c r="H132" s="131"/>
      <c r="I132" s="127"/>
      <c r="AB132" s="127"/>
    </row>
    <row r="133" spans="1:28" x14ac:dyDescent="0.25">
      <c r="A133" s="127"/>
      <c r="B133" s="131"/>
      <c r="C133" s="131"/>
      <c r="D133" s="132"/>
      <c r="E133" s="132"/>
      <c r="F133" s="131"/>
      <c r="G133" s="133"/>
      <c r="H133" s="131"/>
      <c r="I133" s="127"/>
      <c r="AB133" s="127"/>
    </row>
    <row r="134" spans="1:28" x14ac:dyDescent="0.25">
      <c r="A134" s="127"/>
      <c r="B134" s="131"/>
      <c r="C134" s="131"/>
      <c r="D134" s="132"/>
      <c r="E134" s="132"/>
      <c r="F134" s="131"/>
      <c r="G134" s="133"/>
      <c r="H134" s="131"/>
      <c r="I134" s="127"/>
      <c r="AB134" s="127"/>
    </row>
    <row r="135" spans="1:28" x14ac:dyDescent="0.25">
      <c r="A135" s="127"/>
      <c r="B135" s="131"/>
      <c r="C135" s="131"/>
      <c r="D135" s="132"/>
      <c r="E135" s="132"/>
      <c r="F135" s="131"/>
      <c r="G135" s="133"/>
      <c r="H135" s="131"/>
      <c r="I135" s="127"/>
      <c r="AB135" s="127"/>
    </row>
    <row r="136" spans="1:28" x14ac:dyDescent="0.25">
      <c r="A136" s="127"/>
      <c r="B136" s="131"/>
      <c r="C136" s="131"/>
      <c r="D136" s="132"/>
      <c r="E136" s="132"/>
      <c r="F136" s="131"/>
      <c r="G136" s="133"/>
      <c r="H136" s="131"/>
      <c r="I136" s="127"/>
      <c r="AB136" s="127"/>
    </row>
    <row r="137" spans="1:28" x14ac:dyDescent="0.25">
      <c r="A137" s="127"/>
      <c r="B137" s="131"/>
      <c r="C137" s="131"/>
      <c r="D137" s="132"/>
      <c r="E137" s="132"/>
      <c r="F137" s="131"/>
      <c r="G137" s="133"/>
      <c r="H137" s="131"/>
      <c r="I137" s="127"/>
      <c r="AB137" s="127"/>
    </row>
    <row r="138" spans="1:28" x14ac:dyDescent="0.25">
      <c r="A138" s="127"/>
      <c r="B138" s="131"/>
      <c r="C138" s="131"/>
      <c r="D138" s="132"/>
      <c r="E138" s="132"/>
      <c r="F138" s="131"/>
      <c r="G138" s="133"/>
      <c r="H138" s="131"/>
      <c r="I138" s="127"/>
      <c r="AB138" s="127"/>
    </row>
    <row r="139" spans="1:28" x14ac:dyDescent="0.25">
      <c r="A139" s="127"/>
      <c r="B139" s="131"/>
      <c r="C139" s="131"/>
      <c r="D139" s="132"/>
      <c r="E139" s="132"/>
      <c r="F139" s="131"/>
      <c r="G139" s="133"/>
      <c r="H139" s="131"/>
      <c r="I139" s="127"/>
      <c r="AB139" s="127"/>
    </row>
    <row r="140" spans="1:28" x14ac:dyDescent="0.25">
      <c r="A140" s="127"/>
      <c r="B140" s="131"/>
      <c r="C140" s="131"/>
      <c r="D140" s="132"/>
      <c r="E140" s="132"/>
      <c r="F140" s="131"/>
      <c r="G140" s="133"/>
      <c r="H140" s="131"/>
      <c r="I140" s="127"/>
      <c r="AB140" s="127"/>
    </row>
    <row r="141" spans="1:28" x14ac:dyDescent="0.25">
      <c r="A141" s="127"/>
      <c r="B141" s="131"/>
      <c r="C141" s="131"/>
      <c r="D141" s="132"/>
      <c r="E141" s="132"/>
      <c r="F141" s="131"/>
      <c r="G141" s="133"/>
      <c r="H141" s="131"/>
      <c r="I141" s="127"/>
      <c r="AB141" s="127"/>
    </row>
    <row r="142" spans="1:28" x14ac:dyDescent="0.25">
      <c r="A142" s="127"/>
      <c r="B142" s="131"/>
      <c r="C142" s="131"/>
      <c r="D142" s="132"/>
      <c r="E142" s="132"/>
      <c r="F142" s="131"/>
      <c r="G142" s="133"/>
      <c r="H142" s="131"/>
      <c r="I142" s="127"/>
      <c r="AB142" s="127"/>
    </row>
    <row r="143" spans="1:28" x14ac:dyDescent="0.25">
      <c r="A143" s="127"/>
      <c r="B143" s="131"/>
      <c r="C143" s="131"/>
      <c r="D143" s="132"/>
      <c r="E143" s="132"/>
      <c r="F143" s="131"/>
      <c r="G143" s="133"/>
      <c r="H143" s="131"/>
      <c r="I143" s="127"/>
      <c r="AB143" s="127"/>
    </row>
    <row r="144" spans="1:28" x14ac:dyDescent="0.25">
      <c r="A144" s="127"/>
      <c r="B144" s="131"/>
      <c r="C144" s="131"/>
      <c r="D144" s="132"/>
      <c r="E144" s="132"/>
      <c r="F144" s="131"/>
      <c r="G144" s="133"/>
      <c r="H144" s="131"/>
      <c r="I144" s="127"/>
      <c r="AB144" s="127"/>
    </row>
    <row r="145" spans="1:28" x14ac:dyDescent="0.25">
      <c r="A145" s="127"/>
      <c r="B145" s="131"/>
      <c r="C145" s="131"/>
      <c r="D145" s="132"/>
      <c r="E145" s="132"/>
      <c r="F145" s="131"/>
      <c r="G145" s="133"/>
      <c r="H145" s="131"/>
      <c r="I145" s="127"/>
      <c r="AB145" s="127"/>
    </row>
    <row r="146" spans="1:28" x14ac:dyDescent="0.25">
      <c r="A146" s="127"/>
      <c r="B146" s="131"/>
      <c r="C146" s="131"/>
      <c r="D146" s="132"/>
      <c r="E146" s="132"/>
      <c r="F146" s="131"/>
      <c r="G146" s="133"/>
      <c r="H146" s="131"/>
      <c r="I146" s="127"/>
      <c r="AB146" s="127"/>
    </row>
    <row r="147" spans="1:28" x14ac:dyDescent="0.25">
      <c r="A147" s="127"/>
      <c r="B147" s="131"/>
      <c r="C147" s="131"/>
      <c r="D147" s="132"/>
      <c r="E147" s="132"/>
      <c r="F147" s="131"/>
      <c r="G147" s="133"/>
      <c r="H147" s="131"/>
      <c r="I147" s="127"/>
      <c r="AB147" s="127"/>
    </row>
    <row r="148" spans="1:28" x14ac:dyDescent="0.25">
      <c r="A148" s="127"/>
      <c r="B148" s="131"/>
      <c r="C148" s="131"/>
      <c r="D148" s="132"/>
      <c r="E148" s="132"/>
      <c r="F148" s="131"/>
      <c r="G148" s="133"/>
      <c r="H148" s="131"/>
      <c r="I148" s="127"/>
      <c r="AB148" s="127"/>
    </row>
    <row r="149" spans="1:28" x14ac:dyDescent="0.25">
      <c r="A149" s="127"/>
      <c r="B149" s="131"/>
      <c r="C149" s="131"/>
      <c r="D149" s="132"/>
      <c r="E149" s="132"/>
      <c r="F149" s="131"/>
      <c r="G149" s="133"/>
      <c r="H149" s="131"/>
      <c r="I149" s="127"/>
      <c r="AB149" s="127"/>
    </row>
    <row r="150" spans="1:28" x14ac:dyDescent="0.25">
      <c r="A150" s="127"/>
      <c r="B150" s="131"/>
      <c r="C150" s="131"/>
      <c r="D150" s="132"/>
      <c r="E150" s="132"/>
      <c r="F150" s="131"/>
      <c r="G150" s="133"/>
      <c r="H150" s="131"/>
      <c r="I150" s="127"/>
      <c r="AB150" s="127"/>
    </row>
    <row r="151" spans="1:28" x14ac:dyDescent="0.25">
      <c r="A151" s="127"/>
      <c r="B151" s="131"/>
      <c r="C151" s="131"/>
      <c r="D151" s="132"/>
      <c r="E151" s="132"/>
      <c r="F151" s="131"/>
      <c r="G151" s="133"/>
      <c r="H151" s="131"/>
      <c r="I151" s="127"/>
      <c r="AB151" s="127"/>
    </row>
    <row r="152" spans="1:28" x14ac:dyDescent="0.25">
      <c r="A152" s="127"/>
      <c r="B152" s="131"/>
      <c r="C152" s="131"/>
      <c r="D152" s="132"/>
      <c r="E152" s="132"/>
      <c r="F152" s="131"/>
      <c r="G152" s="133"/>
      <c r="H152" s="131"/>
      <c r="I152" s="127"/>
      <c r="AB152" s="127"/>
    </row>
    <row r="153" spans="1:28" x14ac:dyDescent="0.25">
      <c r="A153" s="127"/>
      <c r="B153" s="131"/>
      <c r="C153" s="131"/>
      <c r="D153" s="132"/>
      <c r="E153" s="132"/>
      <c r="F153" s="131"/>
      <c r="G153" s="133"/>
      <c r="H153" s="131"/>
      <c r="I153" s="127"/>
      <c r="AB153" s="127"/>
    </row>
    <row r="154" spans="1:28" x14ac:dyDescent="0.25">
      <c r="A154" s="127"/>
      <c r="B154" s="131"/>
      <c r="C154" s="131"/>
      <c r="D154" s="132"/>
      <c r="E154" s="132"/>
      <c r="F154" s="131"/>
      <c r="G154" s="133"/>
      <c r="H154" s="131"/>
      <c r="I154" s="127"/>
      <c r="AB154" s="127"/>
    </row>
    <row r="155" spans="1:28" x14ac:dyDescent="0.25">
      <c r="A155" s="127"/>
      <c r="B155" s="131"/>
      <c r="C155" s="131"/>
      <c r="D155" s="132"/>
      <c r="E155" s="132"/>
      <c r="F155" s="131"/>
      <c r="G155" s="133"/>
      <c r="H155" s="131"/>
      <c r="I155" s="127"/>
      <c r="AB155" s="127"/>
    </row>
    <row r="156" spans="1:28" x14ac:dyDescent="0.25">
      <c r="A156" s="127"/>
      <c r="B156" s="131"/>
      <c r="C156" s="131"/>
      <c r="D156" s="132"/>
      <c r="E156" s="132"/>
      <c r="F156" s="131"/>
      <c r="G156" s="133"/>
      <c r="H156" s="131"/>
      <c r="I156" s="127"/>
      <c r="AB156" s="127"/>
    </row>
    <row r="157" spans="1:28" x14ac:dyDescent="0.25">
      <c r="A157" s="127"/>
      <c r="B157" s="131"/>
      <c r="C157" s="131"/>
      <c r="D157" s="132"/>
      <c r="E157" s="132"/>
      <c r="F157" s="131"/>
      <c r="G157" s="133"/>
      <c r="H157" s="131"/>
      <c r="I157" s="127"/>
      <c r="AB157" s="127"/>
    </row>
    <row r="158" spans="1:28" x14ac:dyDescent="0.25">
      <c r="A158" s="127"/>
      <c r="B158" s="131"/>
      <c r="C158" s="131"/>
      <c r="D158" s="132"/>
      <c r="E158" s="132"/>
      <c r="F158" s="131"/>
      <c r="G158" s="133"/>
      <c r="H158" s="131"/>
      <c r="I158" s="127"/>
      <c r="AB158" s="127"/>
    </row>
    <row r="159" spans="1:28" x14ac:dyDescent="0.25">
      <c r="A159" s="127"/>
      <c r="B159" s="131"/>
      <c r="C159" s="131"/>
      <c r="D159" s="132"/>
      <c r="E159" s="132"/>
      <c r="F159" s="131"/>
      <c r="G159" s="133"/>
      <c r="H159" s="131"/>
      <c r="I159" s="127"/>
      <c r="AB159" s="127"/>
    </row>
    <row r="160" spans="1:28" x14ac:dyDescent="0.25">
      <c r="A160" s="127"/>
      <c r="B160" s="131"/>
      <c r="C160" s="131"/>
      <c r="D160" s="132"/>
      <c r="E160" s="132"/>
      <c r="F160" s="131"/>
      <c r="G160" s="133"/>
      <c r="H160" s="131"/>
      <c r="I160" s="127"/>
      <c r="AB160" s="127"/>
    </row>
    <row r="161" spans="1:28" x14ac:dyDescent="0.25">
      <c r="A161" s="127"/>
      <c r="B161" s="131"/>
      <c r="C161" s="131"/>
      <c r="D161" s="132"/>
      <c r="E161" s="132"/>
      <c r="F161" s="131"/>
      <c r="G161" s="133"/>
      <c r="H161" s="131"/>
      <c r="I161" s="127"/>
      <c r="AB161" s="127"/>
    </row>
    <row r="162" spans="1:28" x14ac:dyDescent="0.25">
      <c r="A162" s="127"/>
      <c r="B162" s="131"/>
      <c r="C162" s="131"/>
      <c r="D162" s="132"/>
      <c r="E162" s="132"/>
      <c r="F162" s="131"/>
      <c r="G162" s="133"/>
      <c r="H162" s="131"/>
      <c r="I162" s="127"/>
      <c r="AB162" s="127"/>
    </row>
    <row r="163" spans="1:28" x14ac:dyDescent="0.25">
      <c r="A163" s="127"/>
      <c r="B163" s="131"/>
      <c r="C163" s="131"/>
      <c r="D163" s="132"/>
      <c r="E163" s="132"/>
      <c r="F163" s="131"/>
      <c r="G163" s="133"/>
      <c r="H163" s="131"/>
      <c r="I163" s="127"/>
      <c r="AB163" s="127"/>
    </row>
    <row r="164" spans="1:28" x14ac:dyDescent="0.25">
      <c r="A164" s="127"/>
      <c r="B164" s="131"/>
      <c r="C164" s="131"/>
      <c r="D164" s="132"/>
      <c r="E164" s="132"/>
      <c r="F164" s="131"/>
      <c r="G164" s="133"/>
      <c r="H164" s="131"/>
      <c r="I164" s="127"/>
      <c r="AB164" s="127"/>
    </row>
    <row r="165" spans="1:28" x14ac:dyDescent="0.25">
      <c r="A165" s="127"/>
      <c r="B165" s="131"/>
      <c r="C165" s="131"/>
      <c r="D165" s="132"/>
      <c r="E165" s="132"/>
      <c r="F165" s="131"/>
      <c r="G165" s="133"/>
      <c r="H165" s="131"/>
      <c r="I165" s="127"/>
      <c r="AB165" s="127"/>
    </row>
    <row r="166" spans="1:28" x14ac:dyDescent="0.25">
      <c r="A166" s="127"/>
      <c r="B166" s="131"/>
      <c r="C166" s="131"/>
      <c r="D166" s="132"/>
      <c r="E166" s="132"/>
      <c r="F166" s="131"/>
      <c r="G166" s="133"/>
      <c r="H166" s="131"/>
      <c r="I166" s="127"/>
      <c r="AB166" s="127"/>
    </row>
    <row r="167" spans="1:28" x14ac:dyDescent="0.25">
      <c r="A167" s="127"/>
      <c r="B167" s="131"/>
      <c r="C167" s="131"/>
      <c r="D167" s="132"/>
      <c r="E167" s="132"/>
      <c r="F167" s="131"/>
      <c r="G167" s="133"/>
      <c r="H167" s="131"/>
      <c r="I167" s="127"/>
      <c r="AB167" s="127"/>
    </row>
    <row r="168" spans="1:28" x14ac:dyDescent="0.25">
      <c r="A168" s="127"/>
      <c r="B168" s="131"/>
      <c r="C168" s="131"/>
      <c r="D168" s="132"/>
      <c r="E168" s="132"/>
      <c r="F168" s="131"/>
      <c r="G168" s="133"/>
      <c r="H168" s="131"/>
      <c r="I168" s="127"/>
      <c r="AB168" s="127"/>
    </row>
    <row r="169" spans="1:28" x14ac:dyDescent="0.25">
      <c r="A169" s="127"/>
      <c r="B169" s="131"/>
      <c r="C169" s="131"/>
      <c r="D169" s="132"/>
      <c r="E169" s="132"/>
      <c r="F169" s="131"/>
      <c r="G169" s="133"/>
      <c r="H169" s="131"/>
      <c r="I169" s="127"/>
      <c r="AB169" s="127"/>
    </row>
    <row r="170" spans="1:28" x14ac:dyDescent="0.25">
      <c r="A170" s="127"/>
      <c r="B170" s="131"/>
      <c r="C170" s="131"/>
      <c r="D170" s="132"/>
      <c r="E170" s="132"/>
      <c r="F170" s="131"/>
      <c r="G170" s="133"/>
      <c r="H170" s="131"/>
      <c r="I170" s="127"/>
      <c r="AB170" s="127"/>
    </row>
    <row r="171" spans="1:28" x14ac:dyDescent="0.25">
      <c r="A171" s="127"/>
      <c r="B171" s="131"/>
      <c r="C171" s="131"/>
      <c r="D171" s="132"/>
      <c r="E171" s="132"/>
      <c r="F171" s="131"/>
      <c r="G171" s="133"/>
      <c r="H171" s="131"/>
      <c r="I171" s="127"/>
      <c r="AB171" s="127"/>
    </row>
    <row r="172" spans="1:28" x14ac:dyDescent="0.25">
      <c r="A172" s="127"/>
      <c r="B172" s="131"/>
      <c r="C172" s="131"/>
      <c r="D172" s="132"/>
      <c r="E172" s="132"/>
      <c r="F172" s="131"/>
      <c r="G172" s="133"/>
      <c r="H172" s="131"/>
      <c r="I172" s="127"/>
      <c r="AB172" s="127"/>
    </row>
    <row r="173" spans="1:28" x14ac:dyDescent="0.25">
      <c r="A173" s="127"/>
      <c r="B173" s="131"/>
      <c r="C173" s="131"/>
      <c r="D173" s="132"/>
      <c r="E173" s="132"/>
      <c r="F173" s="131"/>
      <c r="G173" s="133"/>
      <c r="H173" s="131"/>
      <c r="I173" s="127"/>
      <c r="AB173" s="127"/>
    </row>
    <row r="174" spans="1:28" x14ac:dyDescent="0.25">
      <c r="A174" s="127"/>
      <c r="B174" s="131"/>
      <c r="C174" s="131"/>
      <c r="D174" s="132"/>
      <c r="E174" s="132"/>
      <c r="F174" s="131"/>
      <c r="G174" s="133"/>
      <c r="H174" s="131"/>
      <c r="I174" s="127"/>
      <c r="AB174" s="127"/>
    </row>
    <row r="175" spans="1:28" x14ac:dyDescent="0.25">
      <c r="A175" s="127"/>
      <c r="B175" s="131"/>
      <c r="C175" s="131"/>
      <c r="D175" s="132"/>
      <c r="E175" s="132"/>
      <c r="F175" s="131"/>
      <c r="G175" s="133"/>
      <c r="H175" s="131"/>
      <c r="I175" s="127"/>
      <c r="AB175" s="127"/>
    </row>
    <row r="176" spans="1:28" x14ac:dyDescent="0.25">
      <c r="A176" s="127"/>
      <c r="B176" s="131"/>
      <c r="C176" s="131"/>
      <c r="D176" s="132"/>
      <c r="E176" s="132"/>
      <c r="F176" s="131"/>
      <c r="G176" s="133"/>
      <c r="H176" s="131"/>
      <c r="I176" s="127"/>
      <c r="AB176" s="127"/>
    </row>
    <row r="177" spans="1:28" x14ac:dyDescent="0.25">
      <c r="A177" s="127"/>
      <c r="B177" s="131"/>
      <c r="C177" s="131"/>
      <c r="D177" s="132"/>
      <c r="E177" s="132"/>
      <c r="F177" s="131"/>
      <c r="G177" s="133"/>
      <c r="H177" s="131"/>
      <c r="I177" s="127"/>
      <c r="AB177" s="127"/>
    </row>
    <row r="178" spans="1:28" x14ac:dyDescent="0.25">
      <c r="A178" s="127"/>
      <c r="B178" s="131"/>
      <c r="C178" s="131"/>
      <c r="D178" s="132"/>
      <c r="E178" s="132"/>
      <c r="F178" s="131"/>
      <c r="G178" s="133"/>
      <c r="H178" s="131"/>
      <c r="I178" s="127"/>
      <c r="AB178" s="127"/>
    </row>
    <row r="179" spans="1:28" x14ac:dyDescent="0.25">
      <c r="A179" s="127"/>
      <c r="B179" s="131"/>
      <c r="C179" s="131"/>
      <c r="D179" s="132"/>
      <c r="E179" s="132"/>
      <c r="F179" s="131"/>
      <c r="G179" s="133"/>
      <c r="H179" s="131"/>
      <c r="I179" s="127"/>
      <c r="AB179" s="127"/>
    </row>
    <row r="180" spans="1:28" x14ac:dyDescent="0.25">
      <c r="A180" s="127"/>
      <c r="B180" s="131"/>
      <c r="C180" s="131"/>
      <c r="D180" s="132"/>
      <c r="E180" s="132"/>
      <c r="F180" s="131"/>
      <c r="G180" s="133"/>
      <c r="H180" s="131"/>
      <c r="I180" s="127"/>
      <c r="AB180" s="127"/>
    </row>
    <row r="181" spans="1:28" x14ac:dyDescent="0.25">
      <c r="A181" s="127"/>
      <c r="B181" s="131"/>
      <c r="C181" s="131"/>
      <c r="D181" s="132"/>
      <c r="E181" s="132"/>
      <c r="F181" s="131"/>
      <c r="G181" s="133"/>
      <c r="H181" s="131"/>
      <c r="I181" s="127"/>
      <c r="AB181" s="127"/>
    </row>
    <row r="182" spans="1:28" x14ac:dyDescent="0.25">
      <c r="A182" s="127"/>
      <c r="B182" s="131"/>
      <c r="C182" s="131"/>
      <c r="D182" s="132"/>
      <c r="E182" s="132"/>
      <c r="F182" s="131"/>
      <c r="G182" s="133"/>
      <c r="H182" s="131"/>
      <c r="I182" s="127"/>
      <c r="AB182" s="127"/>
    </row>
    <row r="183" spans="1:28" x14ac:dyDescent="0.25">
      <c r="A183" s="127"/>
      <c r="B183" s="131"/>
      <c r="C183" s="131"/>
      <c r="D183" s="132"/>
      <c r="E183" s="132"/>
      <c r="F183" s="131"/>
      <c r="G183" s="133"/>
      <c r="H183" s="131"/>
      <c r="I183" s="127"/>
      <c r="AB183" s="127"/>
    </row>
    <row r="184" spans="1:28" x14ac:dyDescent="0.25">
      <c r="A184" s="127"/>
      <c r="B184" s="131"/>
      <c r="C184" s="131"/>
      <c r="D184" s="132"/>
      <c r="E184" s="132"/>
      <c r="F184" s="131"/>
      <c r="G184" s="133"/>
      <c r="H184" s="131"/>
      <c r="I184" s="127"/>
      <c r="AB184" s="127"/>
    </row>
    <row r="185" spans="1:28" x14ac:dyDescent="0.25">
      <c r="A185" s="127"/>
      <c r="B185" s="131"/>
      <c r="C185" s="131"/>
      <c r="D185" s="132"/>
      <c r="E185" s="132"/>
      <c r="F185" s="131"/>
      <c r="G185" s="133"/>
      <c r="H185" s="131"/>
      <c r="I185" s="127"/>
      <c r="AB185" s="127"/>
    </row>
    <row r="186" spans="1:28" x14ac:dyDescent="0.25">
      <c r="A186" s="127"/>
      <c r="B186" s="131"/>
      <c r="C186" s="131"/>
      <c r="D186" s="132"/>
      <c r="E186" s="132"/>
      <c r="F186" s="131"/>
      <c r="G186" s="133"/>
      <c r="H186" s="131"/>
      <c r="I186" s="127"/>
      <c r="AB186" s="127"/>
    </row>
    <row r="187" spans="1:28" x14ac:dyDescent="0.25">
      <c r="A187" s="127"/>
      <c r="B187" s="131"/>
      <c r="C187" s="131"/>
      <c r="D187" s="132"/>
      <c r="E187" s="132"/>
      <c r="F187" s="131"/>
      <c r="G187" s="133"/>
      <c r="H187" s="131"/>
      <c r="I187" s="127"/>
      <c r="AB187" s="127"/>
    </row>
    <row r="188" spans="1:28" x14ac:dyDescent="0.25">
      <c r="A188" s="127"/>
      <c r="B188" s="131"/>
      <c r="C188" s="131"/>
      <c r="D188" s="132"/>
      <c r="E188" s="132"/>
      <c r="F188" s="131"/>
      <c r="G188" s="133"/>
      <c r="H188" s="131"/>
      <c r="I188" s="127"/>
      <c r="AB188" s="127"/>
    </row>
    <row r="189" spans="1:28" x14ac:dyDescent="0.25">
      <c r="A189" s="127"/>
      <c r="B189" s="131"/>
      <c r="C189" s="131"/>
      <c r="D189" s="132"/>
      <c r="E189" s="132"/>
      <c r="F189" s="131"/>
      <c r="G189" s="133"/>
      <c r="H189" s="131"/>
      <c r="I189" s="127"/>
      <c r="AB189" s="127"/>
    </row>
    <row r="190" spans="1:28" x14ac:dyDescent="0.25">
      <c r="A190" s="127"/>
      <c r="B190" s="131"/>
      <c r="C190" s="131"/>
      <c r="D190" s="132"/>
      <c r="E190" s="132"/>
      <c r="F190" s="131"/>
      <c r="G190" s="133"/>
      <c r="H190" s="131"/>
      <c r="I190" s="127"/>
      <c r="AB190" s="127"/>
    </row>
    <row r="191" spans="1:28" x14ac:dyDescent="0.25">
      <c r="A191" s="127"/>
      <c r="B191" s="131"/>
      <c r="C191" s="131"/>
      <c r="D191" s="132"/>
      <c r="E191" s="132"/>
      <c r="F191" s="131"/>
      <c r="G191" s="133"/>
      <c r="H191" s="131"/>
      <c r="I191" s="127"/>
      <c r="AB191" s="127"/>
    </row>
    <row r="192" spans="1:28" x14ac:dyDescent="0.25">
      <c r="A192" s="127"/>
      <c r="B192" s="131"/>
      <c r="C192" s="131"/>
      <c r="D192" s="132"/>
      <c r="E192" s="132"/>
      <c r="F192" s="131"/>
      <c r="G192" s="133"/>
      <c r="H192" s="131"/>
      <c r="I192" s="127"/>
      <c r="AB192" s="127"/>
    </row>
    <row r="193" spans="1:28" x14ac:dyDescent="0.25">
      <c r="A193" s="127"/>
      <c r="B193" s="131"/>
      <c r="C193" s="131"/>
      <c r="D193" s="132"/>
      <c r="E193" s="132"/>
      <c r="F193" s="131"/>
      <c r="G193" s="133"/>
      <c r="H193" s="131"/>
      <c r="I193" s="127"/>
      <c r="AB193" s="127"/>
    </row>
    <row r="194" spans="1:28" x14ac:dyDescent="0.25">
      <c r="A194" s="127"/>
      <c r="B194" s="131"/>
      <c r="C194" s="131"/>
      <c r="D194" s="132"/>
      <c r="E194" s="132"/>
      <c r="F194" s="131"/>
      <c r="G194" s="133"/>
      <c r="H194" s="131"/>
      <c r="I194" s="127"/>
      <c r="AB194" s="127"/>
    </row>
    <row r="195" spans="1:28" x14ac:dyDescent="0.25">
      <c r="A195" s="127"/>
      <c r="B195" s="131"/>
      <c r="C195" s="131"/>
      <c r="D195" s="132"/>
      <c r="E195" s="132"/>
      <c r="F195" s="131"/>
      <c r="G195" s="133"/>
      <c r="H195" s="131"/>
      <c r="I195" s="127"/>
      <c r="AB195" s="127"/>
    </row>
    <row r="196" spans="1:28" x14ac:dyDescent="0.25">
      <c r="A196" s="127"/>
      <c r="B196" s="131"/>
      <c r="C196" s="131"/>
      <c r="D196" s="132"/>
      <c r="E196" s="132"/>
      <c r="F196" s="131"/>
      <c r="G196" s="133"/>
      <c r="H196" s="131"/>
      <c r="I196" s="127"/>
      <c r="AB196" s="127"/>
    </row>
    <row r="197" spans="1:28" x14ac:dyDescent="0.25">
      <c r="A197" s="127"/>
      <c r="B197" s="131"/>
      <c r="C197" s="131"/>
      <c r="D197" s="132"/>
      <c r="E197" s="132"/>
      <c r="F197" s="131"/>
      <c r="G197" s="133"/>
      <c r="H197" s="131"/>
      <c r="I197" s="127"/>
      <c r="AB197" s="127"/>
    </row>
    <row r="198" spans="1:28" x14ac:dyDescent="0.25">
      <c r="A198" s="127"/>
      <c r="B198" s="131"/>
      <c r="C198" s="131"/>
      <c r="D198" s="132"/>
      <c r="E198" s="132"/>
      <c r="F198" s="131"/>
      <c r="G198" s="133"/>
      <c r="H198" s="131"/>
      <c r="I198" s="127"/>
      <c r="AB198" s="127"/>
    </row>
    <row r="199" spans="1:28" x14ac:dyDescent="0.25">
      <c r="A199" s="127"/>
      <c r="B199" s="131"/>
      <c r="C199" s="131"/>
      <c r="D199" s="132"/>
      <c r="E199" s="132"/>
      <c r="F199" s="131"/>
      <c r="G199" s="133"/>
      <c r="H199" s="131"/>
      <c r="I199" s="127"/>
      <c r="AB199" s="127"/>
    </row>
    <row r="200" spans="1:28" x14ac:dyDescent="0.25">
      <c r="A200" s="127"/>
      <c r="B200" s="131"/>
      <c r="C200" s="131"/>
      <c r="D200" s="132"/>
      <c r="E200" s="132"/>
      <c r="F200" s="131"/>
      <c r="G200" s="133"/>
      <c r="H200" s="131"/>
      <c r="I200" s="127"/>
      <c r="AB200" s="127"/>
    </row>
    <row r="201" spans="1:28" x14ac:dyDescent="0.25">
      <c r="A201" s="127"/>
      <c r="B201" s="131"/>
      <c r="C201" s="131"/>
      <c r="D201" s="132"/>
      <c r="E201" s="132"/>
      <c r="F201" s="131"/>
      <c r="G201" s="133"/>
      <c r="H201" s="131"/>
      <c r="I201" s="127"/>
      <c r="AB201" s="127"/>
    </row>
    <row r="202" spans="1:28" x14ac:dyDescent="0.25">
      <c r="A202" s="127"/>
      <c r="B202" s="131"/>
      <c r="C202" s="131"/>
      <c r="D202" s="132"/>
      <c r="E202" s="132"/>
      <c r="F202" s="131"/>
      <c r="G202" s="133"/>
      <c r="H202" s="131"/>
      <c r="I202" s="127"/>
      <c r="AB202" s="127"/>
    </row>
    <row r="203" spans="1:28" x14ac:dyDescent="0.25">
      <c r="A203" s="127"/>
      <c r="B203" s="131"/>
      <c r="C203" s="131"/>
      <c r="D203" s="132"/>
      <c r="E203" s="132"/>
      <c r="F203" s="131"/>
      <c r="G203" s="133"/>
      <c r="H203" s="131"/>
      <c r="I203" s="127"/>
      <c r="AB203" s="127"/>
    </row>
    <row r="204" spans="1:28" x14ac:dyDescent="0.25">
      <c r="A204" s="127"/>
      <c r="B204" s="131"/>
      <c r="C204" s="131"/>
      <c r="D204" s="132"/>
      <c r="E204" s="132"/>
      <c r="F204" s="131"/>
      <c r="G204" s="133"/>
      <c r="H204" s="131"/>
      <c r="I204" s="127"/>
      <c r="AB204" s="127"/>
    </row>
    <row r="205" spans="1:28" x14ac:dyDescent="0.25">
      <c r="A205" s="127"/>
      <c r="B205" s="131"/>
      <c r="C205" s="131"/>
      <c r="D205" s="132"/>
      <c r="E205" s="132"/>
      <c r="F205" s="131"/>
      <c r="G205" s="133"/>
      <c r="H205" s="131"/>
      <c r="I205" s="127"/>
      <c r="AB205" s="127"/>
    </row>
    <row r="206" spans="1:28" x14ac:dyDescent="0.25">
      <c r="A206" s="127"/>
      <c r="B206" s="131"/>
      <c r="C206" s="131"/>
      <c r="D206" s="132"/>
      <c r="E206" s="132"/>
      <c r="F206" s="131"/>
      <c r="G206" s="133"/>
      <c r="H206" s="131"/>
      <c r="I206" s="127"/>
      <c r="AB206" s="127"/>
    </row>
    <row r="207" spans="1:28" x14ac:dyDescent="0.25">
      <c r="A207" s="127"/>
      <c r="B207" s="131"/>
      <c r="C207" s="131"/>
      <c r="D207" s="132"/>
      <c r="E207" s="132"/>
      <c r="F207" s="131"/>
      <c r="G207" s="133"/>
      <c r="H207" s="131"/>
      <c r="I207" s="127"/>
      <c r="AB207" s="127"/>
    </row>
    <row r="208" spans="1:28" x14ac:dyDescent="0.25">
      <c r="A208" s="127"/>
      <c r="B208" s="131"/>
      <c r="C208" s="131"/>
      <c r="D208" s="132"/>
      <c r="E208" s="132"/>
      <c r="F208" s="131"/>
      <c r="G208" s="133"/>
      <c r="H208" s="131"/>
      <c r="I208" s="127"/>
      <c r="AB208" s="127"/>
    </row>
    <row r="209" spans="1:28" x14ac:dyDescent="0.25">
      <c r="A209" s="127"/>
      <c r="B209" s="131"/>
      <c r="C209" s="131"/>
      <c r="D209" s="132"/>
      <c r="E209" s="132"/>
      <c r="F209" s="131"/>
      <c r="G209" s="133"/>
      <c r="H209" s="131"/>
      <c r="I209" s="127"/>
      <c r="AB209" s="127"/>
    </row>
    <row r="210" spans="1:28" x14ac:dyDescent="0.25">
      <c r="A210" s="127"/>
      <c r="B210" s="131"/>
      <c r="C210" s="131"/>
      <c r="D210" s="132"/>
      <c r="E210" s="132"/>
      <c r="F210" s="131"/>
      <c r="G210" s="133"/>
      <c r="H210" s="131"/>
      <c r="I210" s="127"/>
      <c r="AB210" s="127"/>
    </row>
    <row r="211" spans="1:28" x14ac:dyDescent="0.25">
      <c r="A211" s="127"/>
      <c r="B211" s="131"/>
      <c r="C211" s="131"/>
      <c r="D211" s="132"/>
      <c r="E211" s="132"/>
      <c r="F211" s="131"/>
      <c r="G211" s="133"/>
      <c r="H211" s="131"/>
      <c r="I211" s="127"/>
      <c r="AB211" s="127"/>
    </row>
    <row r="212" spans="1:28" x14ac:dyDescent="0.25">
      <c r="A212" s="127"/>
      <c r="B212" s="131"/>
      <c r="C212" s="131"/>
      <c r="D212" s="132"/>
      <c r="E212" s="132"/>
      <c r="F212" s="131"/>
      <c r="G212" s="133"/>
      <c r="H212" s="131"/>
      <c r="I212" s="127"/>
      <c r="AB212" s="127"/>
    </row>
    <row r="213" spans="1:28" x14ac:dyDescent="0.25">
      <c r="A213" s="127"/>
      <c r="B213" s="131"/>
      <c r="C213" s="131"/>
      <c r="D213" s="132"/>
      <c r="E213" s="132"/>
      <c r="F213" s="131"/>
      <c r="G213" s="133"/>
      <c r="H213" s="131"/>
      <c r="I213" s="127"/>
      <c r="AB213" s="127"/>
    </row>
    <row r="214" spans="1:28" x14ac:dyDescent="0.25">
      <c r="A214" s="127"/>
      <c r="B214" s="131"/>
      <c r="C214" s="131"/>
      <c r="D214" s="132"/>
      <c r="E214" s="132"/>
      <c r="F214" s="131"/>
      <c r="G214" s="133"/>
      <c r="H214" s="131"/>
      <c r="I214" s="127"/>
      <c r="AB214" s="127"/>
    </row>
    <row r="215" spans="1:28" x14ac:dyDescent="0.25">
      <c r="A215" s="127"/>
      <c r="B215" s="131"/>
      <c r="C215" s="131"/>
      <c r="D215" s="132"/>
      <c r="E215" s="132"/>
      <c r="F215" s="131"/>
      <c r="G215" s="133"/>
      <c r="H215" s="131"/>
      <c r="I215" s="127"/>
      <c r="AB215" s="127"/>
    </row>
    <row r="216" spans="1:28" x14ac:dyDescent="0.25">
      <c r="A216" s="127"/>
      <c r="B216" s="131"/>
      <c r="C216" s="131"/>
      <c r="D216" s="132"/>
      <c r="E216" s="132"/>
      <c r="F216" s="131"/>
      <c r="G216" s="133"/>
      <c r="H216" s="131"/>
      <c r="I216" s="127"/>
      <c r="AB216" s="127"/>
    </row>
    <row r="217" spans="1:28" x14ac:dyDescent="0.25">
      <c r="A217" s="127"/>
      <c r="B217" s="131"/>
      <c r="C217" s="131"/>
      <c r="D217" s="132"/>
      <c r="E217" s="132"/>
      <c r="F217" s="131"/>
      <c r="G217" s="133"/>
      <c r="H217" s="131"/>
      <c r="I217" s="127"/>
      <c r="AB217" s="127"/>
    </row>
    <row r="218" spans="1:28" x14ac:dyDescent="0.25">
      <c r="A218" s="127"/>
      <c r="B218" s="131"/>
      <c r="C218" s="131"/>
      <c r="D218" s="132"/>
      <c r="E218" s="132"/>
      <c r="F218" s="131"/>
      <c r="G218" s="133"/>
      <c r="H218" s="131"/>
      <c r="I218" s="127"/>
      <c r="AB218" s="127"/>
    </row>
    <row r="219" spans="1:28" x14ac:dyDescent="0.25">
      <c r="A219" s="127"/>
      <c r="B219" s="131"/>
      <c r="C219" s="131"/>
      <c r="D219" s="132"/>
      <c r="E219" s="132"/>
      <c r="F219" s="131"/>
      <c r="G219" s="133"/>
      <c r="H219" s="131"/>
      <c r="I219" s="127"/>
      <c r="AB219" s="127"/>
    </row>
    <row r="220" spans="1:28" x14ac:dyDescent="0.25">
      <c r="A220" s="127"/>
      <c r="B220" s="131"/>
      <c r="C220" s="131"/>
      <c r="D220" s="132"/>
      <c r="E220" s="132"/>
      <c r="F220" s="131"/>
      <c r="G220" s="133"/>
      <c r="H220" s="131"/>
      <c r="I220" s="127"/>
      <c r="AB220" s="127"/>
    </row>
    <row r="221" spans="1:28" x14ac:dyDescent="0.25">
      <c r="A221" s="127"/>
      <c r="B221" s="131"/>
      <c r="C221" s="131"/>
      <c r="D221" s="132"/>
      <c r="E221" s="132"/>
      <c r="F221" s="131"/>
      <c r="G221" s="133"/>
      <c r="H221" s="131"/>
      <c r="I221" s="127"/>
      <c r="AB221" s="127"/>
    </row>
    <row r="222" spans="1:28" x14ac:dyDescent="0.25">
      <c r="A222" s="127"/>
      <c r="B222" s="131"/>
      <c r="C222" s="131"/>
      <c r="D222" s="132"/>
      <c r="E222" s="132"/>
      <c r="F222" s="131"/>
      <c r="G222" s="133"/>
      <c r="H222" s="131"/>
      <c r="I222" s="127"/>
      <c r="AB222" s="127"/>
    </row>
    <row r="223" spans="1:28" x14ac:dyDescent="0.25">
      <c r="A223" s="127"/>
      <c r="B223" s="131"/>
      <c r="C223" s="131"/>
      <c r="D223" s="132"/>
      <c r="E223" s="132"/>
      <c r="F223" s="131"/>
      <c r="G223" s="133"/>
      <c r="H223" s="131"/>
      <c r="I223" s="127"/>
      <c r="AB223" s="127"/>
    </row>
    <row r="224" spans="1:28" x14ac:dyDescent="0.25">
      <c r="A224" s="127"/>
      <c r="B224" s="131"/>
      <c r="C224" s="131"/>
      <c r="D224" s="132"/>
      <c r="E224" s="132"/>
      <c r="F224" s="131"/>
      <c r="G224" s="133"/>
      <c r="H224" s="131"/>
      <c r="I224" s="127"/>
      <c r="AB224" s="127"/>
    </row>
    <row r="225" spans="1:28" x14ac:dyDescent="0.25">
      <c r="A225" s="127"/>
      <c r="B225" s="131"/>
      <c r="C225" s="131"/>
      <c r="D225" s="132"/>
      <c r="E225" s="132"/>
      <c r="F225" s="131"/>
      <c r="G225" s="133"/>
      <c r="H225" s="131"/>
      <c r="I225" s="127"/>
      <c r="AB225" s="127"/>
    </row>
    <row r="226" spans="1:28" x14ac:dyDescent="0.25">
      <c r="A226" s="127"/>
      <c r="B226" s="131"/>
      <c r="C226" s="131"/>
      <c r="D226" s="132"/>
      <c r="E226" s="132"/>
      <c r="F226" s="131"/>
      <c r="G226" s="133"/>
      <c r="H226" s="131"/>
      <c r="I226" s="127"/>
      <c r="AB226" s="127"/>
    </row>
    <row r="227" spans="1:28" x14ac:dyDescent="0.25">
      <c r="A227" s="127"/>
      <c r="B227" s="131"/>
      <c r="C227" s="131"/>
      <c r="D227" s="132"/>
      <c r="E227" s="132"/>
      <c r="F227" s="131"/>
      <c r="G227" s="133"/>
      <c r="H227" s="131"/>
      <c r="I227" s="127"/>
      <c r="AB227" s="127"/>
    </row>
    <row r="228" spans="1:28" x14ac:dyDescent="0.25">
      <c r="A228" s="127"/>
      <c r="B228" s="131"/>
      <c r="C228" s="131"/>
      <c r="D228" s="132"/>
      <c r="E228" s="132"/>
      <c r="F228" s="131"/>
      <c r="G228" s="133"/>
      <c r="H228" s="131"/>
      <c r="I228" s="127"/>
      <c r="AB228" s="127"/>
    </row>
    <row r="229" spans="1:28" x14ac:dyDescent="0.25">
      <c r="A229" s="127"/>
      <c r="B229" s="131"/>
      <c r="C229" s="131"/>
      <c r="D229" s="132"/>
      <c r="E229" s="132"/>
      <c r="F229" s="131"/>
      <c r="G229" s="133"/>
      <c r="H229" s="131"/>
      <c r="I229" s="127"/>
      <c r="AB229" s="127"/>
    </row>
    <row r="230" spans="1:28" x14ac:dyDescent="0.25">
      <c r="A230" s="127"/>
      <c r="B230" s="131"/>
      <c r="C230" s="131"/>
      <c r="D230" s="132"/>
      <c r="E230" s="132"/>
      <c r="F230" s="131"/>
      <c r="G230" s="133"/>
      <c r="H230" s="131"/>
      <c r="I230" s="127"/>
      <c r="AB230" s="127"/>
    </row>
    <row r="231" spans="1:28" x14ac:dyDescent="0.25">
      <c r="A231" s="127"/>
      <c r="B231" s="131"/>
      <c r="C231" s="131"/>
      <c r="D231" s="132"/>
      <c r="E231" s="132"/>
      <c r="F231" s="131"/>
      <c r="G231" s="133"/>
      <c r="H231" s="131"/>
      <c r="I231" s="127"/>
      <c r="AB231" s="127"/>
    </row>
    <row r="232" spans="1:28" x14ac:dyDescent="0.25">
      <c r="A232" s="127"/>
      <c r="B232" s="131"/>
      <c r="C232" s="131"/>
      <c r="D232" s="132"/>
      <c r="E232" s="132"/>
      <c r="F232" s="131"/>
      <c r="G232" s="133"/>
      <c r="H232" s="131"/>
      <c r="I232" s="127"/>
      <c r="AB232" s="127"/>
    </row>
    <row r="233" spans="1:28" x14ac:dyDescent="0.25">
      <c r="A233" s="127"/>
      <c r="B233" s="131"/>
      <c r="C233" s="131"/>
      <c r="D233" s="132"/>
      <c r="E233" s="132"/>
      <c r="F233" s="131"/>
      <c r="G233" s="133"/>
      <c r="H233" s="131"/>
      <c r="I233" s="127"/>
      <c r="AB233" s="127"/>
    </row>
    <row r="234" spans="1:28" x14ac:dyDescent="0.25">
      <c r="A234" s="127"/>
      <c r="B234" s="131"/>
      <c r="C234" s="131"/>
      <c r="D234" s="132"/>
      <c r="E234" s="132"/>
      <c r="F234" s="131"/>
      <c r="G234" s="133"/>
      <c r="H234" s="131"/>
      <c r="I234" s="127"/>
      <c r="AB234" s="127"/>
    </row>
    <row r="235" spans="1:28" x14ac:dyDescent="0.25">
      <c r="A235" s="127"/>
      <c r="B235" s="131"/>
      <c r="C235" s="131"/>
      <c r="D235" s="132"/>
      <c r="E235" s="132"/>
      <c r="F235" s="131"/>
      <c r="G235" s="133"/>
      <c r="H235" s="131"/>
      <c r="I235" s="127"/>
      <c r="AB235" s="127"/>
    </row>
    <row r="236" spans="1:28" x14ac:dyDescent="0.25">
      <c r="A236" s="127"/>
      <c r="B236" s="131"/>
      <c r="C236" s="131"/>
      <c r="D236" s="132"/>
      <c r="E236" s="132"/>
      <c r="F236" s="131"/>
      <c r="G236" s="133"/>
      <c r="H236" s="131"/>
      <c r="I236" s="127"/>
      <c r="AB236" s="127"/>
    </row>
    <row r="237" spans="1:28" x14ac:dyDescent="0.25">
      <c r="A237" s="127"/>
      <c r="B237" s="131"/>
      <c r="C237" s="131"/>
      <c r="D237" s="132"/>
      <c r="E237" s="132"/>
      <c r="F237" s="131"/>
      <c r="G237" s="133"/>
      <c r="H237" s="131"/>
      <c r="I237" s="127"/>
      <c r="AB237" s="127"/>
    </row>
    <row r="238" spans="1:28" x14ac:dyDescent="0.25">
      <c r="A238" s="127"/>
      <c r="B238" s="131"/>
      <c r="C238" s="131"/>
      <c r="D238" s="132"/>
      <c r="E238" s="132"/>
      <c r="F238" s="131"/>
      <c r="G238" s="133"/>
      <c r="H238" s="131"/>
      <c r="I238" s="127"/>
      <c r="AB238" s="127"/>
    </row>
  </sheetData>
  <mergeCells count="1">
    <mergeCell ref="L1:AA1"/>
  </mergeCells>
  <pageMargins left="0.75" right="0.75" top="1" bottom="1" header="0.5" footer="0.5"/>
  <pageSetup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branch dissections</vt:lpstr>
      <vt:lpstr>dissected branch calculations</vt:lpstr>
      <vt:lpstr>main trunk calculations</vt:lpstr>
      <vt:lpstr>segment calculations</vt:lpstr>
      <vt:lpstr>branch calculations</vt:lpstr>
      <vt:lpstr>HSU branch densities</vt:lpstr>
      <vt:lpstr>brnchlt equations and multiples</vt:lpstr>
      <vt:lpstr>'HSU branch densities'!Print_Area</vt:lpstr>
    </vt:vector>
  </TitlesOfParts>
  <Company>Humboldt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Sillett</dc:creator>
  <cp:lastModifiedBy>Russell D. Kramer</cp:lastModifiedBy>
  <cp:lastPrinted>2016-02-07T18:32:13Z</cp:lastPrinted>
  <dcterms:created xsi:type="dcterms:W3CDTF">2016-02-06T22:05:02Z</dcterms:created>
  <dcterms:modified xsi:type="dcterms:W3CDTF">2018-04-30T01:18:40Z</dcterms:modified>
</cp:coreProperties>
</file>