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MADHES-PC\Desktop\"/>
    </mc:Choice>
  </mc:AlternateContent>
  <bookViews>
    <workbookView xWindow="0" yWindow="0" windowWidth="15480" windowHeight="8190" tabRatio="869" firstSheet="5" activeTab="5"/>
  </bookViews>
  <sheets>
    <sheet name="HyperLink" sheetId="1" r:id="rId1"/>
    <sheet name="NCB" sheetId="2" r:id="rId2"/>
    <sheet name="2 Wheeler" sheetId="5" r:id="rId3"/>
    <sheet name="MCCAL" sheetId="3" state="hidden" r:id="rId4"/>
    <sheet name="MCT" sheetId="4" state="hidden" r:id="rId5"/>
    <sheet name="Pvt.Car" sheetId="6" r:id="rId6"/>
    <sheet name="GCCV_Public" sheetId="7" r:id="rId7"/>
    <sheet name="GCCV_Private" sheetId="8" r:id="rId8"/>
    <sheet name="GCCV 3W Public" sheetId="9" r:id="rId9"/>
    <sheet name="GCCV 3W Private" sheetId="10" r:id="rId10"/>
    <sheet name="PCCV 3W up to 6 P" sheetId="11" r:id="rId11"/>
    <sheet name="PCCV 4W Up To 6 P" sheetId="12" r:id="rId12"/>
    <sheet name="PCCV 3W 7 TO 18 P" sheetId="13" r:id="rId13"/>
    <sheet name="PCCV Maxi &amp; Bus" sheetId="14" r:id="rId14"/>
    <sheet name="Misc  Class D" sheetId="15" r:id="rId15"/>
    <sheet name="PCCVT" sheetId="16" state="hidden" r:id="rId16"/>
    <sheet name="CART" sheetId="17" state="hidden" r:id="rId17"/>
    <sheet name="PCCVCAL" sheetId="18" state="hidden" r:id="rId18"/>
    <sheet name="CARCAL" sheetId="19" state="hidden" r:id="rId19"/>
    <sheet name="Database" sheetId="20" state="hidden" r:id="rId20"/>
    <sheet name="Database1" sheetId="21" state="hidden" r:id="rId21"/>
    <sheet name="Database2" sheetId="22" state="hidden" r:id="rId22"/>
    <sheet name="Database 2" sheetId="23" state="hidden" r:id="rId23"/>
  </sheets>
  <definedNames>
    <definedName name="_xlnm.Print_Area" localSheetId="2">'2 Wheeler'!$A$1:$G$35</definedName>
    <definedName name="_xlnm.Print_Area" localSheetId="9">'GCCV 3W Private'!$A$1:$G$33</definedName>
    <definedName name="_xlnm.Print_Area" localSheetId="8">'GCCV 3W Public'!$A$1:$G$33</definedName>
    <definedName name="_xlnm.Print_Area" localSheetId="7">GCCV_Private!$A$1:$G$34</definedName>
    <definedName name="_xlnm.Print_Area" localSheetId="6">GCCV_Public!$A$1:$G$34</definedName>
    <definedName name="_xlnm.Print_Area" localSheetId="14">'Misc  Class D'!$A$1:$G$34</definedName>
    <definedName name="_xlnm.Print_Area" localSheetId="10">'PCCV 3W up to 6 P'!$A$1:$G$35</definedName>
    <definedName name="_xlnm.Print_Area" localSheetId="13">'PCCV Maxi &amp; Bus'!$A$1:$G$32</definedName>
    <definedName name="_xlnm.Print_Area" localSheetId="5">Pvt.Car!$A$1:$G$36</definedName>
  </definedNames>
  <calcPr calcId="162913"/>
</workbook>
</file>

<file path=xl/calcChain.xml><?xml version="1.0" encoding="utf-8"?>
<calcChain xmlns="http://schemas.openxmlformats.org/spreadsheetml/2006/main">
  <c r="A45" i="7" l="1"/>
  <c r="B45" i="7"/>
  <c r="G10" i="15"/>
  <c r="G10" i="14"/>
  <c r="G9" i="13"/>
  <c r="G11" i="13"/>
  <c r="G11" i="11"/>
  <c r="C11" i="5"/>
  <c r="G11" i="5"/>
  <c r="C12" i="5"/>
  <c r="G12" i="5"/>
  <c r="C13" i="5"/>
  <c r="G15" i="5"/>
  <c r="E16" i="5"/>
  <c r="C17" i="5"/>
  <c r="C18" i="5"/>
  <c r="G18" i="5"/>
  <c r="C19" i="5"/>
  <c r="C21" i="5"/>
  <c r="G21" i="5"/>
  <c r="C22" i="5"/>
  <c r="C23" i="5"/>
  <c r="C24" i="5"/>
  <c r="C25" i="5"/>
  <c r="B46" i="5"/>
  <c r="A46" i="5"/>
  <c r="C16" i="5" s="1"/>
  <c r="B4" i="19"/>
  <c r="B5" i="19"/>
  <c r="B6" i="19"/>
  <c r="J2" i="20"/>
  <c r="J3" i="20"/>
  <c r="M2" i="20"/>
  <c r="G10" i="7" s="1"/>
  <c r="J4" i="20"/>
  <c r="J6" i="20" s="1"/>
  <c r="J7" i="20" s="1"/>
  <c r="C9" i="7" s="1"/>
  <c r="J5" i="20"/>
  <c r="B8" i="20"/>
  <c r="J11" i="20"/>
  <c r="J12" i="20"/>
  <c r="J13" i="20"/>
  <c r="J14" i="20"/>
  <c r="B17" i="20"/>
  <c r="J23" i="20"/>
  <c r="J24" i="20"/>
  <c r="J25" i="20"/>
  <c r="J27" i="20" s="1"/>
  <c r="J28" i="20" s="1"/>
  <c r="C9" i="15" s="1"/>
  <c r="J26" i="20"/>
  <c r="J29" i="20" s="1"/>
  <c r="G9" i="15" s="1"/>
  <c r="G12" i="15" s="1"/>
  <c r="G4" i="23"/>
  <c r="G5" i="23"/>
  <c r="G6" i="23"/>
  <c r="G4" i="21"/>
  <c r="G5" i="21"/>
  <c r="G6" i="21"/>
  <c r="G13" i="21"/>
  <c r="G14" i="21"/>
  <c r="G15" i="21"/>
  <c r="G16" i="21"/>
  <c r="G24" i="21"/>
  <c r="G25" i="21"/>
  <c r="G26" i="21"/>
  <c r="G27" i="21"/>
  <c r="G13" i="22"/>
  <c r="G14" i="22"/>
  <c r="G15" i="22"/>
  <c r="G17" i="22" s="1"/>
  <c r="G16" i="22"/>
  <c r="G9" i="10"/>
  <c r="G12" i="10" s="1"/>
  <c r="G18" i="10" s="1"/>
  <c r="G27" i="10" s="1"/>
  <c r="F30" i="10" s="1"/>
  <c r="C10" i="10"/>
  <c r="G10" i="10"/>
  <c r="C11" i="10"/>
  <c r="G13" i="10"/>
  <c r="C16" i="10"/>
  <c r="G16" i="10"/>
  <c r="C17" i="10"/>
  <c r="G19" i="10"/>
  <c r="C20" i="10"/>
  <c r="C21" i="10"/>
  <c r="C22" i="10"/>
  <c r="B53" i="10"/>
  <c r="A53" i="10"/>
  <c r="C14" i="10" s="1"/>
  <c r="G9" i="9"/>
  <c r="G12" i="9"/>
  <c r="G18" i="9" s="1"/>
  <c r="G27" i="9" s="1"/>
  <c r="F30" i="9" s="1"/>
  <c r="C10" i="9"/>
  <c r="G10" i="9"/>
  <c r="C11" i="9"/>
  <c r="G13" i="9"/>
  <c r="G15" i="9"/>
  <c r="C16" i="9"/>
  <c r="C17" i="9"/>
  <c r="G19" i="9"/>
  <c r="C20" i="9"/>
  <c r="C21" i="9"/>
  <c r="C22" i="9"/>
  <c r="B53" i="9"/>
  <c r="A53" i="9"/>
  <c r="C14" i="9" s="1"/>
  <c r="C10" i="8"/>
  <c r="G11" i="8"/>
  <c r="C12" i="8"/>
  <c r="G12" i="8"/>
  <c r="G14" i="8"/>
  <c r="G16" i="8"/>
  <c r="C17" i="8"/>
  <c r="C18" i="8"/>
  <c r="G18" i="8"/>
  <c r="G20" i="8"/>
  <c r="C21" i="8"/>
  <c r="C22" i="8"/>
  <c r="C23" i="8"/>
  <c r="A42" i="8"/>
  <c r="C15" i="8" s="1"/>
  <c r="B42" i="8"/>
  <c r="C10" i="7"/>
  <c r="G11" i="7"/>
  <c r="C12" i="7"/>
  <c r="G12" i="7"/>
  <c r="G14" i="7"/>
  <c r="G16" i="7"/>
  <c r="C17" i="7"/>
  <c r="C18" i="7"/>
  <c r="G18" i="7"/>
  <c r="G20" i="7"/>
  <c r="C21" i="7"/>
  <c r="C22" i="7"/>
  <c r="C23" i="7"/>
  <c r="A42" i="7"/>
  <c r="C15" i="7" s="1"/>
  <c r="B42" i="7"/>
  <c r="B4" i="3"/>
  <c r="B5" i="3"/>
  <c r="B6" i="3"/>
  <c r="C10" i="15"/>
  <c r="C11" i="15"/>
  <c r="G11" i="15"/>
  <c r="G13" i="15"/>
  <c r="C15" i="15"/>
  <c r="G15" i="15"/>
  <c r="C16" i="15"/>
  <c r="C17" i="15"/>
  <c r="G17" i="15"/>
  <c r="C18" i="15"/>
  <c r="G19" i="15"/>
  <c r="G18" i="15"/>
  <c r="C19" i="15"/>
  <c r="G21" i="15"/>
  <c r="C22" i="15"/>
  <c r="C23" i="15"/>
  <c r="C24" i="15"/>
  <c r="B52" i="15"/>
  <c r="A52" i="15"/>
  <c r="C14" i="15" s="1"/>
  <c r="C6" i="2"/>
  <c r="C7" i="2" s="1"/>
  <c r="C8" i="2" s="1"/>
  <c r="C11" i="2" s="1"/>
  <c r="C10" i="2"/>
  <c r="G12" i="13"/>
  <c r="G18" i="13" s="1"/>
  <c r="G26" i="13" s="1"/>
  <c r="F30" i="13" s="1"/>
  <c r="C10" i="13"/>
  <c r="G10" i="13"/>
  <c r="C11" i="13"/>
  <c r="G13" i="13"/>
  <c r="G15" i="13"/>
  <c r="C16" i="13"/>
  <c r="C17" i="13"/>
  <c r="G19" i="13"/>
  <c r="C20" i="13"/>
  <c r="C21" i="13"/>
  <c r="C22" i="13"/>
  <c r="A53" i="13"/>
  <c r="C14" i="13" s="1"/>
  <c r="B53" i="13"/>
  <c r="G9" i="11"/>
  <c r="G12" i="11" s="1"/>
  <c r="G19" i="11" s="1"/>
  <c r="G28" i="11" s="1"/>
  <c r="F32" i="11" s="1"/>
  <c r="C10" i="11"/>
  <c r="G10" i="11"/>
  <c r="C11" i="11"/>
  <c r="G13" i="11"/>
  <c r="C16" i="11"/>
  <c r="G16" i="11"/>
  <c r="C17" i="11"/>
  <c r="G20" i="11"/>
  <c r="C21" i="11"/>
  <c r="C22" i="11"/>
  <c r="C23" i="11"/>
  <c r="A46" i="11"/>
  <c r="C14" i="11" s="1"/>
  <c r="B46" i="11"/>
  <c r="C11" i="12"/>
  <c r="G11" i="12"/>
  <c r="C12" i="12"/>
  <c r="G12" i="12"/>
  <c r="G14" i="12"/>
  <c r="G15" i="12"/>
  <c r="E16" i="12"/>
  <c r="C17" i="12"/>
  <c r="G17" i="12"/>
  <c r="C18" i="12"/>
  <c r="E18" i="12"/>
  <c r="C19" i="12"/>
  <c r="G19" i="12"/>
  <c r="C20" i="12"/>
  <c r="C21" i="12"/>
  <c r="G23" i="12"/>
  <c r="C24" i="12"/>
  <c r="C25" i="12"/>
  <c r="C26" i="12"/>
  <c r="C27" i="12"/>
  <c r="C28" i="12"/>
  <c r="A45" i="12"/>
  <c r="C16" i="12" s="1"/>
  <c r="B45" i="12"/>
  <c r="G9" i="14"/>
  <c r="G12" i="14" s="1"/>
  <c r="G17" i="14" s="1"/>
  <c r="G27" i="14" s="1"/>
  <c r="F30" i="14" s="1"/>
  <c r="C10" i="14"/>
  <c r="C11" i="14"/>
  <c r="G11" i="14"/>
  <c r="G13" i="14"/>
  <c r="G15" i="14"/>
  <c r="C16" i="14"/>
  <c r="C17" i="14"/>
  <c r="G18" i="14"/>
  <c r="C20" i="14"/>
  <c r="C21" i="14"/>
  <c r="C22" i="14"/>
  <c r="A53" i="14"/>
  <c r="C15" i="14" s="1"/>
  <c r="B53" i="14"/>
  <c r="B4" i="18"/>
  <c r="B7" i="18" s="1"/>
  <c r="B5" i="18"/>
  <c r="B6" i="18"/>
  <c r="C11" i="6"/>
  <c r="G11" i="6"/>
  <c r="C12" i="6"/>
  <c r="G12" i="6"/>
  <c r="C14" i="6"/>
  <c r="G14" i="6"/>
  <c r="C15" i="6"/>
  <c r="G15" i="6"/>
  <c r="E16" i="6"/>
  <c r="G17" i="6"/>
  <c r="C18" i="6"/>
  <c r="E18" i="6"/>
  <c r="C19" i="6"/>
  <c r="G19" i="6"/>
  <c r="C20" i="6"/>
  <c r="C22" i="6"/>
  <c r="G22" i="6"/>
  <c r="C23" i="6"/>
  <c r="C24" i="6"/>
  <c r="C25" i="6"/>
  <c r="C26" i="6"/>
  <c r="B45" i="6"/>
  <c r="A45" i="6"/>
  <c r="C16" i="6" s="1"/>
  <c r="J8" i="20"/>
  <c r="C11" i="7" s="1"/>
  <c r="C13" i="15"/>
  <c r="C14" i="8"/>
  <c r="C13" i="10"/>
  <c r="M11" i="20"/>
  <c r="G10" i="8" s="1"/>
  <c r="B7" i="3" l="1"/>
  <c r="G7" i="23"/>
  <c r="C9" i="10" s="1"/>
  <c r="C12" i="10" s="1"/>
  <c r="B7" i="19"/>
  <c r="B11" i="19" s="1"/>
  <c r="G10" i="6" s="1"/>
  <c r="G13" i="6" s="1"/>
  <c r="G21" i="6" s="1"/>
  <c r="G31" i="6" s="1"/>
  <c r="F34" i="6" s="1"/>
  <c r="F35" i="6" s="1"/>
  <c r="F36" i="6" s="1"/>
  <c r="G13" i="7"/>
  <c r="G19" i="7" s="1"/>
  <c r="G28" i="7" s="1"/>
  <c r="F32" i="7" s="1"/>
  <c r="F33" i="7" s="1"/>
  <c r="G18" i="22"/>
  <c r="C9" i="14" s="1"/>
  <c r="C12" i="14" s="1"/>
  <c r="G28" i="21"/>
  <c r="G29" i="21" s="1"/>
  <c r="C9" i="13" s="1"/>
  <c r="C12" i="13" s="1"/>
  <c r="G17" i="21"/>
  <c r="G18" i="21" s="1"/>
  <c r="C9" i="11" s="1"/>
  <c r="C12" i="11" s="1"/>
  <c r="G7" i="21"/>
  <c r="C9" i="9" s="1"/>
  <c r="C12" i="9" s="1"/>
  <c r="G13" i="8"/>
  <c r="G19" i="8" s="1"/>
  <c r="G28" i="8" s="1"/>
  <c r="F31" i="8" s="1"/>
  <c r="G20" i="15"/>
  <c r="G28" i="15" s="1"/>
  <c r="F32" i="15" s="1"/>
  <c r="F33" i="15" s="1"/>
  <c r="F34" i="15" s="1"/>
  <c r="J17" i="20"/>
  <c r="C11" i="8" s="1"/>
  <c r="B11" i="18"/>
  <c r="G10" i="12" s="1"/>
  <c r="G13" i="12" s="1"/>
  <c r="G22" i="12" s="1"/>
  <c r="G32" i="12" s="1"/>
  <c r="F36" i="12" s="1"/>
  <c r="F37" i="12" s="1"/>
  <c r="F38" i="12" s="1"/>
  <c r="F32" i="8"/>
  <c r="F33" i="8" s="1"/>
  <c r="F31" i="14"/>
  <c r="F32" i="14"/>
  <c r="F31" i="13"/>
  <c r="F32" i="13" s="1"/>
  <c r="F31" i="9"/>
  <c r="F32" i="9" s="1"/>
  <c r="B11" i="3"/>
  <c r="G10" i="5" s="1"/>
  <c r="G14" i="5" s="1"/>
  <c r="G20" i="5" s="1"/>
  <c r="G30" i="5" s="1"/>
  <c r="F33" i="5" s="1"/>
  <c r="F31" i="10"/>
  <c r="F32" i="10" s="1"/>
  <c r="C25" i="15"/>
  <c r="C12" i="15"/>
  <c r="C27" i="15"/>
  <c r="F33" i="11"/>
  <c r="F34" i="11" s="1"/>
  <c r="B8" i="18"/>
  <c r="C10" i="12" s="1"/>
  <c r="C13" i="12" s="1"/>
  <c r="C14" i="12" s="1"/>
  <c r="C22" i="12" s="1"/>
  <c r="B8" i="3"/>
  <c r="C10" i="5" s="1"/>
  <c r="C14" i="5" s="1"/>
  <c r="I23" i="4" s="1"/>
  <c r="J15" i="20"/>
  <c r="J16" i="20" s="1"/>
  <c r="C9" i="8" s="1"/>
  <c r="C13" i="8" s="1"/>
  <c r="C13" i="7"/>
  <c r="C14" i="7"/>
  <c r="C12" i="2"/>
  <c r="C13" i="2" s="1"/>
  <c r="B8" i="19" l="1"/>
  <c r="C10" i="6" s="1"/>
  <c r="C13" i="6" s="1"/>
  <c r="J22" i="17" s="1"/>
  <c r="C13" i="13"/>
  <c r="L4" i="13" s="1"/>
  <c r="C25" i="13" s="1"/>
  <c r="G8" i="23"/>
  <c r="C13" i="14"/>
  <c r="M3" i="14" s="1"/>
  <c r="C25" i="14" s="1"/>
  <c r="L3" i="14" s="1"/>
  <c r="C24" i="14" s="1"/>
  <c r="C13" i="11"/>
  <c r="C26" i="11" s="1"/>
  <c r="C13" i="9"/>
  <c r="C25" i="9" s="1"/>
  <c r="G8" i="21"/>
  <c r="F34" i="7"/>
  <c r="J22" i="16"/>
  <c r="I24" i="4"/>
  <c r="C15" i="5"/>
  <c r="C29" i="5" s="1"/>
  <c r="C31" i="12"/>
  <c r="C30" i="12" s="1"/>
  <c r="I25" i="4"/>
  <c r="J21" i="16"/>
  <c r="J20" i="16"/>
  <c r="C16" i="8"/>
  <c r="C27" i="8" s="1"/>
  <c r="I27" i="4"/>
  <c r="C28" i="5"/>
  <c r="C26" i="8"/>
  <c r="C26" i="15"/>
  <c r="C28" i="15" s="1"/>
  <c r="E32" i="15" s="1"/>
  <c r="C20" i="15"/>
  <c r="F34" i="5"/>
  <c r="F35" i="5" s="1"/>
  <c r="J23" i="16"/>
  <c r="I26" i="4"/>
  <c r="C29" i="12"/>
  <c r="N2" i="10"/>
  <c r="C25" i="10"/>
  <c r="C15" i="10"/>
  <c r="C26" i="10" s="1"/>
  <c r="C14" i="14"/>
  <c r="C26" i="14" s="1"/>
  <c r="C15" i="9"/>
  <c r="C26" i="9" s="1"/>
  <c r="C16" i="7"/>
  <c r="C27" i="7" s="1"/>
  <c r="C26" i="7"/>
  <c r="C15" i="11"/>
  <c r="C27" i="11" s="1"/>
  <c r="C15" i="13"/>
  <c r="C29" i="6" l="1"/>
  <c r="J23" i="17"/>
  <c r="C17" i="6"/>
  <c r="C30" i="6" s="1"/>
  <c r="J20" i="17"/>
  <c r="J21" i="17"/>
  <c r="C18" i="13"/>
  <c r="C23" i="13" s="1"/>
  <c r="C20" i="5"/>
  <c r="C26" i="5" s="1"/>
  <c r="C27" i="5" s="1"/>
  <c r="C30" i="5" s="1"/>
  <c r="E33" i="5" s="1"/>
  <c r="E34" i="5" s="1"/>
  <c r="E35" i="5" s="1"/>
  <c r="P2" i="7"/>
  <c r="C19" i="8"/>
  <c r="C24" i="8" s="1"/>
  <c r="C32" i="12"/>
  <c r="E36" i="12" s="1"/>
  <c r="G36" i="12" s="1"/>
  <c r="M2" i="10"/>
  <c r="C25" i="8"/>
  <c r="E33" i="15"/>
  <c r="E34" i="15" s="1"/>
  <c r="G32" i="15"/>
  <c r="C21" i="6"/>
  <c r="C27" i="6" s="1"/>
  <c r="K4" i="13"/>
  <c r="C24" i="13" s="1"/>
  <c r="C19" i="7"/>
  <c r="C24" i="7" s="1"/>
  <c r="C24" i="9"/>
  <c r="C18" i="14"/>
  <c r="C23" i="14" s="1"/>
  <c r="C27" i="14" s="1"/>
  <c r="E30" i="14" s="1"/>
  <c r="C19" i="11"/>
  <c r="C24" i="11" s="1"/>
  <c r="C25" i="7"/>
  <c r="C18" i="9"/>
  <c r="C23" i="9" s="1"/>
  <c r="C18" i="10"/>
  <c r="C23" i="10" s="1"/>
  <c r="C24" i="10"/>
  <c r="C28" i="6" l="1"/>
  <c r="C31" i="6" s="1"/>
  <c r="E34" i="6" s="1"/>
  <c r="G34" i="6" s="1"/>
  <c r="C26" i="13"/>
  <c r="E30" i="13" s="1"/>
  <c r="E31" i="13" s="1"/>
  <c r="E32" i="13" s="1"/>
  <c r="G33" i="5"/>
  <c r="G34" i="5" s="1"/>
  <c r="G35" i="5" s="1"/>
  <c r="C27" i="10"/>
  <c r="E30" i="10" s="1"/>
  <c r="G30" i="10" s="1"/>
  <c r="C28" i="8"/>
  <c r="E31" i="8" s="1"/>
  <c r="G31" i="8" s="1"/>
  <c r="C27" i="9"/>
  <c r="E30" i="9" s="1"/>
  <c r="G30" i="9" s="1"/>
  <c r="E37" i="12"/>
  <c r="E38" i="12" s="1"/>
  <c r="C28" i="7"/>
  <c r="E32" i="7" s="1"/>
  <c r="G32" i="7" s="1"/>
  <c r="G33" i="15"/>
  <c r="G34" i="15" s="1"/>
  <c r="G30" i="14"/>
  <c r="E31" i="14"/>
  <c r="E32" i="14" s="1"/>
  <c r="C25" i="11"/>
  <c r="C28" i="11" s="1"/>
  <c r="E32" i="11" s="1"/>
  <c r="G35" i="6"/>
  <c r="G36" i="6" s="1"/>
  <c r="G37" i="12"/>
  <c r="G38" i="12" s="1"/>
  <c r="E35" i="6" l="1"/>
  <c r="E36" i="6" s="1"/>
  <c r="G30" i="13"/>
  <c r="G31" i="13" s="1"/>
  <c r="G32" i="13" s="1"/>
  <c r="E31" i="10"/>
  <c r="E32" i="10" s="1"/>
  <c r="E31" i="9"/>
  <c r="E32" i="9" s="1"/>
  <c r="E32" i="8"/>
  <c r="E33" i="8" s="1"/>
  <c r="G32" i="8"/>
  <c r="G33" i="8" s="1"/>
  <c r="E33" i="7"/>
  <c r="E34" i="7" s="1"/>
  <c r="G32" i="11"/>
  <c r="E33" i="11"/>
  <c r="E34" i="11" s="1"/>
  <c r="G31" i="9"/>
  <c r="G32" i="9" s="1"/>
  <c r="G33" i="7"/>
  <c r="G34" i="7" s="1"/>
  <c r="G31" i="10"/>
  <c r="G32" i="10" s="1"/>
  <c r="G31" i="14"/>
  <c r="G32" i="14" s="1"/>
  <c r="G33" i="11" l="1"/>
  <c r="G34" i="11" s="1"/>
</calcChain>
</file>

<file path=xl/comments1.xml><?xml version="1.0" encoding="utf-8"?>
<comments xmlns="http://schemas.openxmlformats.org/spreadsheetml/2006/main">
  <authors>
    <author/>
  </authors>
  <commentList>
    <comment ref="F12" authorId="0" shapeId="0">
      <text>
        <r>
          <rPr>
            <b/>
            <sz val="8"/>
            <color indexed="8"/>
            <rFont val="Times New Roman"/>
            <family val="1"/>
          </rPr>
          <t xml:space="preserve">Yes/No option in OD side.
</t>
        </r>
      </text>
    </comment>
    <comment ref="F16" authorId="0" shapeId="0">
      <text>
        <r>
          <rPr>
            <b/>
            <sz val="8"/>
            <color indexed="8"/>
            <rFont val="Times New Roman"/>
            <family val="1"/>
          </rPr>
          <t xml:space="preserve">No of Pax to be covered
</t>
        </r>
      </text>
    </comment>
    <comment ref="G16" authorId="0" shapeId="0">
      <text>
        <r>
          <rPr>
            <b/>
            <sz val="8"/>
            <color indexed="8"/>
            <rFont val="Times New Roman"/>
            <family val="1"/>
          </rPr>
          <t xml:space="preserve">PA limit per Person
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F16" authorId="0" shapeId="0">
      <text>
        <r>
          <rPr>
            <b/>
            <sz val="8"/>
            <color indexed="8"/>
            <rFont val="Times New Roman"/>
            <family val="1"/>
          </rPr>
          <t xml:space="preserve">No Of Seats
</t>
        </r>
      </text>
    </comment>
    <comment ref="F18" authorId="0" shapeId="0">
      <text>
        <r>
          <rPr>
            <b/>
            <sz val="8"/>
            <color indexed="8"/>
            <rFont val="Times New Roman"/>
            <family val="1"/>
          </rPr>
          <t xml:space="preserve">No of Drivers/Employees
</t>
        </r>
      </text>
    </comment>
    <comment ref="G18" authorId="0" shapeId="0">
      <text>
        <r>
          <rPr>
            <b/>
            <sz val="8"/>
            <color indexed="8"/>
            <rFont val="Times New Roman"/>
            <family val="1"/>
          </rPr>
          <t xml:space="preserve">Limit Per Person
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F15" authorId="0" shapeId="0">
      <text>
        <r>
          <rPr>
            <b/>
            <sz val="8"/>
            <color indexed="8"/>
            <rFont val="Times New Roman"/>
            <family val="1"/>
          </rPr>
          <t xml:space="preserve">Seating Capacity
</t>
        </r>
      </text>
    </comment>
    <comment ref="F18" authorId="0" shapeId="0">
      <text>
        <r>
          <rPr>
            <b/>
            <sz val="8"/>
            <color indexed="8"/>
            <rFont val="Times New Roman"/>
            <family val="1"/>
          </rPr>
          <t xml:space="preserve">No of Drivers/Employees
</t>
        </r>
      </text>
    </comment>
  </commentList>
</comments>
</file>

<file path=xl/sharedStrings.xml><?xml version="1.0" encoding="utf-8"?>
<sst xmlns="http://schemas.openxmlformats.org/spreadsheetml/2006/main" count="1061" uniqueCount="229">
  <si>
    <t>THE ORIENTAL INSURANCE COMPANY LIMITED</t>
  </si>
  <si>
    <t>How to use this Motor Premium calculator?</t>
  </si>
  <si>
    <t>1. HYPER LINK</t>
  </si>
  <si>
    <t xml:space="preserve">CLICK &amp; GO TO  WORK SHEET. </t>
  </si>
  <si>
    <t>2. Vehicle Details</t>
  </si>
  <si>
    <t>Enter IDV,Elec.Acc., CNG Kit Value,Zone,CC &amp; Year of Mfg.</t>
  </si>
  <si>
    <t>3. Premium Calculation</t>
  </si>
  <si>
    <t>Select Yes or No, NCB %, Discount %, No of Persons etc.</t>
  </si>
  <si>
    <t>NCB RECOVERY</t>
  </si>
  <si>
    <t xml:space="preserve">2 WHEELER </t>
  </si>
  <si>
    <t>PRIVATE CAR</t>
  </si>
  <si>
    <t>GCCV PUBLIC CARRIER</t>
  </si>
  <si>
    <t>GCCV PRIVATE CARRIER</t>
  </si>
  <si>
    <t>GCCV 3W PUBLIC CARRIER</t>
  </si>
  <si>
    <t>GCCV 3W PRIVATE CARRIER</t>
  </si>
  <si>
    <t>PCCV 3W UP TO 6 PASSENGER</t>
  </si>
  <si>
    <t>PCCV  4 W UP TO 6 PASSENGER</t>
  </si>
  <si>
    <t>PCCV  3 W 7 TO 18  PASSENGER</t>
  </si>
  <si>
    <t>PCCV MAXI AND LUXARY BUS</t>
  </si>
  <si>
    <t>MISC CLASS - D VEHICLES</t>
  </si>
  <si>
    <t>CLICK &amp; start URL related Oriental Insurance</t>
  </si>
  <si>
    <t>http://www.orientalinsurance.org.in</t>
  </si>
  <si>
    <t>http://10.0.0.50:7778/forms/frmservlet?config=inlias_nontxn</t>
  </si>
  <si>
    <t>http://www.irdaonline.org/Index.htm</t>
  </si>
  <si>
    <t xml:space="preserve">           J M Patel  MOBILE 09426585252          </t>
  </si>
  <si>
    <t xml:space="preserve">      E-mail -  jm.patel@orientalinsurance.co.in</t>
  </si>
  <si>
    <t xml:space="preserve">     Ex.Counter, Mahemdabad  Dist : Kheda  ( Gujarat ) </t>
  </si>
  <si>
    <t>THE ORIENTAL INSURANCE COMPANY LTD</t>
  </si>
  <si>
    <t>REGIONAL OFFICE : VADODARA</t>
  </si>
  <si>
    <t>BACK</t>
  </si>
  <si>
    <t>NCB RECOVERY AT THE TIME OF TRANSFER OF OWNERSHIP</t>
  </si>
  <si>
    <t>Policy End Date</t>
  </si>
  <si>
    <t>Policy Transfer Date</t>
  </si>
  <si>
    <t>Number of Days</t>
  </si>
  <si>
    <t>NCB Recovery</t>
  </si>
  <si>
    <t>Transfer Fees</t>
  </si>
  <si>
    <t>Duplicate Certificate</t>
  </si>
  <si>
    <t>No</t>
  </si>
  <si>
    <t>TOTAL</t>
  </si>
  <si>
    <t>Total Premium</t>
  </si>
  <si>
    <r>
      <t xml:space="preserve">Note: Enter </t>
    </r>
    <r>
      <rPr>
        <i/>
        <sz val="12"/>
        <color indexed="10"/>
        <rFont val="Arial"/>
        <family val="2"/>
      </rPr>
      <t xml:space="preserve">NCB Amount </t>
    </r>
    <r>
      <rPr>
        <i/>
        <sz val="12"/>
        <rFont val="Arial"/>
        <family val="2"/>
      </rPr>
      <t>&amp;</t>
    </r>
    <r>
      <rPr>
        <i/>
        <sz val="12"/>
        <color indexed="10"/>
        <rFont val="Arial"/>
        <family val="2"/>
      </rPr>
      <t xml:space="preserve"> Policy Expiry Date</t>
    </r>
    <r>
      <rPr>
        <i/>
        <sz val="12"/>
        <rFont val="Arial"/>
        <family val="2"/>
      </rPr>
      <t>.NCB Recovery &amp; Transfer Fees with Service Tax calculate automaticaly.</t>
    </r>
  </si>
  <si>
    <t>J M Patel Ex.Counter, Mahemdabad (Gujarat)  Mobile No: 09426585252</t>
  </si>
  <si>
    <t>Calculation of Basic OD</t>
  </si>
  <si>
    <t>Zone</t>
  </si>
  <si>
    <t>CC</t>
  </si>
  <si>
    <t>Age</t>
  </si>
  <si>
    <t>Col Offset</t>
  </si>
  <si>
    <t>Basic OD</t>
  </si>
  <si>
    <t>Calculation Of Basic TP</t>
  </si>
  <si>
    <t>Basic TP</t>
  </si>
  <si>
    <t>Motor Cycle</t>
  </si>
  <si>
    <t>Basic</t>
  </si>
  <si>
    <t>OD</t>
  </si>
  <si>
    <t>A</t>
  </si>
  <si>
    <t>B</t>
  </si>
  <si>
    <t>TP</t>
  </si>
  <si>
    <t>Addons</t>
  </si>
  <si>
    <t>%</t>
  </si>
  <si>
    <t>Amt</t>
  </si>
  <si>
    <t>Electronic</t>
  </si>
  <si>
    <t>CNG</t>
  </si>
  <si>
    <t>Trailer</t>
  </si>
  <si>
    <t>voluntary excess</t>
  </si>
  <si>
    <t>Geao Area</t>
  </si>
  <si>
    <t>Embassy</t>
  </si>
  <si>
    <t>AAI</t>
  </si>
  <si>
    <t>PA OD</t>
  </si>
  <si>
    <t>LL Driver</t>
  </si>
  <si>
    <t>LL Emp</t>
  </si>
  <si>
    <t>Less</t>
  </si>
  <si>
    <t>Anti Theft</t>
  </si>
  <si>
    <t>TPPD</t>
  </si>
  <si>
    <t>Handicap</t>
  </si>
  <si>
    <t>Own Use</t>
  </si>
  <si>
    <t>Vol Ded</t>
  </si>
  <si>
    <t>Max</t>
  </si>
  <si>
    <t>NCB</t>
  </si>
  <si>
    <t>DISC</t>
  </si>
  <si>
    <t>BACK TO HYPERLINK</t>
  </si>
  <si>
    <t>VEHICLE'S BASIC DETAILS</t>
  </si>
  <si>
    <t>Insured Declared Value</t>
  </si>
  <si>
    <t>Electrical Accessories value</t>
  </si>
  <si>
    <t>CNG IDV</t>
  </si>
  <si>
    <t>Year of Manufacture</t>
  </si>
  <si>
    <t>Cost of Accessories</t>
  </si>
  <si>
    <t>PREMIUM CALCULATION</t>
  </si>
  <si>
    <t>OWN DAMAGE</t>
  </si>
  <si>
    <t>THIRD PARTY/LIABILITY</t>
  </si>
  <si>
    <t>Basic ( MOT-CVR-001 )</t>
  </si>
  <si>
    <t>Basic TP  ( MOT-CVR-007 )</t>
  </si>
  <si>
    <t>Electrical Accessories</t>
  </si>
  <si>
    <t>Yes</t>
  </si>
  <si>
    <t>CNG KIT (MOT-CVR-003)</t>
  </si>
  <si>
    <t>CNG Kit ( MOT-CVR-008 )</t>
  </si>
  <si>
    <t>C</t>
  </si>
  <si>
    <t>Basic OD1</t>
  </si>
  <si>
    <t>Basic TP1</t>
  </si>
  <si>
    <t>Nil Depreciation</t>
  </si>
  <si>
    <t>Return to Invoice(MOT-CVR-070)</t>
  </si>
  <si>
    <t>Geographical Area</t>
  </si>
  <si>
    <t>Rallies (No of days)</t>
  </si>
  <si>
    <t>Rallies</t>
  </si>
  <si>
    <t>Fiber Glass Tank OD - GR43</t>
  </si>
  <si>
    <t>Anti Theft Device</t>
  </si>
  <si>
    <t>Basic OD2</t>
  </si>
  <si>
    <t>Basic TP2</t>
  </si>
  <si>
    <t>Third Party Property Damage</t>
  </si>
  <si>
    <t>Voluntary Excess</t>
  </si>
  <si>
    <t>Basic OD3</t>
  </si>
  <si>
    <t>Basic TP3</t>
  </si>
  <si>
    <t>NCB ( MOT-DIS-310 )</t>
  </si>
  <si>
    <t>OD Discount (MOT-DIS-IMT)</t>
  </si>
  <si>
    <t>Total OD Premium</t>
  </si>
  <si>
    <t>Total TP Premium</t>
  </si>
  <si>
    <t>Own Damage</t>
  </si>
  <si>
    <t xml:space="preserve">Act Only </t>
  </si>
  <si>
    <t>Total ( OD+TP)</t>
  </si>
  <si>
    <t>Total Payable</t>
  </si>
  <si>
    <t xml:space="preserve">Nil Depreciation Loading </t>
  </si>
  <si>
    <t xml:space="preserve">New &amp; Up To 6 months         </t>
  </si>
  <si>
    <t xml:space="preserve">6 Months   To 2 years               </t>
  </si>
  <si>
    <t xml:space="preserve">2 Years   to 5 years               </t>
  </si>
  <si>
    <t>Year</t>
  </si>
  <si>
    <t>BACK TO          HYPER LINK</t>
  </si>
  <si>
    <t>Cubic Capacity</t>
  </si>
  <si>
    <r>
      <t>Basic Own Damage</t>
    </r>
    <r>
      <rPr>
        <sz val="10"/>
        <rFont val="Arial"/>
        <family val="2"/>
      </rPr>
      <t>(MOT-CVR-001)</t>
    </r>
  </si>
  <si>
    <t>CNG Kit ( MOT-CVR-003 )</t>
  </si>
  <si>
    <t>CNG Kit( MOT-CVR-008)</t>
  </si>
  <si>
    <t>PA to Owner Driver</t>
  </si>
  <si>
    <t>LL Driver/Employee</t>
  </si>
  <si>
    <t>Nil Depreciation (MOT-CVR-150)</t>
  </si>
  <si>
    <t>PA to Passenger</t>
  </si>
  <si>
    <t>Fibre Glass Tank</t>
  </si>
  <si>
    <t>Driving Tuitions</t>
  </si>
  <si>
    <t>Rallies (no of days)</t>
  </si>
  <si>
    <t>Basic OD 2</t>
  </si>
  <si>
    <t>Handicapt Vehicle</t>
  </si>
  <si>
    <t>Own Premises</t>
  </si>
  <si>
    <t>Insured's Declared Value</t>
  </si>
  <si>
    <t>Gross Vehicle Weight (Kgs.)</t>
  </si>
  <si>
    <t>.</t>
  </si>
  <si>
    <t>CNG Kit Value</t>
  </si>
  <si>
    <t>Premium Calculation</t>
  </si>
  <si>
    <t>Basic Own Damage</t>
  </si>
  <si>
    <t>Elec Accessories</t>
  </si>
  <si>
    <t>GVW Loading</t>
  </si>
  <si>
    <t>CNG Kit</t>
  </si>
  <si>
    <t>Basic TP 1</t>
  </si>
  <si>
    <t>IMT 23</t>
  </si>
  <si>
    <t>No of Driver/ employees</t>
  </si>
  <si>
    <t>Add On Cover ( Nil Depriciation)</t>
  </si>
  <si>
    <t>LL NFPP</t>
  </si>
  <si>
    <t>No of employees/Others</t>
  </si>
  <si>
    <t>Basic TP 2</t>
  </si>
  <si>
    <t>Discounts</t>
  </si>
  <si>
    <t>Basic OD 3</t>
  </si>
  <si>
    <t>TOTAL PREMIUM</t>
  </si>
  <si>
    <t>NOTE:- IMT 23 (MOT-LOD-007) IS COMPULSARY WITH NIL DEPRECIATION (MOT-CVR-150)</t>
  </si>
  <si>
    <t>No of Driver/employees</t>
  </si>
  <si>
    <t>No of  employees</t>
  </si>
  <si>
    <t>Embassy Loading</t>
  </si>
  <si>
    <t>Passenger</t>
  </si>
  <si>
    <t xml:space="preserve">Passenger </t>
  </si>
  <si>
    <t>No of Driver employees</t>
  </si>
  <si>
    <t>PA  to Owner Driver</t>
  </si>
  <si>
    <t>Back to Hyperlink</t>
  </si>
  <si>
    <t>Type of vehicle</t>
  </si>
  <si>
    <t>Others</t>
  </si>
  <si>
    <t>Overturning</t>
  </si>
  <si>
    <t>PA Owner/Driver</t>
  </si>
  <si>
    <t>Hire/Reward</t>
  </si>
  <si>
    <t>LL to Coolies</t>
  </si>
  <si>
    <t>Pass. Carrying</t>
  </si>
  <si>
    <t>Pvt Car</t>
  </si>
  <si>
    <t>Public Carrier</t>
  </si>
  <si>
    <t>Public</t>
  </si>
  <si>
    <t>IDV</t>
  </si>
  <si>
    <t>Zone C</t>
  </si>
  <si>
    <t>Zone B</t>
  </si>
  <si>
    <t>Zone A</t>
  </si>
  <si>
    <t>GVW</t>
  </si>
  <si>
    <t>Premium</t>
  </si>
  <si>
    <t>Zone Offset</t>
  </si>
  <si>
    <t>OD Rate</t>
  </si>
  <si>
    <t>Private Carrier</t>
  </si>
  <si>
    <t>Private</t>
  </si>
  <si>
    <t>Miscellanous Vehicles</t>
  </si>
  <si>
    <t>Misc</t>
  </si>
  <si>
    <t>Type</t>
  </si>
  <si>
    <t>Tractors under 6 HP</t>
  </si>
  <si>
    <t>Trailers Attached</t>
  </si>
  <si>
    <t>Good carrying</t>
  </si>
  <si>
    <t>Passenger Carrying</t>
  </si>
  <si>
    <t>Passenger Carrying  6 TO 18</t>
  </si>
  <si>
    <r>
      <t>Return to Invoice</t>
    </r>
    <r>
      <rPr>
        <sz val="8"/>
        <rFont val="Arial"/>
        <family val="2"/>
      </rPr>
      <t>(MOT-CVR-070</t>
    </r>
    <r>
      <rPr>
        <sz val="11"/>
        <rFont val="Arial"/>
        <family val="2"/>
      </rPr>
      <t>)</t>
    </r>
  </si>
  <si>
    <r>
      <t>Own Premises</t>
    </r>
    <r>
      <rPr>
        <sz val="9"/>
        <rFont val="Arial"/>
        <family val="2"/>
      </rPr>
      <t xml:space="preserve"> OD-GR35-IMT13</t>
    </r>
  </si>
  <si>
    <r>
      <t xml:space="preserve">PA to Owner Driver </t>
    </r>
    <r>
      <rPr>
        <sz val="8"/>
        <rFont val="Arial"/>
        <family val="2"/>
      </rPr>
      <t>( RS.100000/-</t>
    </r>
    <r>
      <rPr>
        <sz val="11"/>
        <rFont val="Arial"/>
        <family val="2"/>
      </rPr>
      <t>)</t>
    </r>
  </si>
  <si>
    <r>
      <t>PA Pellion Rider</t>
    </r>
    <r>
      <rPr>
        <sz val="9"/>
        <rFont val="Arial"/>
        <family val="2"/>
      </rPr>
      <t>(MOT-CVR-018)</t>
    </r>
  </si>
  <si>
    <t>Goods Carrying Vehicles Public Carrier ( w.e.f 01/04/2017)</t>
  </si>
  <si>
    <t>Goods Carrying Vehicles  Three wheelers  (Public Carrier)  ( w.e.f 01/04/2017)</t>
  </si>
  <si>
    <t>Goods Carrying Vehicles  Three wheelers  (Private Carrier)  ( w.e.f 01/04/2017)</t>
  </si>
  <si>
    <t>PCCV Three wheelers UP TO 6 PASSENGER (Auto Rickshaw)  ( w.e.f 01/04/2017)</t>
  </si>
  <si>
    <t>Goods Carrying Vehicles (Private Carrier)  ( w.e.f 01/04/2017)</t>
  </si>
  <si>
    <t>Two Wheeler Premium ( w.e.f   01/04/2017)</t>
  </si>
  <si>
    <t>Private Car ( w.e.f 01/04/2017)</t>
  </si>
  <si>
    <t>PCCV 4 Wheeler up to Six Passenger ( w.e.f 01/04/2017)</t>
  </si>
  <si>
    <t xml:space="preserve">BACK  </t>
  </si>
  <si>
    <t>Passenger Carrying MAXI &amp; BUS</t>
  </si>
  <si>
    <t>Miscellaneous Vehicles(Class D)  ( w.e.f 01/04/2017)</t>
  </si>
  <si>
    <t>PCCV Three wheelers  Seating Capacity  7 TO 18 (Auto Rickshaw)  ( w.e.f 01/04/2017)</t>
  </si>
  <si>
    <t>Revised As on 01/04/2017</t>
  </si>
  <si>
    <t>REGIONAL OFFCE VADODARA                 DIVISIONAL OFFICE  NADIAD</t>
  </si>
  <si>
    <t>https://mail.orientalinsurance.co.in/owa</t>
  </si>
  <si>
    <t>http://10.244.0.120:8011/psp/HRSPROD</t>
  </si>
  <si>
    <t>Motor Add On Cover Discount</t>
  </si>
  <si>
    <t>Motor Add On Cover Discount not Exceeding Motor OD Discount</t>
  </si>
  <si>
    <r>
      <t xml:space="preserve">PCCV OTHER THEN THREE WHEELER  MAXI &amp; BUS </t>
    </r>
    <r>
      <rPr>
        <b/>
        <i/>
        <sz val="12"/>
        <color indexed="10"/>
        <rFont val="Arial"/>
        <family val="2"/>
      </rPr>
      <t>( w.e.f 01/04/2017)</t>
    </r>
  </si>
  <si>
    <t>NCB Amount</t>
  </si>
  <si>
    <t>Motor Add On Cover            Discount not Exceeding              Motor OD Discount</t>
  </si>
  <si>
    <t>Motor Add On Cover                  Discount not Exceeding            Motor OD Discount</t>
  </si>
  <si>
    <t>Motor Add On Cover                  Discount not Exceeding                  Motor OD Discount</t>
  </si>
  <si>
    <t xml:space="preserve">  http://10.244.0.50:7778/forms/frmservlet?Config=inliaslive </t>
  </si>
  <si>
    <t xml:space="preserve"> http://10.244.0.50:7778/forms/frmservlet?Config=win7_inlias</t>
  </si>
  <si>
    <r>
      <t>Change Service Tax (</t>
    </r>
    <r>
      <rPr>
        <i/>
        <sz val="14"/>
        <color indexed="10"/>
        <rFont val="Times New Roman"/>
        <family val="1"/>
      </rPr>
      <t>Yellow Mark</t>
    </r>
    <r>
      <rPr>
        <i/>
        <sz val="14"/>
        <color indexed="12"/>
        <rFont val="Times New Roman"/>
        <family val="1"/>
      </rPr>
      <t>)as per revised Service Tax</t>
    </r>
  </si>
  <si>
    <t>http://10.0.0.50:7778/forms/frmservlet?config=win7_inlias_nontxn</t>
  </si>
  <si>
    <t>CGST &amp; SGST</t>
  </si>
  <si>
    <t>CGST  9.00% &amp; SGST 9.00%</t>
  </si>
  <si>
    <t>ADD: CGST &amp; SGST</t>
  </si>
  <si>
    <t>CGST  9.00%       SGST  9.00%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</si>
</sst>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164" formatCode="_(* #,##0.00_);_(* \(#,##0.00\);_(* &quot;-&quot;??_);_(@_)"/>
    <numFmt numFmtId="165" formatCode="_(* #,##0.00_);_(* \(#,##0.00\);_(* \-??_);_(@_)"/>
    <numFmt numFmtId="166" formatCode="_(* #,##0.000_);_(* \(#,##0.000\);_(* \-??_);_(@_)"/>
    <numFmt numFmtId="167" formatCode="_(&quot;Rs.&quot;* #,##0_);_(&quot;Rs.&quot;* \(#,##0\);_(&quot;Rs.&quot;* \-_);_(@_)"/>
    <numFmt numFmtId="168" formatCode="_(* #,##0_);_(* \(#,##0\);_(* \-??_);_(@_)"/>
    <numFmt numFmtId="169" formatCode="_(&quot;Rs.&quot;* #,##0.00_);_(&quot;Rs.&quot;* \(#,##0.00\);_(&quot;Rs.&quot;* \-_);_(@_)"/>
    <numFmt numFmtId="170" formatCode="mm/yyyy"/>
    <numFmt numFmtId="171" formatCode="yyyy"/>
    <numFmt numFmtId="172" formatCode="0.000%"/>
    <numFmt numFmtId="173" formatCode="[$-14009]dd/mm/yyyy;@"/>
  </numFmts>
  <fonts count="72" x14ac:knownFonts="1">
    <font>
      <sz val="10"/>
      <name val="Arial"/>
      <family val="2"/>
    </font>
    <font>
      <sz val="11"/>
      <color indexed="8"/>
      <name val="Calibri"/>
      <family val="2"/>
    </font>
    <font>
      <sz val="12"/>
      <name val="Times New Roman"/>
      <family val="1"/>
    </font>
    <font>
      <b/>
      <sz val="12"/>
      <color indexed="62"/>
      <name val="Times New Roman"/>
      <family val="1"/>
    </font>
    <font>
      <sz val="12"/>
      <color indexed="60"/>
      <name val="Times New Roman"/>
      <family val="1"/>
    </font>
    <font>
      <i/>
      <sz val="14"/>
      <name val="Times New Roman"/>
      <family val="1"/>
    </font>
    <font>
      <sz val="12"/>
      <color indexed="18"/>
      <name val="Times New Roman"/>
      <family val="1"/>
    </font>
    <font>
      <b/>
      <sz val="12"/>
      <color indexed="12"/>
      <name val="Times New Roman"/>
      <family val="1"/>
    </font>
    <font>
      <u/>
      <sz val="10"/>
      <color indexed="12"/>
      <name val="Arial"/>
      <family val="2"/>
    </font>
    <font>
      <b/>
      <i/>
      <sz val="14"/>
      <color indexed="12"/>
      <name val="Times New Roman"/>
      <family val="1"/>
    </font>
    <font>
      <sz val="14"/>
      <name val="Times New Roman"/>
      <family val="1"/>
    </font>
    <font>
      <i/>
      <sz val="14"/>
      <color indexed="12"/>
      <name val="Times New Roman"/>
      <family val="1"/>
    </font>
    <font>
      <i/>
      <sz val="14"/>
      <color indexed="10"/>
      <name val="Times New Roman"/>
      <family val="1"/>
    </font>
    <font>
      <sz val="14"/>
      <name val="Arial"/>
      <family val="2"/>
    </font>
    <font>
      <sz val="14"/>
      <color indexed="18"/>
      <name val="Arial"/>
      <family val="2"/>
    </font>
    <font>
      <sz val="12"/>
      <name val="Arial"/>
      <family val="2"/>
    </font>
    <font>
      <sz val="12"/>
      <color indexed="30"/>
      <name val="Arial"/>
      <family val="2"/>
    </font>
    <font>
      <i/>
      <sz val="12"/>
      <name val="Arial"/>
      <family val="2"/>
    </font>
    <font>
      <i/>
      <sz val="12"/>
      <color indexed="10"/>
      <name val="Arial"/>
      <family val="2"/>
    </font>
    <font>
      <i/>
      <sz val="12"/>
      <color indexed="56"/>
      <name val="Arial"/>
      <family val="2"/>
    </font>
    <font>
      <sz val="10"/>
      <name val="Courier New"/>
      <family val="3"/>
    </font>
    <font>
      <b/>
      <sz val="10"/>
      <color indexed="18"/>
      <name val="Courier New"/>
      <family val="3"/>
    </font>
    <font>
      <sz val="10"/>
      <name val="Courier New CE"/>
      <family val="3"/>
      <charset val="238"/>
    </font>
    <font>
      <sz val="11"/>
      <name val="Arial"/>
      <family val="2"/>
    </font>
    <font>
      <b/>
      <sz val="12"/>
      <color indexed="30"/>
      <name val="Arial"/>
      <family val="2"/>
    </font>
    <font>
      <b/>
      <i/>
      <sz val="12"/>
      <name val="Arial"/>
      <family val="2"/>
    </font>
    <font>
      <u/>
      <sz val="11"/>
      <color indexed="56"/>
      <name val="Arial"/>
      <family val="2"/>
    </font>
    <font>
      <b/>
      <sz val="11"/>
      <name val="Arial"/>
      <family val="2"/>
    </font>
    <font>
      <b/>
      <u/>
      <sz val="11"/>
      <name val="Arial"/>
      <family val="2"/>
    </font>
    <font>
      <b/>
      <sz val="8"/>
      <color indexed="8"/>
      <name val="Times New Roman"/>
      <family val="1"/>
    </font>
    <font>
      <b/>
      <sz val="11"/>
      <color indexed="10"/>
      <name val="Arial"/>
      <family val="2"/>
    </font>
    <font>
      <b/>
      <sz val="10"/>
      <name val="Arial"/>
      <family val="2"/>
    </font>
    <font>
      <sz val="10"/>
      <color indexed="12"/>
      <name val="Arial"/>
      <family val="2"/>
    </font>
    <font>
      <sz val="9"/>
      <name val="Arial"/>
      <family val="2"/>
    </font>
    <font>
      <b/>
      <sz val="12"/>
      <name val="Arial"/>
      <family val="2"/>
    </font>
    <font>
      <b/>
      <sz val="11"/>
      <color indexed="30"/>
      <name val="Arial"/>
      <family val="2"/>
    </font>
    <font>
      <b/>
      <u/>
      <sz val="11"/>
      <color indexed="12"/>
      <name val="Arial"/>
      <family val="2"/>
    </font>
    <font>
      <sz val="11"/>
      <color indexed="56"/>
      <name val="Arial"/>
      <family val="2"/>
    </font>
    <font>
      <u/>
      <sz val="11"/>
      <color indexed="12"/>
      <name val="Arial"/>
      <family val="2"/>
    </font>
    <font>
      <b/>
      <sz val="11"/>
      <color indexed="56"/>
      <name val="Arial"/>
      <family val="2"/>
    </font>
    <font>
      <b/>
      <i/>
      <sz val="11"/>
      <color indexed="56"/>
      <name val="Arial"/>
      <family val="2"/>
    </font>
    <font>
      <b/>
      <u/>
      <sz val="10"/>
      <color indexed="56"/>
      <name val="Arial"/>
      <family val="2"/>
    </font>
    <font>
      <b/>
      <u/>
      <sz val="11"/>
      <color indexed="56"/>
      <name val="Arial"/>
      <family val="2"/>
    </font>
    <font>
      <b/>
      <sz val="10"/>
      <color indexed="56"/>
      <name val="Arial"/>
      <family val="2"/>
    </font>
    <font>
      <b/>
      <sz val="9"/>
      <color indexed="56"/>
      <name val="Arial"/>
      <family val="2"/>
    </font>
    <font>
      <u/>
      <sz val="10"/>
      <color indexed="56"/>
      <name val="Arial"/>
      <family val="2"/>
    </font>
    <font>
      <b/>
      <u/>
      <sz val="12"/>
      <name val="Arial"/>
      <family val="2"/>
    </font>
    <font>
      <sz val="12"/>
      <color indexed="56"/>
      <name val="Arial"/>
      <family val="2"/>
    </font>
    <font>
      <b/>
      <sz val="12"/>
      <color indexed="56"/>
      <name val="Arial"/>
      <family val="2"/>
    </font>
    <font>
      <sz val="10"/>
      <color indexed="56"/>
      <name val="Arial"/>
      <family val="2"/>
    </font>
    <font>
      <sz val="10"/>
      <color indexed="8"/>
      <name val="Courier New CE"/>
      <family val="3"/>
      <charset val="238"/>
    </font>
    <font>
      <sz val="10"/>
      <color indexed="56"/>
      <name val="Courier New CE"/>
      <family val="3"/>
      <charset val="238"/>
    </font>
    <font>
      <sz val="10"/>
      <color indexed="8"/>
      <name val="Arial"/>
      <family val="2"/>
    </font>
    <font>
      <sz val="10"/>
      <color indexed="10"/>
      <name val="Arial"/>
      <family val="2"/>
    </font>
    <font>
      <sz val="10"/>
      <name val="Calibri"/>
      <family val="2"/>
    </font>
    <font>
      <sz val="10"/>
      <name val="Arial"/>
      <family val="2"/>
    </font>
    <font>
      <sz val="8"/>
      <name val="Arial"/>
      <family val="2"/>
    </font>
    <font>
      <b/>
      <sz val="14"/>
      <color indexed="30"/>
      <name val="Arial"/>
      <family val="2"/>
    </font>
    <font>
      <sz val="10"/>
      <color indexed="12"/>
      <name val="Times New Roman"/>
      <family val="1"/>
    </font>
    <font>
      <b/>
      <i/>
      <sz val="12"/>
      <color indexed="10"/>
      <name val="Arial"/>
      <family val="2"/>
    </font>
    <font>
      <sz val="12"/>
      <color indexed="12"/>
      <name val="Times New Roman"/>
      <family val="1"/>
    </font>
    <font>
      <sz val="14"/>
      <color indexed="12"/>
      <name val="Times New Roman"/>
      <family val="1"/>
    </font>
    <font>
      <sz val="14"/>
      <color indexed="30"/>
      <name val="Times New Roman"/>
      <family val="1"/>
    </font>
    <font>
      <b/>
      <sz val="12"/>
      <color indexed="10"/>
      <name val="Arial"/>
      <family val="2"/>
    </font>
    <font>
      <sz val="12"/>
      <color rgb="FF002060"/>
      <name val="Arial"/>
      <family val="2"/>
    </font>
    <font>
      <sz val="10"/>
      <color rgb="FFFF0000"/>
      <name val="Arial"/>
      <family val="2"/>
    </font>
    <font>
      <b/>
      <sz val="12"/>
      <color theme="5" tint="-0.249977111117893"/>
      <name val="Arial"/>
      <family val="2"/>
    </font>
    <font>
      <i/>
      <sz val="14"/>
      <color theme="9"/>
      <name val="Arial"/>
      <family val="2"/>
    </font>
    <font>
      <b/>
      <sz val="11"/>
      <color rgb="FFFF0000"/>
      <name val="Arial"/>
      <family val="2"/>
    </font>
    <font>
      <b/>
      <sz val="11"/>
      <color theme="1" tint="0.34998626667073579"/>
      <name val="Arial"/>
      <family val="2"/>
    </font>
    <font>
      <b/>
      <sz val="11"/>
      <color theme="9" tint="-0.499984740745262"/>
      <name val="Arial"/>
      <family val="2"/>
    </font>
    <font>
      <b/>
      <sz val="12"/>
      <color theme="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45"/>
        <bgColor indexed="29"/>
      </patternFill>
    </fill>
    <fill>
      <patternFill patternType="solid">
        <fgColor indexed="47"/>
        <bgColor indexed="22"/>
      </patternFill>
    </fill>
    <fill>
      <patternFill patternType="solid">
        <fgColor theme="0"/>
        <bgColor indexed="26"/>
      </patternFill>
    </fill>
    <fill>
      <patternFill patternType="solid">
        <fgColor theme="0"/>
        <bgColor indexed="9"/>
      </patternFill>
    </fill>
    <fill>
      <patternFill patternType="solid">
        <fgColor theme="0"/>
        <bgColor indexed="27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26"/>
      </patternFill>
    </fill>
    <fill>
      <patternFill patternType="solid">
        <fgColor rgb="FFFFFF00"/>
        <bgColor indexed="29"/>
      </patternFill>
    </fill>
    <fill>
      <patternFill patternType="solid">
        <fgColor theme="0"/>
        <bgColor indexed="34"/>
      </patternFill>
    </fill>
    <fill>
      <patternFill patternType="solid">
        <fgColor rgb="FFFFFF00"/>
        <bgColor indexed="34"/>
      </patternFill>
    </fill>
    <fill>
      <patternFill patternType="solid">
        <fgColor rgb="FFFFFF00"/>
        <bgColor indexed="31"/>
      </patternFill>
    </fill>
    <fill>
      <patternFill patternType="solid">
        <fgColor theme="9" tint="0.79998168889431442"/>
        <bgColor indexed="51"/>
      </patternFill>
    </fill>
    <fill>
      <patternFill patternType="solid">
        <fgColor theme="0"/>
        <bgColor indexed="24"/>
      </patternFill>
    </fill>
    <fill>
      <patternFill patternType="solid">
        <fgColor theme="0"/>
        <bgColor indexed="13"/>
      </patternFill>
    </fill>
    <fill>
      <patternFill patternType="solid">
        <fgColor theme="9" tint="0.79998168889431442"/>
        <bgColor indexed="41"/>
      </patternFill>
    </fill>
    <fill>
      <patternFill patternType="solid">
        <fgColor theme="0"/>
        <bgColor indexed="22"/>
      </patternFill>
    </fill>
    <fill>
      <patternFill patternType="solid">
        <fgColor theme="9" tint="0.79998168889431442"/>
        <bgColor indexed="27"/>
      </patternFill>
    </fill>
    <fill>
      <patternFill patternType="solid">
        <fgColor theme="9" tint="0.79998168889431442"/>
        <bgColor indexed="26"/>
      </patternFill>
    </fill>
    <fill>
      <patternFill patternType="solid">
        <fgColor theme="9" tint="0.79998168889431442"/>
        <bgColor indexed="9"/>
      </patternFill>
    </fill>
    <fill>
      <patternFill patternType="solid">
        <fgColor theme="9" tint="0.79998168889431442"/>
        <bgColor indexed="29"/>
      </patternFill>
    </fill>
    <fill>
      <patternFill patternType="solid">
        <fgColor theme="0"/>
        <bgColor indexed="31"/>
      </patternFill>
    </fill>
  </fills>
  <borders count="39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/>
      <diagonal/>
    </border>
    <border>
      <left/>
      <right/>
      <top/>
      <bottom style="medium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medium">
        <color indexed="8"/>
      </left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 style="hair">
        <color indexed="8"/>
      </right>
      <top/>
      <bottom/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/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/>
      <diagonal/>
    </border>
    <border>
      <left style="thin">
        <color rgb="FFC00000"/>
      </left>
      <right style="thin">
        <color rgb="FFC00000"/>
      </right>
      <top/>
      <bottom/>
      <diagonal/>
    </border>
    <border>
      <left style="thin">
        <color rgb="FFC00000"/>
      </left>
      <right style="thin">
        <color rgb="FFC00000"/>
      </right>
      <top/>
      <bottom style="thin">
        <color rgb="FFC00000"/>
      </bottom>
      <diagonal/>
    </border>
    <border>
      <left style="thin">
        <color rgb="FFC00000"/>
      </left>
      <right/>
      <top style="thin">
        <color rgb="FFC00000"/>
      </top>
      <bottom style="thin">
        <color rgb="FFC00000"/>
      </bottom>
      <diagonal/>
    </border>
  </borders>
  <cellStyleXfs count="8">
    <xf numFmtId="0" fontId="0" fillId="0" borderId="0"/>
    <xf numFmtId="165" fontId="55" fillId="0" borderId="0" applyFill="0" applyBorder="0" applyAlignment="0" applyProtection="0"/>
    <xf numFmtId="164" fontId="55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55" fillId="0" borderId="0" applyFill="0" applyBorder="0" applyAlignment="0" applyProtection="0"/>
  </cellStyleXfs>
  <cellXfs count="657">
    <xf numFmtId="0" fontId="0" fillId="0" borderId="0" xfId="0"/>
    <xf numFmtId="0" fontId="13" fillId="0" borderId="0" xfId="0" applyFont="1"/>
    <xf numFmtId="0" fontId="13" fillId="0" borderId="1" xfId="0" applyFont="1" applyBorder="1"/>
    <xf numFmtId="0" fontId="13" fillId="2" borderId="1" xfId="4" applyFont="1" applyFill="1" applyBorder="1" applyAlignment="1" applyProtection="1">
      <alignment horizontal="center" vertical="center"/>
    </xf>
    <xf numFmtId="0" fontId="15" fillId="0" borderId="1" xfId="0" applyFont="1" applyBorder="1" applyAlignment="1">
      <alignment horizontal="center"/>
    </xf>
    <xf numFmtId="1" fontId="15" fillId="0" borderId="1" xfId="0" applyNumberFormat="1" applyFont="1" applyBorder="1" applyAlignment="1">
      <alignment horizontal="center"/>
    </xf>
    <xf numFmtId="0" fontId="13" fillId="0" borderId="1" xfId="0" applyFont="1" applyBorder="1" applyAlignment="1" applyProtection="1">
      <alignment horizontal="center"/>
      <protection locked="0"/>
    </xf>
    <xf numFmtId="1" fontId="15" fillId="0" borderId="1" xfId="0" applyNumberFormat="1" applyFont="1" applyBorder="1" applyAlignment="1" applyProtection="1">
      <alignment horizontal="center"/>
      <protection locked="0"/>
    </xf>
    <xf numFmtId="10" fontId="13" fillId="0" borderId="1" xfId="0" applyNumberFormat="1" applyFont="1" applyBorder="1"/>
    <xf numFmtId="1" fontId="13" fillId="0" borderId="1" xfId="0" applyNumberFormat="1" applyFont="1" applyBorder="1" applyAlignment="1">
      <alignment horizontal="center"/>
    </xf>
    <xf numFmtId="0" fontId="0" fillId="2" borderId="0" xfId="0" applyFill="1"/>
    <xf numFmtId="0" fontId="20" fillId="2" borderId="0" xfId="0" applyFont="1" applyFill="1"/>
    <xf numFmtId="0" fontId="21" fillId="2" borderId="0" xfId="0" applyFont="1" applyFill="1"/>
    <xf numFmtId="0" fontId="22" fillId="2" borderId="0" xfId="0" applyFont="1" applyFill="1"/>
    <xf numFmtId="0" fontId="22" fillId="2" borderId="2" xfId="0" applyFont="1" applyFill="1" applyBorder="1"/>
    <xf numFmtId="0" fontId="22" fillId="2" borderId="3" xfId="0" applyFont="1" applyFill="1" applyBorder="1"/>
    <xf numFmtId="0" fontId="22" fillId="2" borderId="4" xfId="0" applyFont="1" applyFill="1" applyBorder="1" applyAlignment="1">
      <alignment horizontal="center"/>
    </xf>
    <xf numFmtId="0" fontId="22" fillId="2" borderId="1" xfId="0" applyFont="1" applyFill="1" applyBorder="1"/>
    <xf numFmtId="0" fontId="22" fillId="2" borderId="5" xfId="0" applyFont="1" applyFill="1" applyBorder="1"/>
    <xf numFmtId="166" fontId="22" fillId="2" borderId="1" xfId="1" applyNumberFormat="1" applyFont="1" applyFill="1" applyBorder="1" applyAlignment="1" applyProtection="1"/>
    <xf numFmtId="166" fontId="22" fillId="2" borderId="5" xfId="1" applyNumberFormat="1" applyFont="1" applyFill="1" applyBorder="1" applyAlignment="1" applyProtection="1"/>
    <xf numFmtId="166" fontId="22" fillId="2" borderId="6" xfId="1" applyNumberFormat="1" applyFont="1" applyFill="1" applyBorder="1" applyAlignment="1" applyProtection="1"/>
    <xf numFmtId="166" fontId="22" fillId="2" borderId="7" xfId="1" applyNumberFormat="1" applyFont="1" applyFill="1" applyBorder="1" applyAlignment="1" applyProtection="1"/>
    <xf numFmtId="0" fontId="22" fillId="2" borderId="8" xfId="0" applyFont="1" applyFill="1" applyBorder="1"/>
    <xf numFmtId="0" fontId="22" fillId="2" borderId="9" xfId="0" applyFont="1" applyFill="1" applyBorder="1" applyAlignment="1">
      <alignment horizontal="center"/>
    </xf>
    <xf numFmtId="0" fontId="22" fillId="2" borderId="10" xfId="0" applyFont="1" applyFill="1" applyBorder="1" applyAlignment="1">
      <alignment horizontal="center"/>
    </xf>
    <xf numFmtId="0" fontId="22" fillId="3" borderId="1" xfId="0" applyFont="1" applyFill="1" applyBorder="1"/>
    <xf numFmtId="0" fontId="22" fillId="2" borderId="11" xfId="0" applyFont="1" applyFill="1" applyBorder="1"/>
    <xf numFmtId="9" fontId="22" fillId="2" borderId="1" xfId="0" applyNumberFormat="1" applyFont="1" applyFill="1" applyBorder="1"/>
    <xf numFmtId="10" fontId="22" fillId="2" borderId="1" xfId="0" applyNumberFormat="1" applyFont="1" applyFill="1" applyBorder="1"/>
    <xf numFmtId="0" fontId="22" fillId="2" borderId="12" xfId="0" applyFont="1" applyFill="1" applyBorder="1"/>
    <xf numFmtId="0" fontId="22" fillId="2" borderId="13" xfId="0" applyFont="1" applyFill="1" applyBorder="1"/>
    <xf numFmtId="0" fontId="22" fillId="2" borderId="14" xfId="0" applyFont="1" applyFill="1" applyBorder="1"/>
    <xf numFmtId="0" fontId="50" fillId="3" borderId="1" xfId="0" applyFont="1" applyFill="1" applyBorder="1"/>
    <xf numFmtId="0" fontId="51" fillId="3" borderId="1" xfId="0" applyFont="1" applyFill="1" applyBorder="1"/>
    <xf numFmtId="0" fontId="31" fillId="2" borderId="11" xfId="0" applyFont="1" applyFill="1" applyBorder="1"/>
    <xf numFmtId="0" fontId="31" fillId="2" borderId="15" xfId="0" applyFont="1" applyFill="1" applyBorder="1"/>
    <xf numFmtId="0" fontId="31" fillId="2" borderId="16" xfId="0" applyFont="1" applyFill="1" applyBorder="1"/>
    <xf numFmtId="0" fontId="31" fillId="2" borderId="17" xfId="0" applyFont="1" applyFill="1" applyBorder="1"/>
    <xf numFmtId="0" fontId="0" fillId="2" borderId="11" xfId="0" applyFont="1" applyFill="1" applyBorder="1"/>
    <xf numFmtId="165" fontId="0" fillId="2" borderId="16" xfId="1" applyFont="1" applyFill="1" applyBorder="1" applyAlignment="1" applyProtection="1"/>
    <xf numFmtId="0" fontId="0" fillId="2" borderId="0" xfId="0" applyNumberFormat="1" applyFill="1"/>
    <xf numFmtId="0" fontId="31" fillId="2" borderId="3" xfId="0" applyFont="1" applyFill="1" applyBorder="1"/>
    <xf numFmtId="0" fontId="31" fillId="2" borderId="1" xfId="0" applyFont="1" applyFill="1" applyBorder="1"/>
    <xf numFmtId="0" fontId="31" fillId="2" borderId="5" xfId="0" applyFont="1" applyFill="1" applyBorder="1"/>
    <xf numFmtId="0" fontId="31" fillId="2" borderId="0" xfId="0" applyFont="1" applyFill="1" applyBorder="1"/>
    <xf numFmtId="0" fontId="0" fillId="2" borderId="3" xfId="0" applyFont="1" applyFill="1" applyBorder="1"/>
    <xf numFmtId="0" fontId="0" fillId="2" borderId="5" xfId="0" applyFill="1" applyBorder="1"/>
    <xf numFmtId="172" fontId="0" fillId="2" borderId="1" xfId="0" applyNumberFormat="1" applyFill="1" applyBorder="1"/>
    <xf numFmtId="172" fontId="0" fillId="2" borderId="5" xfId="0" applyNumberFormat="1" applyFill="1" applyBorder="1"/>
    <xf numFmtId="0" fontId="0" fillId="2" borderId="0" xfId="0" applyFill="1" applyBorder="1"/>
    <xf numFmtId="0" fontId="0" fillId="2" borderId="3" xfId="1" applyNumberFormat="1" applyFont="1" applyFill="1" applyBorder="1" applyAlignment="1" applyProtection="1"/>
    <xf numFmtId="168" fontId="52" fillId="3" borderId="5" xfId="1" applyNumberFormat="1" applyFont="1" applyFill="1" applyBorder="1" applyAlignment="1" applyProtection="1"/>
    <xf numFmtId="0" fontId="0" fillId="2" borderId="3" xfId="0" applyNumberFormat="1" applyFill="1" applyBorder="1"/>
    <xf numFmtId="172" fontId="0" fillId="2" borderId="5" xfId="7" applyNumberFormat="1" applyFont="1" applyFill="1" applyBorder="1" applyAlignment="1" applyProtection="1"/>
    <xf numFmtId="0" fontId="0" fillId="2" borderId="1" xfId="0" applyFill="1" applyBorder="1"/>
    <xf numFmtId="165" fontId="0" fillId="2" borderId="5" xfId="1" applyFont="1" applyFill="1" applyBorder="1" applyAlignment="1" applyProtection="1"/>
    <xf numFmtId="0" fontId="0" fillId="2" borderId="12" xfId="0" applyFont="1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8" xfId="0" applyFill="1" applyBorder="1"/>
    <xf numFmtId="168" fontId="52" fillId="3" borderId="14" xfId="1" applyNumberFormat="1" applyFont="1" applyFill="1" applyBorder="1" applyAlignment="1" applyProtection="1"/>
    <xf numFmtId="165" fontId="0" fillId="2" borderId="14" xfId="1" applyFont="1" applyFill="1" applyBorder="1" applyAlignment="1" applyProtection="1"/>
    <xf numFmtId="0" fontId="52" fillId="2" borderId="0" xfId="0" applyFont="1" applyFill="1"/>
    <xf numFmtId="0" fontId="0" fillId="2" borderId="16" xfId="0" applyFill="1" applyBorder="1"/>
    <xf numFmtId="0" fontId="0" fillId="2" borderId="3" xfId="0" applyFill="1" applyBorder="1"/>
    <xf numFmtId="0" fontId="0" fillId="2" borderId="12" xfId="0" applyFill="1" applyBorder="1"/>
    <xf numFmtId="172" fontId="0" fillId="2" borderId="13" xfId="0" applyNumberFormat="1" applyFill="1" applyBorder="1"/>
    <xf numFmtId="0" fontId="0" fillId="2" borderId="12" xfId="1" applyNumberFormat="1" applyFont="1" applyFill="1" applyBorder="1" applyAlignment="1" applyProtection="1"/>
    <xf numFmtId="168" fontId="0" fillId="2" borderId="0" xfId="0" applyNumberFormat="1" applyFill="1"/>
    <xf numFmtId="0" fontId="0" fillId="2" borderId="0" xfId="0" applyFont="1" applyFill="1"/>
    <xf numFmtId="0" fontId="0" fillId="2" borderId="5" xfId="0" applyFont="1" applyFill="1" applyBorder="1"/>
    <xf numFmtId="172" fontId="0" fillId="2" borderId="1" xfId="0" applyNumberFormat="1" applyFont="1" applyFill="1" applyBorder="1"/>
    <xf numFmtId="172" fontId="0" fillId="2" borderId="5" xfId="0" applyNumberFormat="1" applyFont="1" applyFill="1" applyBorder="1"/>
    <xf numFmtId="0" fontId="0" fillId="2" borderId="0" xfId="0" applyFont="1" applyFill="1" applyBorder="1"/>
    <xf numFmtId="0" fontId="0" fillId="2" borderId="3" xfId="0" applyNumberFormat="1" applyFont="1" applyFill="1" applyBorder="1"/>
    <xf numFmtId="0" fontId="0" fillId="2" borderId="13" xfId="0" applyFont="1" applyFill="1" applyBorder="1"/>
    <xf numFmtId="0" fontId="0" fillId="2" borderId="14" xfId="0" applyFont="1" applyFill="1" applyBorder="1"/>
    <xf numFmtId="172" fontId="53" fillId="2" borderId="1" xfId="0" applyNumberFormat="1" applyFont="1" applyFill="1" applyBorder="1"/>
    <xf numFmtId="0" fontId="0" fillId="2" borderId="1" xfId="0" applyFont="1" applyFill="1" applyBorder="1"/>
    <xf numFmtId="165" fontId="0" fillId="2" borderId="0" xfId="1" applyFont="1" applyFill="1" applyBorder="1" applyAlignment="1" applyProtection="1"/>
    <xf numFmtId="172" fontId="0" fillId="2" borderId="0" xfId="0" applyNumberFormat="1" applyFont="1" applyFill="1" applyBorder="1"/>
    <xf numFmtId="0" fontId="0" fillId="2" borderId="0" xfId="0" applyNumberFormat="1" applyFont="1" applyFill="1" applyBorder="1"/>
    <xf numFmtId="172" fontId="0" fillId="2" borderId="0" xfId="7" applyNumberFormat="1" applyFont="1" applyFill="1" applyBorder="1" applyAlignment="1" applyProtection="1"/>
    <xf numFmtId="172" fontId="54" fillId="2" borderId="1" xfId="0" applyNumberFormat="1" applyFont="1" applyFill="1" applyBorder="1" applyAlignment="1">
      <alignment horizontal="center" vertical="center" wrapText="1"/>
    </xf>
    <xf numFmtId="0" fontId="39" fillId="5" borderId="0" xfId="0" applyFont="1" applyFill="1" applyBorder="1" applyAlignment="1">
      <alignment horizontal="center"/>
    </xf>
    <xf numFmtId="0" fontId="37" fillId="5" borderId="0" xfId="0" applyFont="1" applyFill="1"/>
    <xf numFmtId="0" fontId="37" fillId="5" borderId="0" xfId="0" applyFont="1" applyFill="1" applyAlignment="1">
      <alignment horizontal="center"/>
    </xf>
    <xf numFmtId="0" fontId="37" fillId="5" borderId="0" xfId="0" applyFont="1" applyFill="1" applyBorder="1"/>
    <xf numFmtId="1" fontId="37" fillId="5" borderId="0" xfId="0" applyNumberFormat="1" applyFont="1" applyFill="1" applyBorder="1"/>
    <xf numFmtId="0" fontId="37" fillId="5" borderId="0" xfId="0" applyFont="1" applyFill="1" applyBorder="1" applyAlignment="1">
      <alignment horizontal="center"/>
    </xf>
    <xf numFmtId="9" fontId="37" fillId="5" borderId="0" xfId="0" applyNumberFormat="1" applyFont="1" applyFill="1"/>
    <xf numFmtId="0" fontId="39" fillId="5" borderId="0" xfId="0" applyFont="1" applyFill="1" applyBorder="1"/>
    <xf numFmtId="0" fontId="39" fillId="5" borderId="0" xfId="0" applyFont="1" applyFill="1"/>
    <xf numFmtId="0" fontId="39" fillId="5" borderId="0" xfId="0" applyFont="1" applyFill="1" applyAlignment="1">
      <alignment horizontal="center"/>
    </xf>
    <xf numFmtId="1" fontId="37" fillId="5" borderId="19" xfId="1" applyNumberFormat="1" applyFont="1" applyFill="1" applyBorder="1" applyAlignment="1" applyProtection="1">
      <protection hidden="1"/>
    </xf>
    <xf numFmtId="0" fontId="23" fillId="5" borderId="19" xfId="0" applyFont="1" applyFill="1" applyBorder="1"/>
    <xf numFmtId="0" fontId="37" fillId="5" borderId="0" xfId="0" applyFont="1" applyFill="1" applyAlignment="1">
      <alignment vertical="center"/>
    </xf>
    <xf numFmtId="0" fontId="37" fillId="5" borderId="0" xfId="0" applyFont="1" applyFill="1" applyBorder="1" applyProtection="1">
      <protection hidden="1"/>
    </xf>
    <xf numFmtId="9" fontId="37" fillId="5" borderId="0" xfId="0" applyNumberFormat="1" applyFont="1" applyFill="1" applyBorder="1" applyProtection="1">
      <protection hidden="1"/>
    </xf>
    <xf numFmtId="167" fontId="37" fillId="5" borderId="0" xfId="1" applyNumberFormat="1" applyFont="1" applyFill="1" applyBorder="1" applyAlignment="1" applyProtection="1">
      <alignment horizontal="center"/>
      <protection hidden="1"/>
    </xf>
    <xf numFmtId="167" fontId="37" fillId="5" borderId="0" xfId="1" applyNumberFormat="1" applyFont="1" applyFill="1" applyBorder="1" applyAlignment="1" applyProtection="1">
      <protection hidden="1"/>
    </xf>
    <xf numFmtId="0" fontId="39" fillId="5" borderId="19" xfId="0" applyFont="1" applyFill="1" applyBorder="1" applyAlignment="1" applyProtection="1">
      <alignment horizontal="center"/>
      <protection hidden="1"/>
    </xf>
    <xf numFmtId="0" fontId="39" fillId="5" borderId="19" xfId="0" applyFont="1" applyFill="1" applyBorder="1" applyAlignment="1">
      <alignment horizontal="center" vertical="center"/>
    </xf>
    <xf numFmtId="0" fontId="37" fillId="5" borderId="0" xfId="0" applyFont="1" applyFill="1" applyAlignment="1">
      <alignment horizontal="center" vertical="center"/>
    </xf>
    <xf numFmtId="1" fontId="37" fillId="5" borderId="19" xfId="0" applyNumberFormat="1" applyFont="1" applyFill="1" applyBorder="1" applyAlignment="1" applyProtection="1">
      <alignment horizontal="right"/>
      <protection hidden="1"/>
    </xf>
    <xf numFmtId="1" fontId="39" fillId="5" borderId="19" xfId="1" applyNumberFormat="1" applyFont="1" applyFill="1" applyBorder="1" applyAlignment="1" applyProtection="1">
      <protection hidden="1"/>
    </xf>
    <xf numFmtId="0" fontId="39" fillId="5" borderId="0" xfId="0" applyFont="1" applyFill="1" applyAlignment="1">
      <alignment vertical="center"/>
    </xf>
    <xf numFmtId="1" fontId="37" fillId="5" borderId="19" xfId="0" applyNumberFormat="1" applyFont="1" applyFill="1" applyBorder="1" applyProtection="1">
      <protection hidden="1"/>
    </xf>
    <xf numFmtId="1" fontId="39" fillId="6" borderId="19" xfId="0" applyNumberFormat="1" applyFont="1" applyFill="1" applyBorder="1" applyProtection="1">
      <protection hidden="1"/>
    </xf>
    <xf numFmtId="1" fontId="39" fillId="6" borderId="19" xfId="1" applyNumberFormat="1" applyFont="1" applyFill="1" applyBorder="1" applyAlignment="1" applyProtection="1">
      <protection hidden="1"/>
    </xf>
    <xf numFmtId="167" fontId="39" fillId="5" borderId="0" xfId="0" applyNumberFormat="1" applyFont="1" applyFill="1" applyAlignment="1">
      <alignment vertical="center"/>
    </xf>
    <xf numFmtId="0" fontId="39" fillId="5" borderId="0" xfId="0" applyFont="1" applyFill="1" applyAlignment="1">
      <alignment horizontal="center" vertical="center"/>
    </xf>
    <xf numFmtId="172" fontId="37" fillId="5" borderId="0" xfId="7" applyNumberFormat="1" applyFont="1" applyFill="1" applyBorder="1" applyAlignment="1" applyProtection="1"/>
    <xf numFmtId="0" fontId="23" fillId="5" borderId="1" xfId="0" applyFont="1" applyFill="1" applyBorder="1" applyAlignment="1">
      <alignment horizontal="center"/>
    </xf>
    <xf numFmtId="10" fontId="23" fillId="5" borderId="1" xfId="0" applyNumberFormat="1" applyFont="1" applyFill="1" applyBorder="1" applyAlignment="1">
      <alignment horizontal="center"/>
    </xf>
    <xf numFmtId="1" fontId="23" fillId="5" borderId="1" xfId="0" applyNumberFormat="1" applyFont="1" applyFill="1" applyBorder="1" applyAlignment="1">
      <alignment horizontal="center"/>
    </xf>
    <xf numFmtId="0" fontId="23" fillId="5" borderId="0" xfId="0" applyFont="1" applyFill="1" applyBorder="1" applyAlignment="1">
      <alignment vertical="center"/>
    </xf>
    <xf numFmtId="0" fontId="23" fillId="5" borderId="0" xfId="0" applyFont="1" applyFill="1" applyAlignment="1">
      <alignment vertical="center"/>
    </xf>
    <xf numFmtId="0" fontId="23" fillId="5" borderId="0" xfId="0" applyFont="1" applyFill="1" applyAlignment="1">
      <alignment horizontal="left" vertical="center"/>
    </xf>
    <xf numFmtId="0" fontId="23" fillId="5" borderId="0" xfId="0" applyFont="1" applyFill="1" applyBorder="1"/>
    <xf numFmtId="0" fontId="23" fillId="5" borderId="0" xfId="0" applyFont="1" applyFill="1"/>
    <xf numFmtId="0" fontId="23" fillId="5" borderId="0" xfId="0" applyFont="1" applyFill="1" applyAlignment="1">
      <alignment horizontal="left"/>
    </xf>
    <xf numFmtId="1" fontId="23" fillId="5" borderId="0" xfId="0" applyNumberFormat="1" applyFont="1" applyFill="1" applyAlignment="1">
      <alignment vertical="center"/>
    </xf>
    <xf numFmtId="1" fontId="23" fillId="5" borderId="0" xfId="0" applyNumberFormat="1" applyFont="1" applyFill="1" applyAlignment="1">
      <alignment horizontal="left" vertical="center"/>
    </xf>
    <xf numFmtId="9" fontId="23" fillId="5" borderId="0" xfId="0" applyNumberFormat="1" applyFont="1" applyFill="1"/>
    <xf numFmtId="0" fontId="27" fillId="5" borderId="0" xfId="0" applyFont="1" applyFill="1" applyBorder="1"/>
    <xf numFmtId="0" fontId="27" fillId="5" borderId="0" xfId="0" applyFont="1" applyFill="1"/>
    <xf numFmtId="0" fontId="27" fillId="5" borderId="0" xfId="0" applyFont="1" applyFill="1" applyAlignment="1">
      <alignment horizontal="left"/>
    </xf>
    <xf numFmtId="1" fontId="23" fillId="5" borderId="0" xfId="0" applyNumberFormat="1" applyFont="1" applyFill="1" applyBorder="1"/>
    <xf numFmtId="1" fontId="27" fillId="5" borderId="0" xfId="0" applyNumberFormat="1" applyFont="1" applyFill="1" applyBorder="1"/>
    <xf numFmtId="0" fontId="23" fillId="5" borderId="20" xfId="0" applyFont="1" applyFill="1" applyBorder="1" applyProtection="1">
      <protection hidden="1"/>
    </xf>
    <xf numFmtId="9" fontId="23" fillId="5" borderId="0" xfId="0" applyNumberFormat="1" applyFont="1" applyFill="1" applyBorder="1" applyProtection="1">
      <protection hidden="1"/>
    </xf>
    <xf numFmtId="0" fontId="23" fillId="5" borderId="0" xfId="0" applyFont="1" applyFill="1" applyBorder="1" applyProtection="1">
      <protection hidden="1"/>
    </xf>
    <xf numFmtId="167" fontId="23" fillId="5" borderId="0" xfId="1" applyNumberFormat="1" applyFont="1" applyFill="1" applyBorder="1" applyAlignment="1" applyProtection="1">
      <alignment horizontal="center"/>
      <protection hidden="1"/>
    </xf>
    <xf numFmtId="167" fontId="23" fillId="5" borderId="0" xfId="1" applyNumberFormat="1" applyFont="1" applyFill="1" applyBorder="1" applyAlignment="1" applyProtection="1">
      <protection hidden="1"/>
    </xf>
    <xf numFmtId="172" fontId="23" fillId="5" borderId="0" xfId="7" applyNumberFormat="1" applyFont="1" applyFill="1" applyBorder="1" applyAlignment="1" applyProtection="1"/>
    <xf numFmtId="0" fontId="27" fillId="5" borderId="0" xfId="0" applyFont="1" applyFill="1" applyAlignment="1">
      <alignment vertical="center"/>
    </xf>
    <xf numFmtId="0" fontId="23" fillId="5" borderId="0" xfId="0" applyFont="1" applyFill="1" applyBorder="1" applyAlignment="1" applyProtection="1">
      <alignment vertical="center"/>
      <protection hidden="1"/>
    </xf>
    <xf numFmtId="9" fontId="23" fillId="5" borderId="0" xfId="0" applyNumberFormat="1" applyFont="1" applyFill="1" applyBorder="1" applyAlignment="1" applyProtection="1">
      <alignment vertical="center"/>
      <protection hidden="1"/>
    </xf>
    <xf numFmtId="167" fontId="23" fillId="5" borderId="0" xfId="1" applyNumberFormat="1" applyFont="1" applyFill="1" applyBorder="1" applyAlignment="1" applyProtection="1">
      <alignment horizontal="center" vertical="center"/>
      <protection hidden="1"/>
    </xf>
    <xf numFmtId="167" fontId="23" fillId="5" borderId="0" xfId="1" applyNumberFormat="1" applyFont="1" applyFill="1" applyBorder="1" applyAlignment="1" applyProtection="1">
      <alignment vertical="center"/>
      <protection hidden="1"/>
    </xf>
    <xf numFmtId="167" fontId="23" fillId="5" borderId="0" xfId="0" applyNumberFormat="1" applyFont="1" applyFill="1" applyAlignment="1">
      <alignment vertical="center"/>
    </xf>
    <xf numFmtId="14" fontId="23" fillId="5" borderId="0" xfId="0" applyNumberFormat="1" applyFont="1" applyFill="1"/>
    <xf numFmtId="170" fontId="23" fillId="5" borderId="0" xfId="0" applyNumberFormat="1" applyFont="1" applyFill="1"/>
    <xf numFmtId="171" fontId="23" fillId="5" borderId="0" xfId="0" applyNumberFormat="1" applyFont="1" applyFill="1"/>
    <xf numFmtId="4" fontId="23" fillId="5" borderId="0" xfId="0" applyNumberFormat="1" applyFont="1" applyFill="1"/>
    <xf numFmtId="165" fontId="23" fillId="5" borderId="0" xfId="0" applyNumberFormat="1" applyFont="1" applyFill="1"/>
    <xf numFmtId="0" fontId="23" fillId="5" borderId="0" xfId="0" applyFont="1" applyFill="1" applyBorder="1" applyAlignment="1" applyProtection="1">
      <alignment horizontal="center"/>
      <protection hidden="1"/>
    </xf>
    <xf numFmtId="4" fontId="27" fillId="5" borderId="0" xfId="0" applyNumberFormat="1" applyFont="1" applyFill="1"/>
    <xf numFmtId="0" fontId="31" fillId="5" borderId="0" xfId="0" applyFont="1" applyFill="1"/>
    <xf numFmtId="0" fontId="23" fillId="5" borderId="0" xfId="0" applyFont="1" applyFill="1" applyAlignment="1">
      <alignment horizontal="center"/>
    </xf>
    <xf numFmtId="1" fontId="23" fillId="5" borderId="0" xfId="0" applyNumberFormat="1" applyFont="1" applyFill="1"/>
    <xf numFmtId="0" fontId="23" fillId="5" borderId="0" xfId="0" applyFont="1" applyFill="1" applyBorder="1" applyAlignment="1">
      <alignment horizontal="center" vertical="center"/>
    </xf>
    <xf numFmtId="1" fontId="23" fillId="5" borderId="0" xfId="0" applyNumberFormat="1" applyFont="1" applyFill="1" applyBorder="1" applyAlignment="1">
      <alignment horizontal="center" vertical="center"/>
    </xf>
    <xf numFmtId="0" fontId="0" fillId="5" borderId="19" xfId="0" applyFont="1" applyFill="1" applyBorder="1"/>
    <xf numFmtId="0" fontId="0" fillId="5" borderId="19" xfId="0" applyFont="1" applyFill="1" applyBorder="1" applyAlignment="1" applyProtection="1">
      <alignment horizontal="center" vertical="center"/>
      <protection locked="0"/>
    </xf>
    <xf numFmtId="0" fontId="39" fillId="5" borderId="0" xfId="0" applyFont="1" applyFill="1" applyBorder="1" applyAlignment="1">
      <alignment vertical="center"/>
    </xf>
    <xf numFmtId="172" fontId="23" fillId="5" borderId="0" xfId="7" applyNumberFormat="1" applyFont="1" applyFill="1" applyBorder="1" applyAlignment="1" applyProtection="1">
      <alignment vertical="center"/>
    </xf>
    <xf numFmtId="167" fontId="23" fillId="5" borderId="0" xfId="0" applyNumberFormat="1" applyFont="1" applyFill="1" applyBorder="1" applyAlignment="1">
      <alignment vertical="center"/>
    </xf>
    <xf numFmtId="0" fontId="23" fillId="5" borderId="0" xfId="0" applyFont="1" applyFill="1" applyAlignment="1">
      <alignment horizontal="center" vertical="center"/>
    </xf>
    <xf numFmtId="9" fontId="27" fillId="5" borderId="19" xfId="0" applyNumberFormat="1" applyFont="1" applyFill="1" applyBorder="1" applyAlignment="1" applyProtection="1">
      <alignment horizontal="center" vertical="center"/>
      <protection hidden="1"/>
    </xf>
    <xf numFmtId="0" fontId="27" fillId="5" borderId="0" xfId="0" applyFont="1" applyFill="1" applyBorder="1" applyAlignment="1" applyProtection="1">
      <alignment vertical="center" wrapText="1"/>
      <protection hidden="1"/>
    </xf>
    <xf numFmtId="0" fontId="23" fillId="5" borderId="0" xfId="0" applyFont="1" applyFill="1" applyBorder="1" applyAlignment="1">
      <alignment horizontal="left"/>
    </xf>
    <xf numFmtId="9" fontId="23" fillId="5" borderId="0" xfId="0" applyNumberFormat="1" applyFont="1" applyFill="1" applyBorder="1" applyAlignment="1">
      <alignment horizontal="left"/>
    </xf>
    <xf numFmtId="0" fontId="27" fillId="5" borderId="0" xfId="0" applyFont="1" applyFill="1" applyBorder="1" applyAlignment="1">
      <alignment horizontal="left"/>
    </xf>
    <xf numFmtId="0" fontId="27" fillId="5" borderId="0" xfId="0" applyFont="1" applyFill="1" applyBorder="1" applyAlignment="1">
      <alignment horizontal="center"/>
    </xf>
    <xf numFmtId="0" fontId="27" fillId="5" borderId="0" xfId="0" applyFont="1" applyFill="1" applyBorder="1" applyAlignment="1">
      <alignment horizontal="right"/>
    </xf>
    <xf numFmtId="0" fontId="23" fillId="5" borderId="0" xfId="0" applyFont="1" applyFill="1" applyBorder="1" applyAlignment="1" applyProtection="1">
      <alignment horizontal="left"/>
      <protection hidden="1"/>
    </xf>
    <xf numFmtId="0" fontId="23" fillId="5" borderId="0" xfId="0" applyFont="1" applyFill="1" applyBorder="1" applyAlignment="1" applyProtection="1">
      <alignment horizontal="right"/>
      <protection hidden="1"/>
    </xf>
    <xf numFmtId="0" fontId="23" fillId="5" borderId="0" xfId="0" applyFont="1" applyFill="1" applyBorder="1" applyAlignment="1">
      <alignment horizontal="center"/>
    </xf>
    <xf numFmtId="0" fontId="23" fillId="5" borderId="0" xfId="0" applyFont="1" applyFill="1" applyBorder="1" applyAlignment="1">
      <alignment horizontal="right"/>
    </xf>
    <xf numFmtId="0" fontId="23" fillId="5" borderId="1" xfId="0" applyFont="1" applyFill="1" applyBorder="1" applyAlignment="1">
      <alignment horizontal="left"/>
    </xf>
    <xf numFmtId="10" fontId="23" fillId="5" borderId="1" xfId="0" applyNumberFormat="1" applyFont="1" applyFill="1" applyBorder="1" applyAlignment="1">
      <alignment horizontal="left"/>
    </xf>
    <xf numFmtId="1" fontId="23" fillId="5" borderId="33" xfId="1" applyNumberFormat="1" applyFont="1" applyFill="1" applyBorder="1" applyAlignment="1" applyProtection="1">
      <alignment vertical="center"/>
      <protection locked="0"/>
    </xf>
    <xf numFmtId="0" fontId="23" fillId="5" borderId="33" xfId="0" applyFont="1" applyFill="1" applyBorder="1" applyAlignment="1">
      <alignment vertical="center"/>
    </xf>
    <xf numFmtId="0" fontId="23" fillId="5" borderId="33" xfId="1" applyNumberFormat="1" applyFont="1" applyFill="1" applyBorder="1" applyAlignment="1" applyProtection="1">
      <alignment horizontal="center" vertical="center"/>
      <protection locked="0"/>
    </xf>
    <xf numFmtId="0" fontId="23" fillId="5" borderId="33" xfId="0" applyFont="1" applyFill="1" applyBorder="1" applyAlignment="1" applyProtection="1">
      <alignment horizontal="center" vertical="center"/>
      <protection locked="0"/>
    </xf>
    <xf numFmtId="0" fontId="23" fillId="5" borderId="33" xfId="0" applyFont="1" applyFill="1" applyBorder="1"/>
    <xf numFmtId="0" fontId="23" fillId="5" borderId="33" xfId="0" applyFont="1" applyFill="1" applyBorder="1" applyAlignment="1" applyProtection="1">
      <alignment vertical="center"/>
      <protection locked="0"/>
    </xf>
    <xf numFmtId="1" fontId="23" fillId="5" borderId="33" xfId="1" applyNumberFormat="1" applyFont="1" applyFill="1" applyBorder="1" applyAlignment="1" applyProtection="1">
      <alignment vertical="center"/>
      <protection hidden="1"/>
    </xf>
    <xf numFmtId="0" fontId="23" fillId="5" borderId="33" xfId="0" applyFont="1" applyFill="1" applyBorder="1" applyAlignment="1"/>
    <xf numFmtId="0" fontId="37" fillId="5" borderId="33" xfId="0" applyFont="1" applyFill="1" applyBorder="1" applyAlignment="1" applyProtection="1">
      <alignment horizontal="center"/>
      <protection locked="0"/>
    </xf>
    <xf numFmtId="1" fontId="37" fillId="5" borderId="33" xfId="1" applyNumberFormat="1" applyFont="1" applyFill="1" applyBorder="1" applyAlignment="1" applyProtection="1">
      <protection hidden="1"/>
    </xf>
    <xf numFmtId="0" fontId="27" fillId="7" borderId="33" xfId="0" applyFont="1" applyFill="1" applyBorder="1" applyAlignment="1">
      <alignment horizontal="center" vertical="center"/>
    </xf>
    <xf numFmtId="0" fontId="27" fillId="7" borderId="33" xfId="0" applyFont="1" applyFill="1" applyBorder="1" applyAlignment="1" applyProtection="1">
      <alignment vertical="center"/>
      <protection locked="0"/>
    </xf>
    <xf numFmtId="1" fontId="27" fillId="7" borderId="33" xfId="1" applyNumberFormat="1" applyFont="1" applyFill="1" applyBorder="1" applyAlignment="1" applyProtection="1">
      <alignment vertical="center"/>
      <protection hidden="1"/>
    </xf>
    <xf numFmtId="1" fontId="23" fillId="5" borderId="33" xfId="1" applyNumberFormat="1" applyFont="1" applyFill="1" applyBorder="1" applyAlignment="1" applyProtection="1">
      <protection hidden="1"/>
    </xf>
    <xf numFmtId="9" fontId="23" fillId="5" borderId="33" xfId="0" applyNumberFormat="1" applyFont="1" applyFill="1" applyBorder="1" applyAlignment="1" applyProtection="1">
      <alignment horizontal="center" vertical="center"/>
      <protection locked="0"/>
    </xf>
    <xf numFmtId="0" fontId="23" fillId="5" borderId="33" xfId="0" applyFont="1" applyFill="1" applyBorder="1" applyAlignment="1" applyProtection="1">
      <alignment vertical="center"/>
      <protection hidden="1"/>
    </xf>
    <xf numFmtId="0" fontId="23" fillId="5" borderId="33" xfId="1" applyNumberFormat="1" applyFont="1" applyFill="1" applyBorder="1" applyAlignment="1" applyProtection="1">
      <alignment vertical="center"/>
      <protection hidden="1"/>
    </xf>
    <xf numFmtId="0" fontId="23" fillId="7" borderId="33" xfId="0" applyFont="1" applyFill="1" applyBorder="1" applyAlignment="1" applyProtection="1">
      <alignment vertical="center"/>
      <protection locked="0"/>
    </xf>
    <xf numFmtId="1" fontId="23" fillId="7" borderId="33" xfId="1" applyNumberFormat="1" applyFont="1" applyFill="1" applyBorder="1" applyAlignment="1" applyProtection="1">
      <alignment vertical="center"/>
      <protection hidden="1"/>
    </xf>
    <xf numFmtId="0" fontId="27" fillId="7" borderId="33" xfId="0" applyFont="1" applyFill="1" applyBorder="1" applyAlignment="1">
      <alignment vertical="center"/>
    </xf>
    <xf numFmtId="9" fontId="23" fillId="5" borderId="33" xfId="7" applyNumberFormat="1" applyFont="1" applyFill="1" applyBorder="1" applyAlignment="1" applyProtection="1">
      <alignment horizontal="center" vertical="center"/>
      <protection locked="0"/>
    </xf>
    <xf numFmtId="0" fontId="27" fillId="5" borderId="33" xfId="0" applyFont="1" applyFill="1" applyBorder="1" applyAlignment="1">
      <alignment vertical="center"/>
    </xf>
    <xf numFmtId="1" fontId="23" fillId="8" borderId="33" xfId="1" applyNumberFormat="1" applyFont="1" applyFill="1" applyBorder="1" applyAlignment="1" applyProtection="1">
      <alignment vertical="center"/>
      <protection hidden="1"/>
    </xf>
    <xf numFmtId="1" fontId="27" fillId="7" borderId="33" xfId="0" applyNumberFormat="1" applyFont="1" applyFill="1" applyBorder="1" applyAlignment="1" applyProtection="1">
      <alignment vertical="center"/>
      <protection hidden="1"/>
    </xf>
    <xf numFmtId="167" fontId="27" fillId="5" borderId="33" xfId="1" applyNumberFormat="1" applyFont="1" applyFill="1" applyBorder="1" applyAlignment="1" applyProtection="1">
      <alignment horizontal="center"/>
      <protection hidden="1"/>
    </xf>
    <xf numFmtId="0" fontId="27" fillId="5" borderId="33" xfId="0" applyFont="1" applyFill="1" applyBorder="1" applyAlignment="1" applyProtection="1">
      <alignment horizontal="center"/>
      <protection hidden="1"/>
    </xf>
    <xf numFmtId="0" fontId="27" fillId="5" borderId="33" xfId="0" applyFont="1" applyFill="1" applyBorder="1" applyAlignment="1">
      <alignment horizontal="center" vertical="center"/>
    </xf>
    <xf numFmtId="1" fontId="23" fillId="5" borderId="33" xfId="0" applyNumberFormat="1" applyFont="1" applyFill="1" applyBorder="1" applyAlignment="1" applyProtection="1">
      <alignment horizontal="right"/>
      <protection hidden="1"/>
    </xf>
    <xf numFmtId="1" fontId="27" fillId="5" borderId="33" xfId="1" applyNumberFormat="1" applyFont="1" applyFill="1" applyBorder="1" applyAlignment="1" applyProtection="1">
      <protection hidden="1"/>
    </xf>
    <xf numFmtId="1" fontId="23" fillId="5" borderId="33" xfId="0" applyNumberFormat="1" applyFont="1" applyFill="1" applyBorder="1" applyProtection="1">
      <protection hidden="1"/>
    </xf>
    <xf numFmtId="1" fontId="27" fillId="6" borderId="33" xfId="0" applyNumberFormat="1" applyFont="1" applyFill="1" applyBorder="1" applyProtection="1">
      <protection hidden="1"/>
    </xf>
    <xf numFmtId="1" fontId="23" fillId="5" borderId="33" xfId="1" applyNumberFormat="1" applyFont="1" applyFill="1" applyBorder="1" applyAlignment="1" applyProtection="1">
      <protection locked="0"/>
    </xf>
    <xf numFmtId="0" fontId="23" fillId="5" borderId="33" xfId="1" applyNumberFormat="1" applyFont="1" applyFill="1" applyBorder="1" applyAlignment="1" applyProtection="1">
      <alignment horizontal="center"/>
      <protection locked="0"/>
    </xf>
    <xf numFmtId="0" fontId="23" fillId="5" borderId="33" xfId="0" applyFont="1" applyFill="1" applyBorder="1" applyAlignment="1" applyProtection="1">
      <alignment horizontal="center"/>
      <protection locked="0"/>
    </xf>
    <xf numFmtId="0" fontId="23" fillId="5" borderId="33" xfId="0" applyFont="1" applyFill="1" applyBorder="1" applyProtection="1">
      <protection locked="0"/>
    </xf>
    <xf numFmtId="1" fontId="27" fillId="7" borderId="33" xfId="1" applyNumberFormat="1" applyFont="1" applyFill="1" applyBorder="1" applyAlignment="1" applyProtection="1">
      <protection hidden="1"/>
    </xf>
    <xf numFmtId="9" fontId="23" fillId="5" borderId="33" xfId="0" applyNumberFormat="1" applyFont="1" applyFill="1" applyBorder="1" applyAlignment="1" applyProtection="1">
      <alignment horizontal="center"/>
      <protection locked="0"/>
    </xf>
    <xf numFmtId="0" fontId="23" fillId="5" borderId="33" xfId="0" applyFont="1" applyFill="1" applyBorder="1" applyProtection="1">
      <protection hidden="1"/>
    </xf>
    <xf numFmtId="0" fontId="23" fillId="7" borderId="33" xfId="0" applyFont="1" applyFill="1" applyBorder="1"/>
    <xf numFmtId="1" fontId="23" fillId="7" borderId="33" xfId="1" applyNumberFormat="1" applyFont="1" applyFill="1" applyBorder="1" applyAlignment="1" applyProtection="1">
      <protection hidden="1"/>
    </xf>
    <xf numFmtId="0" fontId="23" fillId="7" borderId="33" xfId="0" applyFont="1" applyFill="1" applyBorder="1" applyProtection="1">
      <protection locked="0"/>
    </xf>
    <xf numFmtId="0" fontId="27" fillId="7" borderId="33" xfId="0" applyFont="1" applyFill="1" applyBorder="1"/>
    <xf numFmtId="9" fontId="23" fillId="5" borderId="33" xfId="7" applyNumberFormat="1" applyFont="1" applyFill="1" applyBorder="1" applyAlignment="1" applyProtection="1">
      <protection locked="0"/>
    </xf>
    <xf numFmtId="9" fontId="23" fillId="5" borderId="33" xfId="0" applyNumberFormat="1" applyFont="1" applyFill="1" applyBorder="1" applyProtection="1">
      <protection locked="0"/>
    </xf>
    <xf numFmtId="1" fontId="23" fillId="7" borderId="33" xfId="0" applyNumberFormat="1" applyFont="1" applyFill="1" applyBorder="1" applyProtection="1">
      <protection hidden="1"/>
    </xf>
    <xf numFmtId="0" fontId="23" fillId="5" borderId="33" xfId="0" applyFont="1" applyFill="1" applyBorder="1" applyAlignment="1" applyProtection="1">
      <alignment horizontal="center"/>
      <protection hidden="1"/>
    </xf>
    <xf numFmtId="167" fontId="23" fillId="5" borderId="33" xfId="1" applyNumberFormat="1" applyFont="1" applyFill="1" applyBorder="1" applyAlignment="1" applyProtection="1">
      <protection hidden="1"/>
    </xf>
    <xf numFmtId="1" fontId="39" fillId="7" borderId="33" xfId="0" applyNumberFormat="1" applyFont="1" applyFill="1" applyBorder="1" applyProtection="1">
      <protection hidden="1"/>
    </xf>
    <xf numFmtId="1" fontId="39" fillId="7" borderId="33" xfId="1" applyNumberFormat="1" applyFont="1" applyFill="1" applyBorder="1" applyAlignment="1" applyProtection="1">
      <protection hidden="1"/>
    </xf>
    <xf numFmtId="1" fontId="37" fillId="5" borderId="33" xfId="1" applyNumberFormat="1" applyFont="1" applyFill="1" applyBorder="1" applyAlignment="1" applyProtection="1">
      <protection locked="0"/>
    </xf>
    <xf numFmtId="0" fontId="37" fillId="5" borderId="33" xfId="0" applyFont="1" applyFill="1" applyBorder="1"/>
    <xf numFmtId="0" fontId="37" fillId="5" borderId="33" xfId="1" applyNumberFormat="1" applyFont="1" applyFill="1" applyBorder="1" applyAlignment="1" applyProtection="1">
      <alignment horizontal="center"/>
      <protection locked="0"/>
    </xf>
    <xf numFmtId="0" fontId="37" fillId="5" borderId="33" xfId="0" applyFont="1" applyFill="1" applyBorder="1" applyProtection="1">
      <protection locked="0"/>
    </xf>
    <xf numFmtId="0" fontId="39" fillId="7" borderId="33" xfId="0" applyFont="1" applyFill="1" applyBorder="1"/>
    <xf numFmtId="0" fontId="37" fillId="7" borderId="33" xfId="0" applyFont="1" applyFill="1" applyBorder="1" applyProtection="1">
      <protection locked="0"/>
    </xf>
    <xf numFmtId="1" fontId="37" fillId="7" borderId="33" xfId="1" applyNumberFormat="1" applyFont="1" applyFill="1" applyBorder="1" applyAlignment="1" applyProtection="1">
      <protection hidden="1"/>
    </xf>
    <xf numFmtId="0" fontId="39" fillId="7" borderId="33" xfId="0" applyFont="1" applyFill="1" applyBorder="1" applyProtection="1">
      <protection locked="0"/>
    </xf>
    <xf numFmtId="0" fontId="37" fillId="7" borderId="33" xfId="0" applyFont="1" applyFill="1" applyBorder="1" applyAlignment="1" applyProtection="1">
      <alignment horizontal="center"/>
      <protection locked="0"/>
    </xf>
    <xf numFmtId="0" fontId="37" fillId="5" borderId="33" xfId="0" applyFont="1" applyFill="1" applyBorder="1" applyProtection="1">
      <protection hidden="1"/>
    </xf>
    <xf numFmtId="0" fontId="39" fillId="5" borderId="33" xfId="0" applyFont="1" applyFill="1" applyBorder="1"/>
    <xf numFmtId="0" fontId="37" fillId="7" borderId="33" xfId="0" applyFont="1" applyFill="1" applyBorder="1"/>
    <xf numFmtId="9" fontId="37" fillId="5" borderId="33" xfId="7" applyNumberFormat="1" applyFont="1" applyFill="1" applyBorder="1" applyAlignment="1" applyProtection="1">
      <protection locked="0"/>
    </xf>
    <xf numFmtId="9" fontId="37" fillId="5" borderId="33" xfId="0" applyNumberFormat="1" applyFont="1" applyFill="1" applyBorder="1" applyAlignment="1" applyProtection="1">
      <alignment vertical="center"/>
      <protection locked="0"/>
    </xf>
    <xf numFmtId="167" fontId="39" fillId="5" borderId="33" xfId="1" applyNumberFormat="1" applyFont="1" applyFill="1" applyBorder="1" applyAlignment="1" applyProtection="1">
      <alignment horizontal="center"/>
      <protection hidden="1"/>
    </xf>
    <xf numFmtId="0" fontId="39" fillId="5" borderId="33" xfId="0" applyFont="1" applyFill="1" applyBorder="1" applyAlignment="1" applyProtection="1">
      <alignment horizontal="center"/>
      <protection hidden="1"/>
    </xf>
    <xf numFmtId="0" fontId="39" fillId="5" borderId="33" xfId="0" applyFont="1" applyFill="1" applyBorder="1" applyAlignment="1">
      <alignment horizontal="center" vertical="center"/>
    </xf>
    <xf numFmtId="1" fontId="37" fillId="5" borderId="33" xfId="0" applyNumberFormat="1" applyFont="1" applyFill="1" applyBorder="1" applyAlignment="1" applyProtection="1">
      <alignment horizontal="right"/>
      <protection hidden="1"/>
    </xf>
    <xf numFmtId="1" fontId="39" fillId="5" borderId="33" xfId="1" applyNumberFormat="1" applyFont="1" applyFill="1" applyBorder="1" applyAlignment="1" applyProtection="1">
      <protection hidden="1"/>
    </xf>
    <xf numFmtId="1" fontId="37" fillId="5" borderId="33" xfId="0" applyNumberFormat="1" applyFont="1" applyFill="1" applyBorder="1" applyProtection="1">
      <protection hidden="1"/>
    </xf>
    <xf numFmtId="1" fontId="39" fillId="6" borderId="33" xfId="0" applyNumberFormat="1" applyFont="1" applyFill="1" applyBorder="1" applyProtection="1">
      <protection hidden="1"/>
    </xf>
    <xf numFmtId="1" fontId="39" fillId="6" borderId="33" xfId="1" applyNumberFormat="1" applyFont="1" applyFill="1" applyBorder="1" applyAlignment="1" applyProtection="1">
      <protection hidden="1"/>
    </xf>
    <xf numFmtId="0" fontId="37" fillId="5" borderId="33" xfId="0" applyFont="1" applyFill="1" applyBorder="1" applyAlignment="1">
      <alignment horizontal="center"/>
    </xf>
    <xf numFmtId="0" fontId="37" fillId="5" borderId="0" xfId="0" applyFont="1" applyFill="1" applyBorder="1" applyAlignment="1">
      <alignment vertical="center"/>
    </xf>
    <xf numFmtId="1" fontId="37" fillId="5" borderId="0" xfId="0" applyNumberFormat="1" applyFont="1" applyFill="1" applyBorder="1" applyAlignment="1">
      <alignment vertical="center"/>
    </xf>
    <xf numFmtId="9" fontId="37" fillId="5" borderId="0" xfId="0" applyNumberFormat="1" applyFont="1" applyFill="1" applyAlignment="1">
      <alignment vertical="center"/>
    </xf>
    <xf numFmtId="0" fontId="37" fillId="5" borderId="19" xfId="0" applyFont="1" applyFill="1" applyBorder="1" applyAlignment="1">
      <alignment vertical="center"/>
    </xf>
    <xf numFmtId="1" fontId="37" fillId="5" borderId="19" xfId="1" applyNumberFormat="1" applyFont="1" applyFill="1" applyBorder="1" applyAlignment="1" applyProtection="1">
      <alignment vertical="center"/>
      <protection hidden="1"/>
    </xf>
    <xf numFmtId="0" fontId="27" fillId="5" borderId="0" xfId="0" applyFont="1" applyFill="1" applyBorder="1" applyAlignment="1">
      <alignment vertical="center"/>
    </xf>
    <xf numFmtId="0" fontId="37" fillId="5" borderId="0" xfId="0" applyFont="1" applyFill="1" applyBorder="1" applyAlignment="1" applyProtection="1">
      <alignment vertical="center"/>
      <protection hidden="1"/>
    </xf>
    <xf numFmtId="9" fontId="37" fillId="5" borderId="0" xfId="0" applyNumberFormat="1" applyFont="1" applyFill="1" applyBorder="1" applyAlignment="1" applyProtection="1">
      <alignment vertical="center"/>
      <protection hidden="1"/>
    </xf>
    <xf numFmtId="167" fontId="37" fillId="5" borderId="0" xfId="1" applyNumberFormat="1" applyFont="1" applyFill="1" applyBorder="1" applyAlignment="1" applyProtection="1">
      <alignment horizontal="center" vertical="center"/>
      <protection hidden="1"/>
    </xf>
    <xf numFmtId="167" fontId="37" fillId="5" borderId="0" xfId="1" applyNumberFormat="1" applyFont="1" applyFill="1" applyBorder="1" applyAlignment="1" applyProtection="1">
      <alignment vertical="center"/>
      <protection hidden="1"/>
    </xf>
    <xf numFmtId="172" fontId="37" fillId="5" borderId="0" xfId="7" applyNumberFormat="1" applyFont="1" applyFill="1" applyBorder="1" applyAlignment="1" applyProtection="1">
      <alignment vertical="center"/>
    </xf>
    <xf numFmtId="0" fontId="23" fillId="5" borderId="1" xfId="0" applyFont="1" applyFill="1" applyBorder="1" applyAlignment="1">
      <alignment horizontal="center" vertical="center"/>
    </xf>
    <xf numFmtId="10" fontId="23" fillId="5" borderId="1" xfId="0" applyNumberFormat="1" applyFont="1" applyFill="1" applyBorder="1" applyAlignment="1">
      <alignment horizontal="center" vertical="center"/>
    </xf>
    <xf numFmtId="1" fontId="23" fillId="5" borderId="1" xfId="0" applyNumberFormat="1" applyFont="1" applyFill="1" applyBorder="1" applyAlignment="1">
      <alignment horizontal="center" vertical="center"/>
    </xf>
    <xf numFmtId="0" fontId="15" fillId="5" borderId="0" xfId="0" applyFont="1" applyFill="1" applyBorder="1"/>
    <xf numFmtId="0" fontId="15" fillId="5" borderId="0" xfId="0" applyFont="1" applyFill="1" applyBorder="1" applyAlignment="1">
      <alignment horizontal="center"/>
    </xf>
    <xf numFmtId="0" fontId="34" fillId="5" borderId="0" xfId="0" applyFont="1" applyFill="1" applyBorder="1" applyAlignment="1"/>
    <xf numFmtId="1" fontId="34" fillId="5" borderId="0" xfId="0" applyNumberFormat="1" applyFont="1" applyFill="1" applyBorder="1" applyAlignment="1"/>
    <xf numFmtId="0" fontId="34" fillId="5" borderId="0" xfId="0" applyFont="1" applyFill="1" applyBorder="1"/>
    <xf numFmtId="0" fontId="34" fillId="5" borderId="0" xfId="0" applyFont="1" applyFill="1" applyBorder="1" applyAlignment="1">
      <alignment horizontal="center"/>
    </xf>
    <xf numFmtId="0" fontId="34" fillId="5" borderId="0" xfId="0" applyFont="1" applyFill="1"/>
    <xf numFmtId="0" fontId="47" fillId="5" borderId="0" xfId="0" applyFont="1" applyFill="1" applyBorder="1"/>
    <xf numFmtId="0" fontId="48" fillId="5" borderId="0" xfId="0" applyFont="1" applyFill="1" applyBorder="1"/>
    <xf numFmtId="1" fontId="15" fillId="5" borderId="0" xfId="0" applyNumberFormat="1" applyFont="1" applyFill="1" applyBorder="1" applyProtection="1">
      <protection hidden="1"/>
    </xf>
    <xf numFmtId="0" fontId="46" fillId="5" borderId="0" xfId="0" applyFont="1" applyFill="1" applyBorder="1" applyAlignment="1"/>
    <xf numFmtId="1" fontId="15" fillId="5" borderId="0" xfId="1" applyNumberFormat="1" applyFont="1" applyFill="1" applyBorder="1" applyAlignment="1" applyProtection="1">
      <protection hidden="1"/>
    </xf>
    <xf numFmtId="0" fontId="15" fillId="5" borderId="0" xfId="0" applyFont="1" applyFill="1" applyBorder="1" applyProtection="1">
      <protection hidden="1"/>
    </xf>
    <xf numFmtId="9" fontId="15" fillId="5" borderId="0" xfId="0" applyNumberFormat="1" applyFont="1" applyFill="1" applyBorder="1" applyProtection="1">
      <protection hidden="1"/>
    </xf>
    <xf numFmtId="167" fontId="15" fillId="5" borderId="0" xfId="1" applyNumberFormat="1" applyFont="1" applyFill="1" applyBorder="1" applyAlignment="1" applyProtection="1">
      <alignment horizontal="center"/>
      <protection hidden="1"/>
    </xf>
    <xf numFmtId="167" fontId="15" fillId="5" borderId="0" xfId="1" applyNumberFormat="1" applyFont="1" applyFill="1" applyBorder="1" applyAlignment="1" applyProtection="1">
      <protection hidden="1"/>
    </xf>
    <xf numFmtId="172" fontId="15" fillId="5" borderId="0" xfId="7" applyNumberFormat="1" applyFont="1" applyFill="1" applyBorder="1" applyAlignment="1" applyProtection="1"/>
    <xf numFmtId="0" fontId="15" fillId="5" borderId="0" xfId="0" applyFont="1" applyFill="1" applyAlignment="1">
      <alignment vertical="center"/>
    </xf>
    <xf numFmtId="0" fontId="15" fillId="5" borderId="0" xfId="0" applyFont="1" applyFill="1" applyAlignment="1">
      <alignment horizontal="center" vertical="center"/>
    </xf>
    <xf numFmtId="167" fontId="15" fillId="5" borderId="0" xfId="0" applyNumberFormat="1" applyFont="1" applyFill="1" applyBorder="1"/>
    <xf numFmtId="0" fontId="15" fillId="5" borderId="1" xfId="0" applyFont="1" applyFill="1" applyBorder="1" applyAlignment="1">
      <alignment horizontal="center"/>
    </xf>
    <xf numFmtId="1" fontId="15" fillId="5" borderId="1" xfId="0" applyNumberFormat="1" applyFont="1" applyFill="1" applyBorder="1" applyAlignment="1">
      <alignment horizontal="center"/>
    </xf>
    <xf numFmtId="1" fontId="55" fillId="5" borderId="19" xfId="1" applyNumberFormat="1" applyFont="1" applyFill="1" applyBorder="1" applyAlignment="1" applyProtection="1">
      <protection hidden="1"/>
    </xf>
    <xf numFmtId="167" fontId="39" fillId="5" borderId="0" xfId="1" applyNumberFormat="1" applyFont="1" applyFill="1" applyBorder="1" applyAlignment="1" applyProtection="1">
      <protection hidden="1"/>
    </xf>
    <xf numFmtId="167" fontId="39" fillId="5" borderId="19" xfId="1" applyNumberFormat="1" applyFont="1" applyFill="1" applyBorder="1" applyAlignment="1" applyProtection="1">
      <alignment horizontal="right"/>
      <protection hidden="1"/>
    </xf>
    <xf numFmtId="1" fontId="23" fillId="5" borderId="33" xfId="1" applyNumberFormat="1" applyFont="1" applyFill="1" applyBorder="1" applyAlignment="1" applyProtection="1">
      <alignment horizontal="right"/>
      <protection locked="0"/>
    </xf>
    <xf numFmtId="0" fontId="23" fillId="5" borderId="33" xfId="1" applyNumberFormat="1" applyFont="1" applyFill="1" applyBorder="1" applyAlignment="1" applyProtection="1">
      <alignment horizontal="right"/>
      <protection locked="0"/>
    </xf>
    <xf numFmtId="0" fontId="23" fillId="5" borderId="33" xfId="0" applyFont="1" applyFill="1" applyBorder="1" applyAlignment="1" applyProtection="1">
      <alignment horizontal="right"/>
      <protection locked="0"/>
    </xf>
    <xf numFmtId="0" fontId="23" fillId="5" borderId="33" xfId="0" applyFont="1" applyFill="1" applyBorder="1" applyAlignment="1">
      <alignment horizontal="left"/>
    </xf>
    <xf numFmtId="1" fontId="23" fillId="5" borderId="33" xfId="1" applyNumberFormat="1" applyFont="1" applyFill="1" applyBorder="1" applyAlignment="1" applyProtection="1">
      <alignment horizontal="right"/>
      <protection hidden="1"/>
    </xf>
    <xf numFmtId="0" fontId="27" fillId="6" borderId="33" xfId="0" applyFont="1" applyFill="1" applyBorder="1" applyAlignment="1">
      <alignment horizontal="left"/>
    </xf>
    <xf numFmtId="0" fontId="23" fillId="6" borderId="33" xfId="0" applyFont="1" applyFill="1" applyBorder="1" applyAlignment="1" applyProtection="1">
      <alignment horizontal="center"/>
      <protection locked="0"/>
    </xf>
    <xf numFmtId="1" fontId="23" fillId="6" borderId="33" xfId="1" applyNumberFormat="1" applyFont="1" applyFill="1" applyBorder="1" applyAlignment="1" applyProtection="1">
      <alignment horizontal="right"/>
      <protection hidden="1"/>
    </xf>
    <xf numFmtId="0" fontId="27" fillId="6" borderId="33" xfId="0" applyFont="1" applyFill="1" applyBorder="1" applyAlignment="1" applyProtection="1">
      <alignment horizontal="center"/>
      <protection locked="0"/>
    </xf>
    <xf numFmtId="0" fontId="0" fillId="5" borderId="33" xfId="0" applyFont="1" applyFill="1" applyBorder="1" applyAlignment="1">
      <alignment horizontal="left"/>
    </xf>
    <xf numFmtId="0" fontId="0" fillId="5" borderId="33" xfId="0" applyFont="1" applyFill="1" applyBorder="1" applyAlignment="1" applyProtection="1">
      <alignment horizontal="center" vertical="center"/>
      <protection locked="0"/>
    </xf>
    <xf numFmtId="1" fontId="55" fillId="5" borderId="33" xfId="1" applyNumberFormat="1" applyFont="1" applyFill="1" applyBorder="1" applyAlignment="1" applyProtection="1">
      <alignment horizontal="right"/>
      <protection hidden="1"/>
    </xf>
    <xf numFmtId="0" fontId="23" fillId="5" borderId="33" xfId="0" applyFont="1" applyFill="1" applyBorder="1" applyAlignment="1" applyProtection="1">
      <alignment horizontal="left"/>
      <protection hidden="1"/>
    </xf>
    <xf numFmtId="0" fontId="27" fillId="5" borderId="33" xfId="0" applyFont="1" applyFill="1" applyBorder="1" applyAlignment="1">
      <alignment horizontal="left"/>
    </xf>
    <xf numFmtId="0" fontId="37" fillId="6" borderId="33" xfId="0" applyFont="1" applyFill="1" applyBorder="1" applyAlignment="1">
      <alignment horizontal="left"/>
    </xf>
    <xf numFmtId="0" fontId="37" fillId="6" borderId="33" xfId="0" applyFont="1" applyFill="1" applyBorder="1" applyAlignment="1" applyProtection="1">
      <alignment horizontal="center"/>
      <protection locked="0"/>
    </xf>
    <xf numFmtId="1" fontId="37" fillId="6" borderId="33" xfId="1" applyNumberFormat="1" applyFont="1" applyFill="1" applyBorder="1" applyAlignment="1" applyProtection="1">
      <alignment horizontal="right"/>
      <protection hidden="1"/>
    </xf>
    <xf numFmtId="9" fontId="23" fillId="5" borderId="33" xfId="1" applyNumberFormat="1" applyFont="1" applyFill="1" applyBorder="1" applyAlignment="1" applyProtection="1">
      <alignment horizontal="center" vertical="center"/>
      <protection locked="0"/>
    </xf>
    <xf numFmtId="1" fontId="27" fillId="5" borderId="33" xfId="1" applyNumberFormat="1" applyFont="1" applyFill="1" applyBorder="1" applyAlignment="1" applyProtection="1">
      <alignment horizontal="right"/>
      <protection hidden="1"/>
    </xf>
    <xf numFmtId="1" fontId="27" fillId="6" borderId="33" xfId="0" applyNumberFormat="1" applyFont="1" applyFill="1" applyBorder="1" applyAlignment="1" applyProtection="1">
      <alignment horizontal="right"/>
      <protection hidden="1"/>
    </xf>
    <xf numFmtId="1" fontId="27" fillId="6" borderId="33" xfId="1" applyNumberFormat="1" applyFont="1" applyFill="1" applyBorder="1" applyAlignment="1" applyProtection="1">
      <alignment horizontal="right"/>
      <protection hidden="1"/>
    </xf>
    <xf numFmtId="173" fontId="15" fillId="2" borderId="1" xfId="0" applyNumberFormat="1" applyFont="1" applyFill="1" applyBorder="1" applyAlignment="1">
      <alignment horizontal="center"/>
    </xf>
    <xf numFmtId="165" fontId="55" fillId="9" borderId="14" xfId="1" applyFont="1" applyFill="1" applyBorder="1" applyAlignment="1" applyProtection="1"/>
    <xf numFmtId="165" fontId="55" fillId="10" borderId="14" xfId="1" applyFont="1" applyFill="1" applyBorder="1" applyAlignment="1" applyProtection="1"/>
    <xf numFmtId="168" fontId="55" fillId="10" borderId="14" xfId="1" applyNumberFormat="1" applyFont="1" applyFill="1" applyBorder="1" applyAlignment="1" applyProtection="1"/>
    <xf numFmtId="167" fontId="27" fillId="5" borderId="33" xfId="1" applyNumberFormat="1" applyFont="1" applyFill="1" applyBorder="1" applyAlignment="1" applyProtection="1">
      <alignment horizontal="left"/>
      <protection hidden="1"/>
    </xf>
    <xf numFmtId="0" fontId="27" fillId="5" borderId="33" xfId="0" applyFont="1" applyFill="1" applyBorder="1" applyAlignment="1">
      <alignment horizontal="right" vertical="center"/>
    </xf>
    <xf numFmtId="0" fontId="27" fillId="5" borderId="33" xfId="0" applyFont="1" applyFill="1" applyBorder="1" applyAlignment="1">
      <alignment horizontal="center"/>
    </xf>
    <xf numFmtId="0" fontId="27" fillId="5" borderId="33" xfId="0" applyFont="1" applyFill="1" applyBorder="1" applyAlignment="1">
      <alignment horizontal="right"/>
    </xf>
    <xf numFmtId="1" fontId="23" fillId="5" borderId="33" xfId="0" applyNumberFormat="1" applyFont="1" applyFill="1" applyBorder="1" applyAlignment="1" applyProtection="1">
      <alignment horizontal="left"/>
      <protection hidden="1"/>
    </xf>
    <xf numFmtId="1" fontId="23" fillId="5" borderId="33" xfId="1" applyNumberFormat="1" applyFont="1" applyFill="1" applyBorder="1" applyAlignment="1" applyProtection="1">
      <alignment horizontal="center"/>
      <protection hidden="1"/>
    </xf>
    <xf numFmtId="1" fontId="23" fillId="5" borderId="33" xfId="0" applyNumberFormat="1" applyFont="1" applyFill="1" applyBorder="1" applyAlignment="1" applyProtection="1">
      <alignment horizontal="center"/>
      <protection hidden="1"/>
    </xf>
    <xf numFmtId="1" fontId="27" fillId="6" borderId="33" xfId="0" applyNumberFormat="1" applyFont="1" applyFill="1" applyBorder="1" applyAlignment="1" applyProtection="1">
      <alignment horizontal="left"/>
      <protection hidden="1"/>
    </xf>
    <xf numFmtId="1" fontId="27" fillId="6" borderId="33" xfId="0" applyNumberFormat="1" applyFont="1" applyFill="1" applyBorder="1" applyAlignment="1" applyProtection="1">
      <alignment horizontal="center"/>
      <protection hidden="1"/>
    </xf>
    <xf numFmtId="0" fontId="23" fillId="5" borderId="33" xfId="0" applyFont="1" applyFill="1" applyBorder="1" applyAlignment="1" applyProtection="1">
      <alignment vertical="center"/>
    </xf>
    <xf numFmtId="0" fontId="27" fillId="6" borderId="33" xfId="0" applyFont="1" applyFill="1" applyBorder="1" applyAlignment="1">
      <alignment vertical="center"/>
    </xf>
    <xf numFmtId="0" fontId="23" fillId="6" borderId="33" xfId="0" applyFont="1" applyFill="1" applyBorder="1" applyAlignment="1" applyProtection="1">
      <alignment vertical="center"/>
      <protection locked="0"/>
    </xf>
    <xf numFmtId="1" fontId="23" fillId="6" borderId="33" xfId="1" applyNumberFormat="1" applyFont="1" applyFill="1" applyBorder="1" applyAlignment="1" applyProtection="1">
      <alignment vertical="center"/>
      <protection hidden="1"/>
    </xf>
    <xf numFmtId="0" fontId="27" fillId="6" borderId="33" xfId="0" applyFont="1" applyFill="1" applyBorder="1" applyAlignment="1" applyProtection="1">
      <alignment vertical="center"/>
      <protection locked="0"/>
    </xf>
    <xf numFmtId="0" fontId="23" fillId="6" borderId="33" xfId="0" applyFont="1" applyFill="1" applyBorder="1" applyAlignment="1">
      <alignment vertical="center"/>
    </xf>
    <xf numFmtId="0" fontId="0" fillId="5" borderId="33" xfId="0" applyFont="1" applyFill="1" applyBorder="1"/>
    <xf numFmtId="1" fontId="55" fillId="5" borderId="33" xfId="1" applyNumberFormat="1" applyFont="1" applyFill="1" applyBorder="1" applyAlignment="1" applyProtection="1">
      <protection hidden="1"/>
    </xf>
    <xf numFmtId="0" fontId="23" fillId="6" borderId="33" xfId="0" applyFont="1" applyFill="1" applyBorder="1" applyAlignment="1" applyProtection="1">
      <alignment vertical="center"/>
      <protection hidden="1"/>
    </xf>
    <xf numFmtId="0" fontId="23" fillId="6" borderId="33" xfId="0" applyFont="1" applyFill="1" applyBorder="1" applyAlignment="1" applyProtection="1">
      <alignment horizontal="center" vertical="center"/>
      <protection locked="0"/>
    </xf>
    <xf numFmtId="1" fontId="23" fillId="6" borderId="33" xfId="0" applyNumberFormat="1" applyFont="1" applyFill="1" applyBorder="1" applyAlignment="1" applyProtection="1">
      <alignment vertical="center"/>
      <protection hidden="1"/>
    </xf>
    <xf numFmtId="167" fontId="27" fillId="5" borderId="33" xfId="1" applyNumberFormat="1" applyFont="1" applyFill="1" applyBorder="1" applyAlignment="1" applyProtection="1">
      <alignment horizontal="right" vertical="center"/>
      <protection hidden="1"/>
    </xf>
    <xf numFmtId="0" fontId="27" fillId="5" borderId="33" xfId="0" applyFont="1" applyFill="1" applyBorder="1" applyAlignment="1" applyProtection="1">
      <alignment horizontal="center" vertical="center"/>
      <protection hidden="1"/>
    </xf>
    <xf numFmtId="1" fontId="23" fillId="5" borderId="33" xfId="0" applyNumberFormat="1" applyFont="1" applyFill="1" applyBorder="1" applyAlignment="1" applyProtection="1">
      <alignment horizontal="right" vertical="center"/>
      <protection hidden="1"/>
    </xf>
    <xf numFmtId="1" fontId="27" fillId="5" borderId="33" xfId="1" applyNumberFormat="1" applyFont="1" applyFill="1" applyBorder="1" applyAlignment="1" applyProtection="1">
      <alignment vertical="center"/>
      <protection hidden="1"/>
    </xf>
    <xf numFmtId="1" fontId="23" fillId="5" borderId="33" xfId="0" applyNumberFormat="1" applyFont="1" applyFill="1" applyBorder="1" applyAlignment="1" applyProtection="1">
      <alignment vertical="center"/>
      <protection hidden="1"/>
    </xf>
    <xf numFmtId="1" fontId="27" fillId="6" borderId="33" xfId="0" applyNumberFormat="1" applyFont="1" applyFill="1" applyBorder="1" applyAlignment="1" applyProtection="1">
      <alignment vertical="center"/>
      <protection hidden="1"/>
    </xf>
    <xf numFmtId="1" fontId="27" fillId="6" borderId="33" xfId="1" applyNumberFormat="1" applyFont="1" applyFill="1" applyBorder="1" applyAlignment="1" applyProtection="1">
      <alignment vertical="center"/>
      <protection hidden="1"/>
    </xf>
    <xf numFmtId="0" fontId="49" fillId="5" borderId="0" xfId="0" applyFont="1" applyFill="1" applyBorder="1" applyAlignment="1">
      <alignment vertical="center"/>
    </xf>
    <xf numFmtId="0" fontId="49" fillId="5" borderId="0" xfId="0" applyFont="1" applyFill="1" applyBorder="1" applyAlignment="1">
      <alignment horizontal="center" vertical="center"/>
    </xf>
    <xf numFmtId="1" fontId="49" fillId="5" borderId="19" xfId="1" applyNumberFormat="1" applyFont="1" applyFill="1" applyBorder="1" applyAlignment="1" applyProtection="1">
      <alignment vertical="center"/>
      <protection locked="0"/>
    </xf>
    <xf numFmtId="0" fontId="49" fillId="5" borderId="19" xfId="0" applyFont="1" applyFill="1" applyBorder="1" applyAlignment="1">
      <alignment vertical="center"/>
    </xf>
    <xf numFmtId="0" fontId="49" fillId="5" borderId="19" xfId="1" applyNumberFormat="1" applyFont="1" applyFill="1" applyBorder="1" applyAlignment="1" applyProtection="1">
      <alignment horizontal="center" vertical="center"/>
      <protection locked="0"/>
    </xf>
    <xf numFmtId="1" fontId="37" fillId="5" borderId="0" xfId="0" applyNumberFormat="1" applyFont="1" applyFill="1" applyBorder="1" applyAlignment="1">
      <alignment horizontal="center" vertical="center"/>
    </xf>
    <xf numFmtId="0" fontId="49" fillId="5" borderId="19" xfId="0" applyFont="1" applyFill="1" applyBorder="1" applyAlignment="1" applyProtection="1">
      <alignment horizontal="center" vertical="center"/>
      <protection locked="0"/>
    </xf>
    <xf numFmtId="0" fontId="49" fillId="5" borderId="0" xfId="0" applyFont="1" applyFill="1" applyAlignment="1">
      <alignment vertical="center"/>
    </xf>
    <xf numFmtId="0" fontId="41" fillId="5" borderId="21" xfId="0" applyFont="1" applyFill="1" applyBorder="1" applyAlignment="1">
      <alignment vertical="center"/>
    </xf>
    <xf numFmtId="0" fontId="49" fillId="5" borderId="19" xfId="0" applyFont="1" applyFill="1" applyBorder="1" applyAlignment="1" applyProtection="1">
      <alignment vertical="center"/>
    </xf>
    <xf numFmtId="1" fontId="49" fillId="5" borderId="19" xfId="1" applyNumberFormat="1" applyFont="1" applyFill="1" applyBorder="1" applyAlignment="1" applyProtection="1">
      <alignment vertical="center"/>
      <protection hidden="1"/>
    </xf>
    <xf numFmtId="0" fontId="41" fillId="5" borderId="22" xfId="0" applyFont="1" applyFill="1" applyBorder="1" applyAlignment="1">
      <alignment vertical="center"/>
    </xf>
    <xf numFmtId="0" fontId="49" fillId="5" borderId="19" xfId="0" applyFont="1" applyFill="1" applyBorder="1" applyAlignment="1" applyProtection="1">
      <alignment vertical="center"/>
      <protection locked="0"/>
    </xf>
    <xf numFmtId="0" fontId="37" fillId="5" borderId="0" xfId="0" applyFont="1" applyFill="1" applyBorder="1" applyAlignment="1">
      <alignment horizontal="center" vertical="center"/>
    </xf>
    <xf numFmtId="0" fontId="43" fillId="6" borderId="19" xfId="0" applyFont="1" applyFill="1" applyBorder="1" applyAlignment="1">
      <alignment vertical="center"/>
    </xf>
    <xf numFmtId="0" fontId="49" fillId="6" borderId="19" xfId="0" applyFont="1" applyFill="1" applyBorder="1" applyAlignment="1" applyProtection="1">
      <alignment vertical="center"/>
      <protection locked="0"/>
    </xf>
    <xf numFmtId="1" fontId="49" fillId="6" borderId="19" xfId="1" applyNumberFormat="1" applyFont="1" applyFill="1" applyBorder="1" applyAlignment="1" applyProtection="1">
      <alignment vertical="center"/>
      <protection hidden="1"/>
    </xf>
    <xf numFmtId="0" fontId="43" fillId="6" borderId="19" xfId="0" applyFont="1" applyFill="1" applyBorder="1" applyAlignment="1" applyProtection="1">
      <alignment vertical="center"/>
      <protection locked="0"/>
    </xf>
    <xf numFmtId="0" fontId="49" fillId="5" borderId="19" xfId="0" applyFont="1" applyFill="1" applyBorder="1" applyAlignment="1" applyProtection="1">
      <alignment vertical="center"/>
      <protection hidden="1"/>
    </xf>
    <xf numFmtId="9" fontId="49" fillId="5" borderId="19" xfId="7" applyNumberFormat="1" applyFont="1" applyFill="1" applyBorder="1" applyAlignment="1" applyProtection="1">
      <alignment vertical="center"/>
      <protection locked="0"/>
    </xf>
    <xf numFmtId="0" fontId="43" fillId="5" borderId="19" xfId="0" applyFont="1" applyFill="1" applyBorder="1" applyAlignment="1">
      <alignment vertical="center"/>
    </xf>
    <xf numFmtId="9" fontId="49" fillId="5" borderId="19" xfId="1" applyNumberFormat="1" applyFont="1" applyFill="1" applyBorder="1" applyAlignment="1" applyProtection="1">
      <protection locked="0"/>
    </xf>
    <xf numFmtId="1" fontId="37" fillId="6" borderId="19" xfId="0" applyNumberFormat="1" applyFont="1" applyFill="1" applyBorder="1" applyAlignment="1" applyProtection="1">
      <alignment vertical="center"/>
      <protection hidden="1"/>
    </xf>
    <xf numFmtId="0" fontId="41" fillId="5" borderId="23" xfId="0" applyFont="1" applyFill="1" applyBorder="1" applyAlignment="1">
      <alignment vertical="center"/>
    </xf>
    <xf numFmtId="1" fontId="37" fillId="6" borderId="19" xfId="1" applyNumberFormat="1" applyFont="1" applyFill="1" applyBorder="1" applyAlignment="1" applyProtection="1">
      <alignment vertical="center"/>
      <protection hidden="1"/>
    </xf>
    <xf numFmtId="0" fontId="49" fillId="5" borderId="0" xfId="0" applyFont="1" applyFill="1" applyBorder="1" applyAlignment="1" applyProtection="1">
      <alignment vertical="center"/>
      <protection hidden="1"/>
    </xf>
    <xf numFmtId="167" fontId="49" fillId="5" borderId="0" xfId="1" applyNumberFormat="1" applyFont="1" applyFill="1" applyBorder="1" applyAlignment="1" applyProtection="1">
      <alignment horizontal="center" vertical="center"/>
      <protection hidden="1"/>
    </xf>
    <xf numFmtId="167" fontId="49" fillId="5" borderId="0" xfId="1" applyNumberFormat="1" applyFont="1" applyFill="1" applyBorder="1" applyAlignment="1" applyProtection="1">
      <alignment vertical="center"/>
      <protection hidden="1"/>
    </xf>
    <xf numFmtId="167" fontId="43" fillId="5" borderId="19" xfId="1" applyNumberFormat="1" applyFont="1" applyFill="1" applyBorder="1" applyAlignment="1" applyProtection="1">
      <alignment horizontal="right" vertical="center"/>
      <protection hidden="1"/>
    </xf>
    <xf numFmtId="0" fontId="43" fillId="5" borderId="19" xfId="0" applyFont="1" applyFill="1" applyBorder="1" applyAlignment="1" applyProtection="1">
      <alignment horizontal="center" vertical="center"/>
      <protection hidden="1"/>
    </xf>
    <xf numFmtId="0" fontId="43" fillId="5" borderId="19" xfId="0" applyFont="1" applyFill="1" applyBorder="1" applyAlignment="1">
      <alignment horizontal="center" vertical="center"/>
    </xf>
    <xf numFmtId="1" fontId="49" fillId="5" borderId="19" xfId="0" applyNumberFormat="1" applyFont="1" applyFill="1" applyBorder="1" applyAlignment="1" applyProtection="1">
      <alignment horizontal="right" vertical="center"/>
      <protection hidden="1"/>
    </xf>
    <xf numFmtId="1" fontId="43" fillId="5" borderId="19" xfId="1" applyNumberFormat="1" applyFont="1" applyFill="1" applyBorder="1" applyAlignment="1" applyProtection="1">
      <alignment vertical="center"/>
      <protection hidden="1"/>
    </xf>
    <xf numFmtId="0" fontId="47" fillId="5" borderId="0" xfId="0" applyFont="1" applyFill="1" applyBorder="1" applyAlignment="1">
      <alignment vertical="center"/>
    </xf>
    <xf numFmtId="0" fontId="47" fillId="5" borderId="0" xfId="0" applyFont="1" applyFill="1" applyBorder="1" applyAlignment="1">
      <alignment horizontal="center" vertical="center"/>
    </xf>
    <xf numFmtId="1" fontId="49" fillId="5" borderId="19" xfId="0" applyNumberFormat="1" applyFont="1" applyFill="1" applyBorder="1" applyAlignment="1" applyProtection="1">
      <alignment vertical="center"/>
      <protection hidden="1"/>
    </xf>
    <xf numFmtId="0" fontId="47" fillId="5" borderId="0" xfId="0" applyFont="1" applyFill="1" applyBorder="1" applyAlignment="1" applyProtection="1">
      <alignment vertical="center"/>
      <protection hidden="1"/>
    </xf>
    <xf numFmtId="1" fontId="48" fillId="6" borderId="19" xfId="0" applyNumberFormat="1" applyFont="1" applyFill="1" applyBorder="1" applyAlignment="1" applyProtection="1">
      <alignment vertical="center"/>
      <protection hidden="1"/>
    </xf>
    <xf numFmtId="1" fontId="48" fillId="6" borderId="19" xfId="1" applyNumberFormat="1" applyFont="1" applyFill="1" applyBorder="1" applyAlignment="1" applyProtection="1">
      <alignment vertical="center"/>
      <protection hidden="1"/>
    </xf>
    <xf numFmtId="172" fontId="49" fillId="5" borderId="0" xfId="7" applyNumberFormat="1" applyFont="1" applyFill="1" applyBorder="1" applyAlignment="1" applyProtection="1">
      <alignment vertical="center"/>
    </xf>
    <xf numFmtId="167" fontId="49" fillId="5" borderId="0" xfId="0" applyNumberFormat="1" applyFont="1" applyFill="1" applyBorder="1" applyAlignment="1">
      <alignment vertical="center"/>
    </xf>
    <xf numFmtId="167" fontId="37" fillId="5" borderId="33" xfId="0" applyNumberFormat="1" applyFont="1" applyFill="1" applyBorder="1" applyAlignment="1"/>
    <xf numFmtId="0" fontId="37" fillId="6" borderId="33" xfId="0" applyFont="1" applyFill="1" applyBorder="1"/>
    <xf numFmtId="0" fontId="37" fillId="6" borderId="33" xfId="0" applyFont="1" applyFill="1" applyBorder="1" applyProtection="1">
      <protection locked="0"/>
    </xf>
    <xf numFmtId="1" fontId="37" fillId="6" borderId="33" xfId="1" applyNumberFormat="1" applyFont="1" applyFill="1" applyBorder="1" applyAlignment="1" applyProtection="1">
      <protection hidden="1"/>
    </xf>
    <xf numFmtId="0" fontId="39" fillId="6" borderId="33" xfId="0" applyFont="1" applyFill="1" applyBorder="1"/>
    <xf numFmtId="0" fontId="39" fillId="6" borderId="33" xfId="0" applyFont="1" applyFill="1" applyBorder="1" applyProtection="1">
      <protection locked="0"/>
    </xf>
    <xf numFmtId="0" fontId="37" fillId="5" borderId="33" xfId="0" applyFont="1" applyFill="1" applyBorder="1" applyAlignment="1">
      <alignment vertical="center"/>
    </xf>
    <xf numFmtId="9" fontId="37" fillId="5" borderId="33" xfId="0" applyNumberFormat="1" applyFont="1" applyFill="1" applyBorder="1" applyAlignment="1" applyProtection="1">
      <alignment horizontal="center" vertical="center"/>
      <protection locked="0"/>
    </xf>
    <xf numFmtId="1" fontId="37" fillId="5" borderId="33" xfId="1" applyNumberFormat="1" applyFont="1" applyFill="1" applyBorder="1" applyAlignment="1" applyProtection="1">
      <alignment vertical="center"/>
      <protection hidden="1"/>
    </xf>
    <xf numFmtId="1" fontId="55" fillId="5" borderId="33" xfId="1" applyNumberFormat="1" applyFont="1" applyFill="1" applyBorder="1" applyAlignment="1" applyProtection="1">
      <protection hidden="1"/>
    </xf>
    <xf numFmtId="1" fontId="37" fillId="5" borderId="33" xfId="1" applyNumberFormat="1" applyFont="1" applyFill="1" applyBorder="1" applyAlignment="1" applyProtection="1">
      <alignment horizontal="right"/>
      <protection hidden="1"/>
    </xf>
    <xf numFmtId="1" fontId="37" fillId="5" borderId="33" xfId="0" applyNumberFormat="1" applyFont="1" applyFill="1" applyBorder="1" applyProtection="1">
      <protection locked="0"/>
    </xf>
    <xf numFmtId="1" fontId="37" fillId="5" borderId="33" xfId="0" applyNumberFormat="1" applyFont="1" applyFill="1" applyBorder="1"/>
    <xf numFmtId="168" fontId="37" fillId="5" borderId="33" xfId="1" applyNumberFormat="1" applyFont="1" applyFill="1" applyBorder="1" applyAlignment="1" applyProtection="1">
      <protection locked="0"/>
    </xf>
    <xf numFmtId="1" fontId="37" fillId="5" borderId="33" xfId="7" applyNumberFormat="1" applyFont="1" applyFill="1" applyBorder="1" applyAlignment="1" applyProtection="1">
      <protection locked="0"/>
    </xf>
    <xf numFmtId="1" fontId="37" fillId="6" borderId="33" xfId="0" applyNumberFormat="1" applyFont="1" applyFill="1" applyBorder="1" applyProtection="1">
      <protection hidden="1"/>
    </xf>
    <xf numFmtId="167" fontId="34" fillId="5" borderId="33" xfId="1" applyNumberFormat="1" applyFont="1" applyFill="1" applyBorder="1" applyAlignment="1" applyProtection="1">
      <alignment horizontal="right"/>
      <protection hidden="1"/>
    </xf>
    <xf numFmtId="0" fontId="34" fillId="5" borderId="33" xfId="0" applyFont="1" applyFill="1" applyBorder="1" applyAlignment="1" applyProtection="1">
      <alignment horizontal="center"/>
      <protection hidden="1"/>
    </xf>
    <xf numFmtId="0" fontId="34" fillId="5" borderId="33" xfId="0" applyFont="1" applyFill="1" applyBorder="1" applyAlignment="1">
      <alignment horizontal="center" vertical="center"/>
    </xf>
    <xf numFmtId="1" fontId="15" fillId="5" borderId="33" xfId="0" applyNumberFormat="1" applyFont="1" applyFill="1" applyBorder="1" applyAlignment="1" applyProtection="1">
      <alignment horizontal="right"/>
      <protection hidden="1"/>
    </xf>
    <xf numFmtId="1" fontId="15" fillId="5" borderId="33" xfId="1" applyNumberFormat="1" applyFont="1" applyFill="1" applyBorder="1" applyAlignment="1" applyProtection="1">
      <protection hidden="1"/>
    </xf>
    <xf numFmtId="1" fontId="34" fillId="5" borderId="33" xfId="1" applyNumberFormat="1" applyFont="1" applyFill="1" applyBorder="1" applyAlignment="1" applyProtection="1">
      <protection hidden="1"/>
    </xf>
    <xf numFmtId="1" fontId="15" fillId="5" borderId="33" xfId="0" applyNumberFormat="1" applyFont="1" applyFill="1" applyBorder="1" applyProtection="1">
      <protection hidden="1"/>
    </xf>
    <xf numFmtId="1" fontId="34" fillId="7" borderId="33" xfId="0" applyNumberFormat="1" applyFont="1" applyFill="1" applyBorder="1" applyProtection="1">
      <protection hidden="1"/>
    </xf>
    <xf numFmtId="1" fontId="34" fillId="7" borderId="33" xfId="1" applyNumberFormat="1" applyFont="1" applyFill="1" applyBorder="1" applyAlignment="1" applyProtection="1">
      <protection hidden="1"/>
    </xf>
    <xf numFmtId="1" fontId="15" fillId="5" borderId="33" xfId="1" applyNumberFormat="1" applyFont="1" applyFill="1" applyBorder="1" applyAlignment="1" applyProtection="1">
      <protection locked="0"/>
    </xf>
    <xf numFmtId="0" fontId="15" fillId="5" borderId="33" xfId="0" applyFont="1" applyFill="1" applyBorder="1" applyAlignment="1"/>
    <xf numFmtId="0" fontId="15" fillId="5" borderId="33" xfId="1" applyNumberFormat="1" applyFont="1" applyFill="1" applyBorder="1" applyAlignment="1" applyProtection="1">
      <alignment horizontal="center"/>
      <protection locked="0"/>
    </xf>
    <xf numFmtId="0" fontId="15" fillId="5" borderId="33" xfId="0" applyFont="1" applyFill="1" applyBorder="1" applyAlignment="1" applyProtection="1">
      <alignment horizontal="center"/>
      <protection locked="0"/>
    </xf>
    <xf numFmtId="0" fontId="46" fillId="5" borderId="33" xfId="0" applyFont="1" applyFill="1" applyBorder="1" applyAlignment="1"/>
    <xf numFmtId="0" fontId="15" fillId="5" borderId="33" xfId="0" applyFont="1" applyFill="1" applyBorder="1"/>
    <xf numFmtId="0" fontId="15" fillId="5" borderId="33" xfId="0" applyFont="1" applyFill="1" applyBorder="1" applyProtection="1"/>
    <xf numFmtId="0" fontId="15" fillId="5" borderId="33" xfId="0" applyFont="1" applyFill="1" applyBorder="1" applyProtection="1">
      <protection locked="0"/>
    </xf>
    <xf numFmtId="0" fontId="34" fillId="7" borderId="33" xfId="0" applyFont="1" applyFill="1" applyBorder="1"/>
    <xf numFmtId="0" fontId="34" fillId="7" borderId="33" xfId="0" applyFont="1" applyFill="1" applyBorder="1" applyProtection="1">
      <protection locked="0"/>
    </xf>
    <xf numFmtId="0" fontId="15" fillId="5" borderId="33" xfId="0" applyFont="1" applyFill="1" applyBorder="1" applyAlignment="1" applyProtection="1">
      <alignment horizontal="center" vertical="center"/>
      <protection locked="0"/>
    </xf>
    <xf numFmtId="0" fontId="15" fillId="5" borderId="33" xfId="0" applyFont="1" applyFill="1" applyBorder="1" applyProtection="1">
      <protection hidden="1"/>
    </xf>
    <xf numFmtId="0" fontId="15" fillId="7" borderId="33" xfId="0" applyFont="1" applyFill="1" applyBorder="1"/>
    <xf numFmtId="0" fontId="15" fillId="7" borderId="33" xfId="0" applyFont="1" applyFill="1" applyBorder="1" applyProtection="1">
      <protection locked="0"/>
    </xf>
    <xf numFmtId="1" fontId="15" fillId="7" borderId="33" xfId="1" applyNumberFormat="1" applyFont="1" applyFill="1" applyBorder="1" applyAlignment="1" applyProtection="1">
      <protection hidden="1"/>
    </xf>
    <xf numFmtId="0" fontId="48" fillId="7" borderId="33" xfId="0" applyFont="1" applyFill="1" applyBorder="1"/>
    <xf numFmtId="0" fontId="48" fillId="7" borderId="33" xfId="0" applyFont="1" applyFill="1" applyBorder="1" applyProtection="1">
      <protection locked="0"/>
    </xf>
    <xf numFmtId="1" fontId="48" fillId="7" borderId="33" xfId="1" applyNumberFormat="1" applyFont="1" applyFill="1" applyBorder="1" applyAlignment="1" applyProtection="1">
      <protection hidden="1"/>
    </xf>
    <xf numFmtId="0" fontId="34" fillId="6" borderId="33" xfId="0" applyFont="1" applyFill="1" applyBorder="1"/>
    <xf numFmtId="0" fontId="15" fillId="6" borderId="33" xfId="0" applyFont="1" applyFill="1" applyBorder="1" applyProtection="1">
      <protection locked="0"/>
    </xf>
    <xf numFmtId="1" fontId="15" fillId="6" borderId="33" xfId="1" applyNumberFormat="1" applyFont="1" applyFill="1" applyBorder="1" applyAlignment="1" applyProtection="1">
      <protection hidden="1"/>
    </xf>
    <xf numFmtId="0" fontId="15" fillId="6" borderId="33" xfId="0" applyFont="1" applyFill="1" applyBorder="1"/>
    <xf numFmtId="9" fontId="15" fillId="5" borderId="33" xfId="7" applyNumberFormat="1" applyFont="1" applyFill="1" applyBorder="1" applyAlignment="1" applyProtection="1">
      <protection locked="0"/>
    </xf>
    <xf numFmtId="0" fontId="34" fillId="5" borderId="33" xfId="0" applyFont="1" applyFill="1" applyBorder="1"/>
    <xf numFmtId="9" fontId="15" fillId="5" borderId="33" xfId="0" applyNumberFormat="1" applyFont="1" applyFill="1" applyBorder="1" applyAlignment="1" applyProtection="1">
      <alignment vertical="center"/>
      <protection locked="0"/>
    </xf>
    <xf numFmtId="1" fontId="37" fillId="5" borderId="33" xfId="1" applyNumberFormat="1" applyFont="1" applyFill="1" applyBorder="1" applyAlignment="1" applyProtection="1">
      <alignment vertical="center"/>
      <protection locked="0"/>
    </xf>
    <xf numFmtId="0" fontId="37" fillId="5" borderId="33" xfId="1" applyNumberFormat="1" applyFont="1" applyFill="1" applyBorder="1" applyAlignment="1" applyProtection="1">
      <alignment horizontal="center" vertical="center"/>
      <protection locked="0"/>
    </xf>
    <xf numFmtId="0" fontId="37" fillId="5" borderId="33" xfId="0" applyFont="1" applyFill="1" applyBorder="1" applyAlignment="1" applyProtection="1">
      <alignment horizontal="center" vertical="center"/>
      <protection locked="0"/>
    </xf>
    <xf numFmtId="0" fontId="42" fillId="5" borderId="33" xfId="0" applyFont="1" applyFill="1" applyBorder="1" applyAlignment="1">
      <alignment vertical="center"/>
    </xf>
    <xf numFmtId="0" fontId="37" fillId="5" borderId="33" xfId="0" applyFont="1" applyFill="1" applyBorder="1" applyAlignment="1" applyProtection="1">
      <alignment vertical="center"/>
      <protection locked="0"/>
    </xf>
    <xf numFmtId="1" fontId="37" fillId="7" borderId="33" xfId="1" applyNumberFormat="1" applyFont="1" applyFill="1" applyBorder="1" applyAlignment="1" applyProtection="1">
      <alignment vertical="center"/>
      <protection hidden="1"/>
    </xf>
    <xf numFmtId="0" fontId="37" fillId="5" borderId="33" xfId="0" applyFont="1" applyFill="1" applyBorder="1" applyAlignment="1" applyProtection="1">
      <alignment vertical="center"/>
      <protection hidden="1"/>
    </xf>
    <xf numFmtId="0" fontId="37" fillId="7" borderId="33" xfId="0" applyFont="1" applyFill="1" applyBorder="1" applyAlignment="1">
      <alignment vertical="center"/>
    </xf>
    <xf numFmtId="0" fontId="37" fillId="7" borderId="33" xfId="0" applyFont="1" applyFill="1" applyBorder="1" applyAlignment="1" applyProtection="1">
      <alignment vertical="center"/>
      <protection locked="0"/>
    </xf>
    <xf numFmtId="0" fontId="39" fillId="5" borderId="33" xfId="0" applyFont="1" applyFill="1" applyBorder="1" applyAlignment="1">
      <alignment vertical="center"/>
    </xf>
    <xf numFmtId="1" fontId="39" fillId="7" borderId="33" xfId="0" applyNumberFormat="1" applyFont="1" applyFill="1" applyBorder="1" applyAlignment="1" applyProtection="1">
      <alignment vertical="center"/>
      <protection hidden="1"/>
    </xf>
    <xf numFmtId="1" fontId="39" fillId="7" borderId="33" xfId="1" applyNumberFormat="1" applyFont="1" applyFill="1" applyBorder="1" applyAlignment="1" applyProtection="1">
      <alignment vertical="center"/>
      <protection hidden="1"/>
    </xf>
    <xf numFmtId="1" fontId="39" fillId="5" borderId="33" xfId="1" applyNumberFormat="1" applyFont="1" applyFill="1" applyBorder="1" applyAlignment="1" applyProtection="1">
      <alignment horizontal="center" vertical="center"/>
      <protection hidden="1"/>
    </xf>
    <xf numFmtId="1" fontId="39" fillId="5" borderId="33" xfId="0" applyNumberFormat="1" applyFont="1" applyFill="1" applyBorder="1" applyAlignment="1" applyProtection="1">
      <alignment horizontal="center" vertical="center"/>
      <protection hidden="1"/>
    </xf>
    <xf numFmtId="1" fontId="39" fillId="5" borderId="33" xfId="0" applyNumberFormat="1" applyFont="1" applyFill="1" applyBorder="1" applyAlignment="1">
      <alignment horizontal="center" vertical="center"/>
    </xf>
    <xf numFmtId="1" fontId="37" fillId="5" borderId="33" xfId="0" applyNumberFormat="1" applyFont="1" applyFill="1" applyBorder="1" applyAlignment="1" applyProtection="1">
      <alignment horizontal="right" vertical="center"/>
      <protection hidden="1"/>
    </xf>
    <xf numFmtId="1" fontId="39" fillId="5" borderId="33" xfId="1" applyNumberFormat="1" applyFont="1" applyFill="1" applyBorder="1" applyAlignment="1" applyProtection="1">
      <alignment vertical="center"/>
      <protection hidden="1"/>
    </xf>
    <xf numFmtId="1" fontId="37" fillId="5" borderId="33" xfId="0" applyNumberFormat="1" applyFont="1" applyFill="1" applyBorder="1" applyAlignment="1" applyProtection="1">
      <alignment vertical="center"/>
      <protection hidden="1"/>
    </xf>
    <xf numFmtId="1" fontId="39" fillId="6" borderId="33" xfId="0" applyNumberFormat="1" applyFont="1" applyFill="1" applyBorder="1" applyAlignment="1" applyProtection="1">
      <alignment vertical="center"/>
      <protection hidden="1"/>
    </xf>
    <xf numFmtId="1" fontId="39" fillId="6" borderId="33" xfId="1" applyNumberFormat="1" applyFont="1" applyFill="1" applyBorder="1" applyAlignment="1" applyProtection="1">
      <alignment vertical="center"/>
      <protection hidden="1"/>
    </xf>
    <xf numFmtId="0" fontId="23" fillId="5" borderId="0" xfId="0" applyFont="1" applyFill="1" applyBorder="1" applyAlignment="1" applyProtection="1">
      <alignment horizontal="center"/>
      <protection locked="0"/>
    </xf>
    <xf numFmtId="1" fontId="23" fillId="5" borderId="0" xfId="0" applyNumberFormat="1" applyFont="1" applyFill="1" applyAlignment="1">
      <alignment horizontal="center"/>
    </xf>
    <xf numFmtId="0" fontId="23" fillId="5" borderId="0" xfId="1" applyNumberFormat="1" applyFont="1" applyFill="1" applyBorder="1" applyAlignment="1" applyProtection="1">
      <alignment horizontal="center"/>
      <protection locked="0"/>
    </xf>
    <xf numFmtId="167" fontId="23" fillId="5" borderId="0" xfId="1" applyNumberFormat="1" applyFont="1" applyFill="1" applyBorder="1" applyAlignment="1" applyProtection="1"/>
    <xf numFmtId="0" fontId="23" fillId="8" borderId="0" xfId="0" applyFont="1" applyFill="1"/>
    <xf numFmtId="1" fontId="23" fillId="8" borderId="0" xfId="0" applyNumberFormat="1" applyFont="1" applyFill="1"/>
    <xf numFmtId="9" fontId="23" fillId="5" borderId="0" xfId="0" applyNumberFormat="1" applyFont="1" applyFill="1" applyBorder="1" applyAlignment="1">
      <alignment horizontal="center"/>
    </xf>
    <xf numFmtId="169" fontId="23" fillId="5" borderId="0" xfId="1" applyNumberFormat="1" applyFont="1" applyFill="1" applyBorder="1" applyAlignment="1" applyProtection="1"/>
    <xf numFmtId="1" fontId="27" fillId="5" borderId="0" xfId="1" applyNumberFormat="1" applyFont="1" applyFill="1" applyBorder="1" applyAlignment="1" applyProtection="1">
      <protection hidden="1"/>
    </xf>
    <xf numFmtId="1" fontId="23" fillId="5" borderId="0" xfId="0" applyNumberFormat="1" applyFont="1" applyFill="1" applyBorder="1" applyAlignment="1" applyProtection="1">
      <alignment horizontal="right"/>
      <protection hidden="1"/>
    </xf>
    <xf numFmtId="0" fontId="23" fillId="5" borderId="0" xfId="0" applyFont="1" applyFill="1" applyBorder="1" applyAlignment="1">
      <alignment wrapText="1"/>
    </xf>
    <xf numFmtId="167" fontId="23" fillId="5" borderId="33" xfId="1" applyNumberFormat="1" applyFont="1" applyFill="1" applyBorder="1" applyAlignment="1" applyProtection="1"/>
    <xf numFmtId="0" fontId="23" fillId="5" borderId="33" xfId="0" applyFont="1" applyFill="1" applyBorder="1" applyAlignment="1">
      <alignment horizontal="center"/>
    </xf>
    <xf numFmtId="0" fontId="23" fillId="5" borderId="33" xfId="0" applyFont="1" applyFill="1" applyBorder="1" applyProtection="1"/>
    <xf numFmtId="0" fontId="23" fillId="7" borderId="33" xfId="0" applyFont="1" applyFill="1" applyBorder="1" applyAlignment="1" applyProtection="1">
      <alignment horizontal="center"/>
      <protection locked="0"/>
    </xf>
    <xf numFmtId="0" fontId="27" fillId="7" borderId="33" xfId="0" applyFont="1" applyFill="1" applyBorder="1" applyProtection="1">
      <protection locked="0"/>
    </xf>
    <xf numFmtId="10" fontId="23" fillId="5" borderId="33" xfId="0" applyNumberFormat="1" applyFont="1" applyFill="1" applyBorder="1" applyAlignment="1" applyProtection="1">
      <alignment horizontal="center"/>
      <protection locked="0"/>
    </xf>
    <xf numFmtId="1" fontId="23" fillId="5" borderId="33" xfId="0" applyNumberFormat="1" applyFont="1" applyFill="1" applyBorder="1" applyAlignment="1" applyProtection="1">
      <protection locked="0"/>
    </xf>
    <xf numFmtId="168" fontId="56" fillId="5" borderId="33" xfId="1" applyNumberFormat="1" applyFont="1" applyFill="1" applyBorder="1" applyAlignment="1" applyProtection="1">
      <protection locked="0"/>
    </xf>
    <xf numFmtId="1" fontId="23" fillId="5" borderId="33" xfId="7" applyNumberFormat="1" applyFont="1" applyFill="1" applyBorder="1" applyAlignment="1" applyProtection="1">
      <alignment horizontal="center"/>
      <protection locked="0"/>
    </xf>
    <xf numFmtId="0" fontId="27" fillId="5" borderId="33" xfId="0" applyFont="1" applyFill="1" applyBorder="1"/>
    <xf numFmtId="9" fontId="23" fillId="5" borderId="33" xfId="7" applyNumberFormat="1" applyFont="1" applyFill="1" applyBorder="1" applyAlignment="1" applyProtection="1">
      <alignment horizontal="center"/>
      <protection locked="0"/>
    </xf>
    <xf numFmtId="167" fontId="27" fillId="5" borderId="33" xfId="1" applyNumberFormat="1" applyFont="1" applyFill="1" applyBorder="1" applyAlignment="1" applyProtection="1">
      <alignment horizontal="right"/>
      <protection hidden="1"/>
    </xf>
    <xf numFmtId="1" fontId="30" fillId="7" borderId="33" xfId="0" applyNumberFormat="1" applyFont="1" applyFill="1" applyBorder="1" applyAlignment="1" applyProtection="1">
      <alignment horizontal="right"/>
      <protection hidden="1"/>
    </xf>
    <xf numFmtId="1" fontId="30" fillId="7" borderId="33" xfId="0" applyNumberFormat="1" applyFont="1" applyFill="1" applyBorder="1" applyProtection="1">
      <protection hidden="1"/>
    </xf>
    <xf numFmtId="1" fontId="30" fillId="7" borderId="33" xfId="1" applyNumberFormat="1" applyFont="1" applyFill="1" applyBorder="1" applyAlignment="1" applyProtection="1">
      <protection hidden="1"/>
    </xf>
    <xf numFmtId="0" fontId="23" fillId="5" borderId="33" xfId="1" applyNumberFormat="1" applyFont="1" applyFill="1" applyBorder="1" applyAlignment="1" applyProtection="1">
      <protection locked="0"/>
    </xf>
    <xf numFmtId="1" fontId="23" fillId="11" borderId="33" xfId="1" applyNumberFormat="1" applyFont="1" applyFill="1" applyBorder="1" applyAlignment="1" applyProtection="1">
      <protection locked="0"/>
    </xf>
    <xf numFmtId="0" fontId="27" fillId="7" borderId="33" xfId="0" applyFont="1" applyFill="1" applyBorder="1" applyAlignment="1" applyProtection="1">
      <alignment horizontal="center"/>
      <protection locked="0"/>
    </xf>
    <xf numFmtId="1" fontId="23" fillId="5" borderId="33" xfId="0" applyNumberFormat="1" applyFont="1" applyFill="1" applyBorder="1" applyProtection="1">
      <protection locked="0"/>
    </xf>
    <xf numFmtId="168" fontId="33" fillId="5" borderId="33" xfId="1" applyNumberFormat="1" applyFont="1" applyFill="1" applyBorder="1" applyAlignment="1" applyProtection="1">
      <protection locked="0"/>
    </xf>
    <xf numFmtId="1" fontId="23" fillId="5" borderId="33" xfId="0" applyNumberFormat="1" applyFont="1" applyFill="1" applyBorder="1" applyAlignment="1" applyProtection="1">
      <alignment horizontal="center"/>
      <protection locked="0"/>
    </xf>
    <xf numFmtId="1" fontId="27" fillId="7" borderId="33" xfId="0" applyNumberFormat="1" applyFont="1" applyFill="1" applyBorder="1" applyProtection="1">
      <protection hidden="1"/>
    </xf>
    <xf numFmtId="0" fontId="2" fillId="8" borderId="0" xfId="0" applyFont="1" applyFill="1"/>
    <xf numFmtId="0" fontId="4" fillId="6" borderId="1" xfId="0" applyFont="1" applyFill="1" applyBorder="1" applyAlignment="1">
      <alignment horizontal="left"/>
    </xf>
    <xf numFmtId="0" fontId="6" fillId="8" borderId="0" xfId="0" applyFont="1" applyFill="1"/>
    <xf numFmtId="0" fontId="4" fillId="8" borderId="1" xfId="0" applyFont="1" applyFill="1" applyBorder="1" applyAlignment="1"/>
    <xf numFmtId="0" fontId="2" fillId="8" borderId="24" xfId="0" applyFont="1" applyFill="1" applyBorder="1" applyAlignment="1">
      <alignment horizontal="center"/>
    </xf>
    <xf numFmtId="0" fontId="7" fillId="6" borderId="4" xfId="3" applyNumberFormat="1" applyFont="1" applyFill="1" applyBorder="1" applyAlignment="1" applyProtection="1">
      <alignment horizontal="center" vertical="center"/>
    </xf>
    <xf numFmtId="0" fontId="7" fillId="6" borderId="1" xfId="3" applyNumberFormat="1" applyFont="1" applyFill="1" applyBorder="1" applyAlignment="1" applyProtection="1">
      <alignment horizontal="center" vertical="center"/>
    </xf>
    <xf numFmtId="0" fontId="7" fillId="8" borderId="1" xfId="3" applyNumberFormat="1" applyFont="1" applyFill="1" applyBorder="1" applyAlignment="1" applyProtection="1">
      <alignment horizontal="center" vertical="center"/>
    </xf>
    <xf numFmtId="0" fontId="10" fillId="8" borderId="0" xfId="0" applyFont="1" applyFill="1" applyAlignment="1">
      <alignment vertical="center"/>
    </xf>
    <xf numFmtId="10" fontId="10" fillId="12" borderId="6" xfId="3" applyNumberFormat="1" applyFont="1" applyFill="1" applyBorder="1" applyAlignment="1" applyProtection="1">
      <alignment vertical="center"/>
      <protection locked="0"/>
    </xf>
    <xf numFmtId="1" fontId="64" fillId="13" borderId="1" xfId="0" applyNumberFormat="1" applyFont="1" applyFill="1" applyBorder="1" applyAlignment="1" applyProtection="1">
      <alignment horizontal="center"/>
      <protection locked="0"/>
    </xf>
    <xf numFmtId="173" fontId="64" fillId="13" borderId="1" xfId="0" applyNumberFormat="1" applyFont="1" applyFill="1" applyBorder="1" applyAlignment="1" applyProtection="1">
      <alignment horizontal="center"/>
      <protection locked="0"/>
    </xf>
    <xf numFmtId="0" fontId="23" fillId="5" borderId="34" xfId="0" applyFont="1" applyFill="1" applyBorder="1" applyAlignment="1">
      <alignment horizontal="center"/>
    </xf>
    <xf numFmtId="0" fontId="23" fillId="5" borderId="34" xfId="0" applyFont="1" applyFill="1" applyBorder="1" applyAlignment="1" applyProtection="1">
      <alignment horizontal="center"/>
      <protection hidden="1"/>
    </xf>
    <xf numFmtId="9" fontId="37" fillId="5" borderId="33" xfId="7" applyNumberFormat="1" applyFont="1" applyFill="1" applyBorder="1" applyAlignment="1" applyProtection="1">
      <alignment horizontal="center" vertical="center"/>
      <protection locked="0"/>
    </xf>
    <xf numFmtId="0" fontId="2" fillId="8" borderId="4" xfId="0" applyFont="1" applyFill="1" applyBorder="1" applyAlignment="1">
      <alignment horizontal="center"/>
    </xf>
    <xf numFmtId="0" fontId="0" fillId="9" borderId="5" xfId="0" applyFill="1" applyBorder="1"/>
    <xf numFmtId="0" fontId="0" fillId="9" borderId="12" xfId="0" applyFill="1" applyBorder="1"/>
    <xf numFmtId="172" fontId="65" fillId="2" borderId="14" xfId="0" applyNumberFormat="1" applyFont="1" applyFill="1" applyBorder="1"/>
    <xf numFmtId="1" fontId="15" fillId="8" borderId="33" xfId="1" applyNumberFormat="1" applyFont="1" applyFill="1" applyBorder="1" applyAlignment="1" applyProtection="1">
      <alignment vertical="center"/>
      <protection hidden="1"/>
    </xf>
    <xf numFmtId="9" fontId="37" fillId="5" borderId="33" xfId="0" applyNumberFormat="1" applyFont="1" applyFill="1" applyBorder="1" applyAlignment="1" applyProtection="1">
      <alignment horizontal="center"/>
      <protection locked="0"/>
    </xf>
    <xf numFmtId="9" fontId="37" fillId="5" borderId="33" xfId="1" applyNumberFormat="1" applyFont="1" applyFill="1" applyBorder="1" applyAlignment="1" applyProtection="1">
      <alignment horizontal="center"/>
      <protection locked="0"/>
    </xf>
    <xf numFmtId="0" fontId="66" fillId="2" borderId="1" xfId="4" applyFont="1" applyFill="1" applyBorder="1" applyAlignment="1" applyProtection="1">
      <alignment horizontal="center" vertical="center"/>
    </xf>
    <xf numFmtId="0" fontId="67" fillId="2" borderId="1" xfId="5" applyFont="1" applyFill="1" applyBorder="1" applyAlignment="1" applyProtection="1">
      <alignment horizontal="center" vertical="center"/>
    </xf>
    <xf numFmtId="0" fontId="67" fillId="2" borderId="1" xfId="4" applyFont="1" applyFill="1" applyBorder="1" applyAlignment="1" applyProtection="1">
      <alignment horizontal="center" vertical="center"/>
    </xf>
    <xf numFmtId="0" fontId="9" fillId="8" borderId="6" xfId="3" applyNumberFormat="1" applyFont="1" applyFill="1" applyBorder="1" applyAlignment="1" applyProtection="1">
      <alignment horizontal="center" vertical="center" wrapText="1"/>
    </xf>
    <xf numFmtId="0" fontId="4" fillId="8" borderId="28" xfId="0" applyFont="1" applyFill="1" applyBorder="1" applyAlignment="1">
      <alignment horizontal="center"/>
    </xf>
    <xf numFmtId="0" fontId="61" fillId="16" borderId="28" xfId="3" applyNumberFormat="1" applyFont="1" applyFill="1" applyBorder="1" applyAlignment="1" applyProtection="1">
      <alignment horizontal="center"/>
    </xf>
    <xf numFmtId="0" fontId="32" fillId="8" borderId="28" xfId="3" applyNumberFormat="1" applyFont="1" applyFill="1" applyBorder="1" applyAlignment="1" applyProtection="1">
      <alignment horizontal="center"/>
    </xf>
    <xf numFmtId="0" fontId="60" fillId="8" borderId="28" xfId="3" applyNumberFormat="1" applyFont="1" applyFill="1" applyBorder="1" applyAlignment="1" applyProtection="1">
      <alignment horizontal="center"/>
    </xf>
    <xf numFmtId="0" fontId="8" fillId="8" borderId="29" xfId="3" applyNumberFormat="1" applyFill="1" applyBorder="1" applyAlignment="1" applyProtection="1">
      <alignment horizontal="center"/>
    </xf>
    <xf numFmtId="0" fontId="60" fillId="8" borderId="30" xfId="3" applyNumberFormat="1" applyFont="1" applyFill="1" applyBorder="1" applyAlignment="1" applyProtection="1">
      <alignment horizontal="center"/>
    </xf>
    <xf numFmtId="0" fontId="60" fillId="8" borderId="31" xfId="3" applyNumberFormat="1" applyFont="1" applyFill="1" applyBorder="1" applyAlignment="1" applyProtection="1">
      <alignment horizontal="center"/>
    </xf>
    <xf numFmtId="0" fontId="11" fillId="8" borderId="25" xfId="3" applyNumberFormat="1" applyFont="1" applyFill="1" applyBorder="1" applyAlignment="1" applyProtection="1">
      <alignment horizontal="center" vertical="center" wrapText="1"/>
    </xf>
    <xf numFmtId="0" fontId="11" fillId="8" borderId="26" xfId="3" applyNumberFormat="1" applyFont="1" applyFill="1" applyBorder="1" applyAlignment="1" applyProtection="1">
      <alignment horizontal="center" vertical="center" wrapText="1"/>
    </xf>
    <xf numFmtId="0" fontId="11" fillId="8" borderId="27" xfId="3" applyNumberFormat="1" applyFont="1" applyFill="1" applyBorder="1" applyAlignment="1" applyProtection="1">
      <alignment horizontal="center" vertical="center" wrapText="1"/>
    </xf>
    <xf numFmtId="0" fontId="58" fillId="8" borderId="1" xfId="3" applyNumberFormat="1" applyFont="1" applyFill="1" applyBorder="1" applyAlignment="1" applyProtection="1">
      <alignment horizontal="left" vertical="center"/>
    </xf>
    <xf numFmtId="0" fontId="32" fillId="8" borderId="1" xfId="3" applyNumberFormat="1" applyFont="1" applyFill="1" applyBorder="1" applyAlignment="1" applyProtection="1">
      <alignment horizontal="left" vertical="center"/>
    </xf>
    <xf numFmtId="0" fontId="2" fillId="8" borderId="4" xfId="0" applyFont="1" applyFill="1" applyBorder="1" applyAlignment="1">
      <alignment horizontal="center"/>
    </xf>
    <xf numFmtId="0" fontId="32" fillId="8" borderId="4" xfId="3" applyNumberFormat="1" applyFont="1" applyFill="1" applyBorder="1" applyAlignment="1" applyProtection="1">
      <alignment horizontal="left" vertical="center"/>
    </xf>
    <xf numFmtId="0" fontId="4" fillId="8" borderId="1" xfId="0" applyFont="1" applyFill="1" applyBorder="1" applyAlignment="1">
      <alignment horizontal="left"/>
    </xf>
    <xf numFmtId="0" fontId="2" fillId="8" borderId="1" xfId="0" applyFont="1" applyFill="1" applyBorder="1" applyAlignment="1">
      <alignment horizontal="center"/>
    </xf>
    <xf numFmtId="0" fontId="32" fillId="8" borderId="1" xfId="3" applyNumberFormat="1" applyFont="1" applyFill="1" applyBorder="1" applyAlignment="1" applyProtection="1">
      <alignment horizontal="left"/>
    </xf>
    <xf numFmtId="0" fontId="3" fillId="14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5" fillId="15" borderId="1" xfId="0" applyFont="1" applyFill="1" applyBorder="1" applyAlignment="1">
      <alignment horizontal="center"/>
    </xf>
    <xf numFmtId="0" fontId="62" fillId="6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19" fillId="4" borderId="1" xfId="4" applyFont="1" applyFill="1" applyBorder="1" applyAlignment="1" applyProtection="1">
      <alignment horizontal="center" vertical="center" wrapText="1"/>
    </xf>
    <xf numFmtId="0" fontId="14" fillId="2" borderId="1" xfId="4" applyFont="1" applyFill="1" applyBorder="1" applyAlignment="1" applyProtection="1">
      <alignment horizontal="center" vertical="center"/>
    </xf>
    <xf numFmtId="0" fontId="15" fillId="2" borderId="1" xfId="4" applyFont="1" applyFill="1" applyBorder="1" applyAlignment="1" applyProtection="1">
      <alignment horizontal="center" vertical="center"/>
    </xf>
    <xf numFmtId="0" fontId="8" fillId="0" borderId="0" xfId="3" applyNumberFormat="1" applyFont="1" applyFill="1" applyBorder="1" applyAlignment="1" applyProtection="1">
      <alignment horizontal="center" vertical="center"/>
    </xf>
    <xf numFmtId="0" fontId="16" fillId="3" borderId="1" xfId="4" applyFont="1" applyFill="1" applyBorder="1" applyAlignment="1" applyProtection="1">
      <alignment horizontal="center" vertical="center"/>
    </xf>
    <xf numFmtId="0" fontId="17" fillId="2" borderId="1" xfId="4" applyFont="1" applyFill="1" applyBorder="1" applyAlignment="1" applyProtection="1">
      <alignment horizontal="left" vertical="center" wrapText="1"/>
    </xf>
    <xf numFmtId="0" fontId="27" fillId="5" borderId="34" xfId="0" applyFont="1" applyFill="1" applyBorder="1" applyAlignment="1">
      <alignment horizontal="center"/>
    </xf>
    <xf numFmtId="0" fontId="27" fillId="5" borderId="33" xfId="0" applyFont="1" applyFill="1" applyBorder="1" applyAlignment="1">
      <alignment horizontal="center"/>
    </xf>
    <xf numFmtId="0" fontId="63" fillId="7" borderId="34" xfId="0" applyFont="1" applyFill="1" applyBorder="1" applyAlignment="1">
      <alignment horizontal="center"/>
    </xf>
    <xf numFmtId="0" fontId="63" fillId="7" borderId="33" xfId="0" applyFont="1" applyFill="1" applyBorder="1" applyAlignment="1">
      <alignment horizontal="center"/>
    </xf>
    <xf numFmtId="0" fontId="68" fillId="5" borderId="28" xfId="0" applyFont="1" applyFill="1" applyBorder="1" applyAlignment="1">
      <alignment horizontal="center" vertical="center" wrapText="1"/>
    </xf>
    <xf numFmtId="167" fontId="27" fillId="6" borderId="33" xfId="1" applyNumberFormat="1" applyFont="1" applyFill="1" applyBorder="1" applyAlignment="1" applyProtection="1">
      <alignment horizontal="center"/>
      <protection hidden="1"/>
    </xf>
    <xf numFmtId="0" fontId="28" fillId="5" borderId="33" xfId="0" applyFont="1" applyFill="1" applyBorder="1" applyAlignment="1">
      <alignment horizontal="center"/>
    </xf>
    <xf numFmtId="0" fontId="26" fillId="6" borderId="1" xfId="3" applyNumberFormat="1" applyFont="1" applyFill="1" applyBorder="1" applyAlignment="1" applyProtection="1">
      <alignment horizontal="center" vertical="center" wrapText="1"/>
    </xf>
    <xf numFmtId="0" fontId="27" fillId="18" borderId="33" xfId="0" applyFont="1" applyFill="1" applyBorder="1" applyAlignment="1">
      <alignment horizontal="center"/>
    </xf>
    <xf numFmtId="0" fontId="23" fillId="5" borderId="33" xfId="0" applyFont="1" applyFill="1" applyBorder="1" applyAlignment="1">
      <alignment horizontal="left"/>
    </xf>
    <xf numFmtId="0" fontId="23" fillId="6" borderId="33" xfId="0" applyFont="1" applyFill="1" applyBorder="1" applyAlignment="1">
      <alignment horizontal="center"/>
    </xf>
    <xf numFmtId="167" fontId="23" fillId="5" borderId="33" xfId="1" applyNumberFormat="1" applyFont="1" applyFill="1" applyBorder="1" applyAlignment="1" applyProtection="1">
      <alignment horizontal="left"/>
    </xf>
    <xf numFmtId="0" fontId="57" fillId="17" borderId="33" xfId="0" applyFont="1" applyFill="1" applyBorder="1" applyAlignment="1">
      <alignment horizontal="center"/>
    </xf>
    <xf numFmtId="0" fontId="25" fillId="15" borderId="33" xfId="0" applyFont="1" applyFill="1" applyBorder="1" applyAlignment="1">
      <alignment horizontal="center"/>
    </xf>
    <xf numFmtId="0" fontId="23" fillId="5" borderId="33" xfId="0" applyFont="1" applyFill="1" applyBorder="1" applyAlignment="1">
      <alignment horizontal="center"/>
    </xf>
    <xf numFmtId="0" fontId="22" fillId="2" borderId="15" xfId="0" applyFont="1" applyFill="1" applyBorder="1" applyAlignment="1">
      <alignment horizontal="center"/>
    </xf>
    <xf numFmtId="0" fontId="22" fillId="2" borderId="16" xfId="0" applyFont="1" applyFill="1" applyBorder="1" applyAlignment="1">
      <alignment horizontal="center"/>
    </xf>
    <xf numFmtId="0" fontId="22" fillId="2" borderId="1" xfId="0" applyFont="1" applyFill="1" applyBorder="1" applyAlignment="1">
      <alignment horizontal="center"/>
    </xf>
    <xf numFmtId="0" fontId="22" fillId="2" borderId="3" xfId="0" applyFont="1" applyFill="1" applyBorder="1" applyAlignment="1">
      <alignment horizontal="center"/>
    </xf>
    <xf numFmtId="0" fontId="22" fillId="2" borderId="4" xfId="0" applyFont="1" applyFill="1" applyBorder="1" applyAlignment="1">
      <alignment horizontal="center"/>
    </xf>
    <xf numFmtId="0" fontId="22" fillId="2" borderId="5" xfId="0" applyFont="1" applyFill="1" applyBorder="1" applyAlignment="1">
      <alignment horizontal="center"/>
    </xf>
    <xf numFmtId="0" fontId="23" fillId="5" borderId="34" xfId="0" applyFont="1" applyFill="1" applyBorder="1" applyAlignment="1">
      <alignment horizontal="center"/>
    </xf>
    <xf numFmtId="0" fontId="30" fillId="7" borderId="34" xfId="0" applyFont="1" applyFill="1" applyBorder="1" applyAlignment="1">
      <alignment horizontal="center"/>
    </xf>
    <xf numFmtId="0" fontId="30" fillId="7" borderId="33" xfId="0" applyFont="1" applyFill="1" applyBorder="1" applyAlignment="1">
      <alignment horizontal="center"/>
    </xf>
    <xf numFmtId="167" fontId="23" fillId="5" borderId="33" xfId="0" applyNumberFormat="1" applyFont="1" applyFill="1" applyBorder="1" applyAlignment="1">
      <alignment horizontal="center"/>
    </xf>
    <xf numFmtId="167" fontId="27" fillId="7" borderId="33" xfId="1" applyNumberFormat="1" applyFont="1" applyFill="1" applyBorder="1" applyAlignment="1" applyProtection="1">
      <alignment horizontal="center"/>
      <protection hidden="1"/>
    </xf>
    <xf numFmtId="0" fontId="27" fillId="7" borderId="33" xfId="0" applyFont="1" applyFill="1" applyBorder="1" applyAlignment="1">
      <alignment horizontal="center"/>
    </xf>
    <xf numFmtId="0" fontId="28" fillId="5" borderId="35" xfId="0" applyFont="1" applyFill="1" applyBorder="1" applyAlignment="1">
      <alignment horizontal="center"/>
    </xf>
    <xf numFmtId="0" fontId="28" fillId="5" borderId="36" xfId="0" applyFont="1" applyFill="1" applyBorder="1" applyAlignment="1">
      <alignment horizontal="center"/>
    </xf>
    <xf numFmtId="0" fontId="28" fillId="5" borderId="37" xfId="0" applyFont="1" applyFill="1" applyBorder="1" applyAlignment="1">
      <alignment horizontal="center"/>
    </xf>
    <xf numFmtId="0" fontId="24" fillId="19" borderId="21" xfId="0" applyFont="1" applyFill="1" applyBorder="1" applyAlignment="1">
      <alignment horizontal="center"/>
    </xf>
    <xf numFmtId="0" fontId="25" fillId="5" borderId="33" xfId="0" applyFont="1" applyFill="1" applyBorder="1" applyAlignment="1">
      <alignment horizontal="center"/>
    </xf>
    <xf numFmtId="0" fontId="32" fillId="18" borderId="1" xfId="3" applyNumberFormat="1" applyFont="1" applyFill="1" applyBorder="1" applyAlignment="1" applyProtection="1">
      <alignment horizontal="center" vertical="center" wrapText="1"/>
    </xf>
    <xf numFmtId="167" fontId="23" fillId="5" borderId="33" xfId="1" applyNumberFormat="1" applyFont="1" applyFill="1" applyBorder="1" applyAlignment="1" applyProtection="1">
      <alignment horizontal="left"/>
      <protection hidden="1"/>
    </xf>
    <xf numFmtId="0" fontId="70" fillId="5" borderId="34" xfId="0" applyFont="1" applyFill="1" applyBorder="1" applyAlignment="1">
      <alignment horizontal="center"/>
    </xf>
    <xf numFmtId="0" fontId="70" fillId="5" borderId="33" xfId="0" applyFont="1" applyFill="1" applyBorder="1" applyAlignment="1">
      <alignment horizontal="center"/>
    </xf>
    <xf numFmtId="0" fontId="27" fillId="6" borderId="34" xfId="0" applyFont="1" applyFill="1" applyBorder="1" applyAlignment="1">
      <alignment horizontal="center"/>
    </xf>
    <xf numFmtId="0" fontId="27" fillId="6" borderId="33" xfId="0" applyFont="1" applyFill="1" applyBorder="1" applyAlignment="1">
      <alignment horizontal="center"/>
    </xf>
    <xf numFmtId="0" fontId="23" fillId="5" borderId="33" xfId="0" applyFont="1" applyFill="1" applyBorder="1" applyAlignment="1">
      <alignment horizontal="center" vertical="center"/>
    </xf>
    <xf numFmtId="0" fontId="27" fillId="7" borderId="33" xfId="0" applyFont="1" applyFill="1" applyBorder="1" applyAlignment="1">
      <alignment horizontal="center" vertical="center"/>
    </xf>
    <xf numFmtId="0" fontId="23" fillId="5" borderId="34" xfId="0" applyFont="1" applyFill="1" applyBorder="1" applyAlignment="1">
      <alignment horizontal="center" vertical="center"/>
    </xf>
    <xf numFmtId="0" fontId="28" fillId="5" borderId="33" xfId="0" applyFont="1" applyFill="1" applyBorder="1" applyAlignment="1">
      <alignment horizontal="center" vertical="center"/>
    </xf>
    <xf numFmtId="0" fontId="23" fillId="5" borderId="33" xfId="0" applyFont="1" applyFill="1" applyBorder="1" applyAlignment="1">
      <alignment horizontal="left" vertical="center"/>
    </xf>
    <xf numFmtId="167" fontId="23" fillId="5" borderId="33" xfId="1" applyNumberFormat="1" applyFont="1" applyFill="1" applyBorder="1" applyAlignment="1" applyProtection="1">
      <alignment horizontal="left" vertical="center"/>
      <protection hidden="1"/>
    </xf>
    <xf numFmtId="167" fontId="23" fillId="20" borderId="33" xfId="1" applyNumberFormat="1" applyFont="1" applyFill="1" applyBorder="1" applyAlignment="1" applyProtection="1">
      <alignment horizontal="center"/>
      <protection hidden="1"/>
    </xf>
    <xf numFmtId="0" fontId="24" fillId="7" borderId="33" xfId="0" applyFont="1" applyFill="1" applyBorder="1" applyAlignment="1">
      <alignment horizontal="center"/>
    </xf>
    <xf numFmtId="0" fontId="25" fillId="5" borderId="33" xfId="0" applyFont="1" applyFill="1" applyBorder="1" applyAlignment="1">
      <alignment horizontal="center" vertical="center"/>
    </xf>
    <xf numFmtId="0" fontId="36" fillId="6" borderId="1" xfId="3" applyNumberFormat="1" applyFont="1" applyFill="1" applyBorder="1" applyAlignment="1" applyProtection="1">
      <alignment horizontal="center" vertical="center"/>
    </xf>
    <xf numFmtId="0" fontId="69" fillId="19" borderId="33" xfId="0" applyFont="1" applyFill="1" applyBorder="1" applyAlignment="1">
      <alignment horizontal="center"/>
    </xf>
    <xf numFmtId="0" fontId="39" fillId="7" borderId="34" xfId="0" applyFont="1" applyFill="1" applyBorder="1" applyAlignment="1">
      <alignment horizontal="center"/>
    </xf>
    <xf numFmtId="0" fontId="39" fillId="7" borderId="33" xfId="0" applyFont="1" applyFill="1" applyBorder="1" applyAlignment="1">
      <alignment horizontal="center"/>
    </xf>
    <xf numFmtId="167" fontId="23" fillId="5" borderId="33" xfId="1" applyNumberFormat="1" applyFont="1" applyFill="1" applyBorder="1" applyAlignment="1" applyProtection="1">
      <alignment horizontal="center"/>
      <protection hidden="1"/>
    </xf>
    <xf numFmtId="0" fontId="71" fillId="19" borderId="33" xfId="0" applyFont="1" applyFill="1" applyBorder="1" applyAlignment="1">
      <alignment horizontal="center"/>
    </xf>
    <xf numFmtId="0" fontId="38" fillId="6" borderId="1" xfId="3" applyNumberFormat="1" applyFont="1" applyFill="1" applyBorder="1" applyAlignment="1" applyProtection="1">
      <alignment horizontal="center" vertical="center"/>
    </xf>
    <xf numFmtId="0" fontId="44" fillId="6" borderId="33" xfId="0" applyFont="1" applyFill="1" applyBorder="1" applyAlignment="1">
      <alignment horizontal="center"/>
    </xf>
    <xf numFmtId="0" fontId="37" fillId="5" borderId="33" xfId="0" applyFont="1" applyFill="1" applyBorder="1" applyAlignment="1">
      <alignment horizontal="center"/>
    </xf>
    <xf numFmtId="0" fontId="43" fillId="5" borderId="33" xfId="0" applyFont="1" applyFill="1" applyBorder="1" applyAlignment="1">
      <alignment horizontal="center"/>
    </xf>
    <xf numFmtId="0" fontId="41" fillId="15" borderId="1" xfId="3" applyNumberFormat="1" applyFont="1" applyFill="1" applyBorder="1" applyAlignment="1" applyProtection="1">
      <alignment horizontal="center" vertical="center" wrapText="1"/>
    </xf>
    <xf numFmtId="0" fontId="37" fillId="5" borderId="35" xfId="0" applyFont="1" applyFill="1" applyBorder="1" applyAlignment="1">
      <alignment horizontal="center"/>
    </xf>
    <xf numFmtId="0" fontId="37" fillId="5" borderId="36" xfId="0" applyFont="1" applyFill="1" applyBorder="1" applyAlignment="1">
      <alignment horizontal="center"/>
    </xf>
    <xf numFmtId="0" fontId="37" fillId="5" borderId="37" xfId="0" applyFont="1" applyFill="1" applyBorder="1" applyAlignment="1">
      <alignment horizontal="center"/>
    </xf>
    <xf numFmtId="0" fontId="35" fillId="19" borderId="33" xfId="0" applyFont="1" applyFill="1" applyBorder="1" applyAlignment="1">
      <alignment horizontal="center"/>
    </xf>
    <xf numFmtId="0" fontId="40" fillId="5" borderId="33" xfId="0" applyFont="1" applyFill="1" applyBorder="1" applyAlignment="1">
      <alignment horizontal="center"/>
    </xf>
    <xf numFmtId="10" fontId="42" fillId="5" borderId="35" xfId="0" applyNumberFormat="1" applyFont="1" applyFill="1" applyBorder="1" applyAlignment="1">
      <alignment horizontal="center"/>
    </xf>
    <xf numFmtId="10" fontId="42" fillId="5" borderId="36" xfId="0" applyNumberFormat="1" applyFont="1" applyFill="1" applyBorder="1" applyAlignment="1">
      <alignment horizontal="center"/>
    </xf>
    <xf numFmtId="10" fontId="42" fillId="5" borderId="37" xfId="0" applyNumberFormat="1" applyFont="1" applyFill="1" applyBorder="1" applyAlignment="1">
      <alignment horizontal="center"/>
    </xf>
    <xf numFmtId="167" fontId="39" fillId="5" borderId="33" xfId="1" applyNumberFormat="1" applyFont="1" applyFill="1" applyBorder="1" applyAlignment="1" applyProtection="1">
      <alignment horizontal="center"/>
      <protection hidden="1"/>
    </xf>
    <xf numFmtId="167" fontId="37" fillId="5" borderId="33" xfId="1" applyNumberFormat="1" applyFont="1" applyFill="1" applyBorder="1" applyAlignment="1" applyProtection="1">
      <alignment horizontal="center"/>
      <protection hidden="1"/>
    </xf>
    <xf numFmtId="0" fontId="39" fillId="7" borderId="38" xfId="0" applyFont="1" applyFill="1" applyBorder="1" applyAlignment="1">
      <alignment horizontal="center" vertical="center"/>
    </xf>
    <xf numFmtId="0" fontId="39" fillId="7" borderId="34" xfId="0" applyFont="1" applyFill="1" applyBorder="1" applyAlignment="1">
      <alignment horizontal="center" vertical="center"/>
    </xf>
    <xf numFmtId="0" fontId="39" fillId="7" borderId="33" xfId="0" applyFont="1" applyFill="1" applyBorder="1" applyAlignment="1">
      <alignment horizontal="center" vertical="center"/>
    </xf>
    <xf numFmtId="0" fontId="37" fillId="5" borderId="33" xfId="0" applyFont="1" applyFill="1" applyBorder="1" applyAlignment="1">
      <alignment horizontal="center" vertical="center"/>
    </xf>
    <xf numFmtId="0" fontId="39" fillId="5" borderId="33" xfId="0" applyFont="1" applyFill="1" applyBorder="1" applyAlignment="1">
      <alignment horizontal="center" vertical="center"/>
    </xf>
    <xf numFmtId="0" fontId="43" fillId="6" borderId="33" xfId="0" applyFont="1" applyFill="1" applyBorder="1" applyAlignment="1">
      <alignment horizontal="center" vertical="center"/>
    </xf>
    <xf numFmtId="0" fontId="45" fillId="6" borderId="1" xfId="3" applyNumberFormat="1" applyFont="1" applyFill="1" applyBorder="1" applyAlignment="1" applyProtection="1">
      <alignment horizontal="center" vertical="center"/>
    </xf>
    <xf numFmtId="167" fontId="37" fillId="5" borderId="33" xfId="1" applyNumberFormat="1" applyFont="1" applyFill="1" applyBorder="1" applyAlignment="1" applyProtection="1">
      <alignment horizontal="center" vertical="center"/>
      <protection hidden="1"/>
    </xf>
    <xf numFmtId="167" fontId="39" fillId="5" borderId="33" xfId="1" applyNumberFormat="1" applyFont="1" applyFill="1" applyBorder="1" applyAlignment="1" applyProtection="1">
      <alignment horizontal="center" vertical="center"/>
      <protection hidden="1"/>
    </xf>
    <xf numFmtId="0" fontId="24" fillId="19" borderId="33" xfId="0" applyFont="1" applyFill="1" applyBorder="1" applyAlignment="1">
      <alignment horizontal="center"/>
    </xf>
    <xf numFmtId="0" fontId="40" fillId="5" borderId="33" xfId="0" applyFont="1" applyFill="1" applyBorder="1" applyAlignment="1">
      <alignment horizontal="center" vertical="center"/>
    </xf>
    <xf numFmtId="0" fontId="34" fillId="5" borderId="33" xfId="0" applyFont="1" applyFill="1" applyBorder="1" applyAlignment="1">
      <alignment horizontal="center"/>
    </xf>
    <xf numFmtId="0" fontId="34" fillId="7" borderId="33" xfId="0" applyFont="1" applyFill="1" applyBorder="1" applyAlignment="1">
      <alignment horizontal="center"/>
    </xf>
    <xf numFmtId="0" fontId="15" fillId="5" borderId="33" xfId="0" applyFont="1" applyFill="1" applyBorder="1" applyAlignment="1">
      <alignment horizontal="center"/>
    </xf>
    <xf numFmtId="167" fontId="15" fillId="5" borderId="33" xfId="1" applyNumberFormat="1" applyFont="1" applyFill="1" applyBorder="1" applyAlignment="1" applyProtection="1">
      <alignment horizontal="center"/>
      <protection hidden="1"/>
    </xf>
    <xf numFmtId="0" fontId="8" fillId="5" borderId="1" xfId="3" applyNumberFormat="1" applyFill="1" applyBorder="1" applyAlignment="1" applyProtection="1">
      <alignment horizontal="center" vertical="center" wrapText="1"/>
    </xf>
    <xf numFmtId="0" fontId="39" fillId="6" borderId="33" xfId="0" applyFont="1" applyFill="1" applyBorder="1" applyAlignment="1">
      <alignment horizontal="center"/>
    </xf>
    <xf numFmtId="0" fontId="71" fillId="21" borderId="33" xfId="0" applyFont="1" applyFill="1" applyBorder="1" applyAlignment="1">
      <alignment horizontal="center"/>
    </xf>
    <xf numFmtId="0" fontId="39" fillId="5" borderId="33" xfId="0" applyFont="1" applyFill="1" applyBorder="1" applyAlignment="1">
      <alignment horizontal="center"/>
    </xf>
    <xf numFmtId="0" fontId="39" fillId="6" borderId="19" xfId="0" applyFont="1" applyFill="1" applyBorder="1" applyAlignment="1">
      <alignment horizontal="center"/>
    </xf>
    <xf numFmtId="167" fontId="47" fillId="5" borderId="33" xfId="1" applyNumberFormat="1" applyFont="1" applyFill="1" applyBorder="1" applyAlignment="1" applyProtection="1">
      <alignment horizontal="center"/>
      <protection hidden="1"/>
    </xf>
    <xf numFmtId="0" fontId="42" fillId="5" borderId="33" xfId="0" applyFont="1" applyFill="1" applyBorder="1" applyAlignment="1">
      <alignment horizontal="center" vertical="center"/>
    </xf>
    <xf numFmtId="0" fontId="37" fillId="5" borderId="19" xfId="0" applyFont="1" applyFill="1" applyBorder="1" applyAlignment="1">
      <alignment horizontal="center"/>
    </xf>
    <xf numFmtId="0" fontId="39" fillId="5" borderId="19" xfId="0" applyFont="1" applyFill="1" applyBorder="1" applyAlignment="1">
      <alignment horizontal="center"/>
    </xf>
    <xf numFmtId="0" fontId="26" fillId="6" borderId="32" xfId="3" applyNumberFormat="1" applyFont="1" applyFill="1" applyBorder="1" applyAlignment="1" applyProtection="1">
      <alignment horizontal="center" vertical="center"/>
    </xf>
    <xf numFmtId="0" fontId="43" fillId="5" borderId="19" xfId="0" applyFont="1" applyFill="1" applyBorder="1" applyAlignment="1">
      <alignment horizontal="center" vertical="center"/>
    </xf>
    <xf numFmtId="0" fontId="48" fillId="6" borderId="19" xfId="0" applyFont="1" applyFill="1" applyBorder="1" applyAlignment="1">
      <alignment horizontal="center" vertical="center"/>
    </xf>
    <xf numFmtId="0" fontId="49" fillId="5" borderId="19" xfId="0" applyFont="1" applyFill="1" applyBorder="1" applyAlignment="1">
      <alignment horizontal="center" vertical="center"/>
    </xf>
    <xf numFmtId="167" fontId="47" fillId="5" borderId="19" xfId="1" applyNumberFormat="1" applyFont="1" applyFill="1" applyBorder="1" applyAlignment="1" applyProtection="1">
      <alignment horizontal="center" vertical="center"/>
      <protection hidden="1"/>
    </xf>
    <xf numFmtId="0" fontId="39" fillId="6" borderId="19" xfId="0" applyFont="1" applyFill="1" applyBorder="1" applyAlignment="1">
      <alignment horizontal="center" vertical="center"/>
    </xf>
    <xf numFmtId="0" fontId="8" fillId="5" borderId="0" xfId="3" applyFill="1" applyBorder="1" applyAlignment="1">
      <alignment horizontal="center" vertical="center"/>
    </xf>
    <xf numFmtId="0" fontId="39" fillId="21" borderId="19" xfId="0" applyFont="1" applyFill="1" applyBorder="1" applyAlignment="1">
      <alignment horizontal="center" vertical="center"/>
    </xf>
    <xf numFmtId="0" fontId="40" fillId="5" borderId="19" xfId="0" applyFont="1" applyFill="1" applyBorder="1" applyAlignment="1">
      <alignment horizontal="center" vertical="center"/>
    </xf>
    <xf numFmtId="0" fontId="43" fillId="6" borderId="19" xfId="0" applyFont="1" applyFill="1" applyBorder="1" applyAlignment="1">
      <alignment horizontal="center" vertical="center"/>
    </xf>
    <xf numFmtId="167" fontId="49" fillId="5" borderId="19" xfId="1" applyNumberFormat="1" applyFont="1" applyFill="1" applyBorder="1" applyAlignment="1" applyProtection="1">
      <alignment horizontal="center" vertical="center"/>
      <protection hidden="1"/>
    </xf>
    <xf numFmtId="0" fontId="27" fillId="5" borderId="19" xfId="0" applyFont="1" applyFill="1" applyBorder="1" applyAlignment="1" applyProtection="1">
      <alignment horizontal="center" vertical="center"/>
      <protection hidden="1"/>
    </xf>
    <xf numFmtId="0" fontId="31" fillId="5" borderId="19" xfId="0" applyFont="1" applyFill="1" applyBorder="1" applyAlignment="1" applyProtection="1">
      <alignment horizontal="center" vertical="center" wrapText="1"/>
      <protection hidden="1"/>
    </xf>
    <xf numFmtId="10" fontId="27" fillId="5" borderId="34" xfId="0" applyNumberFormat="1" applyFont="1" applyFill="1" applyBorder="1" applyAlignment="1">
      <alignment horizontal="center" vertical="center"/>
    </xf>
    <xf numFmtId="10" fontId="27" fillId="5" borderId="33" xfId="0" applyNumberFormat="1" applyFont="1" applyFill="1" applyBorder="1" applyAlignment="1">
      <alignment horizontal="center" vertical="center"/>
    </xf>
    <xf numFmtId="0" fontId="27" fillId="6" borderId="34" xfId="0" applyFont="1" applyFill="1" applyBorder="1" applyAlignment="1">
      <alignment horizontal="center" vertical="center"/>
    </xf>
    <xf numFmtId="0" fontId="27" fillId="6" borderId="33" xfId="0" applyFont="1" applyFill="1" applyBorder="1" applyAlignment="1">
      <alignment horizontal="center" vertical="center"/>
    </xf>
    <xf numFmtId="0" fontId="27" fillId="6" borderId="19" xfId="0" applyFont="1" applyFill="1" applyBorder="1" applyAlignment="1" applyProtection="1">
      <alignment horizontal="center" vertical="center"/>
      <protection hidden="1"/>
    </xf>
    <xf numFmtId="0" fontId="24" fillId="22" borderId="33" xfId="0" applyFont="1" applyFill="1" applyBorder="1" applyAlignment="1">
      <alignment horizontal="center"/>
    </xf>
    <xf numFmtId="0" fontId="38" fillId="6" borderId="1" xfId="3" applyNumberFormat="1" applyFont="1" applyFill="1" applyBorder="1" applyAlignment="1" applyProtection="1">
      <alignment horizontal="center" vertical="center" wrapText="1"/>
    </xf>
    <xf numFmtId="0" fontId="23" fillId="6" borderId="33" xfId="0" applyFont="1" applyFill="1" applyBorder="1" applyAlignment="1">
      <alignment horizontal="center" vertical="center"/>
    </xf>
    <xf numFmtId="0" fontId="28" fillId="6" borderId="33" xfId="0" applyFont="1" applyFill="1" applyBorder="1" applyAlignment="1">
      <alignment horizontal="center" vertical="center"/>
    </xf>
    <xf numFmtId="10" fontId="27" fillId="6" borderId="33" xfId="0" applyNumberFormat="1" applyFont="1" applyFill="1" applyBorder="1" applyAlignment="1">
      <alignment horizontal="center" vertical="center"/>
    </xf>
    <xf numFmtId="167" fontId="23" fillId="5" borderId="33" xfId="1" applyNumberFormat="1" applyFont="1" applyFill="1" applyBorder="1" applyAlignment="1" applyProtection="1">
      <alignment horizontal="center" vertical="center"/>
      <protection hidden="1"/>
    </xf>
    <xf numFmtId="0" fontId="27" fillId="6" borderId="33" xfId="0" applyFont="1" applyFill="1" applyBorder="1" applyAlignment="1">
      <alignment horizontal="left"/>
    </xf>
    <xf numFmtId="167" fontId="27" fillId="23" borderId="33" xfId="1" applyNumberFormat="1" applyFont="1" applyFill="1" applyBorder="1" applyAlignment="1" applyProtection="1">
      <alignment horizontal="left"/>
      <protection hidden="1"/>
    </xf>
    <xf numFmtId="0" fontId="28" fillId="5" borderId="33" xfId="0" applyFont="1" applyFill="1" applyBorder="1" applyAlignment="1">
      <alignment horizontal="left"/>
    </xf>
    <xf numFmtId="0" fontId="27" fillId="5" borderId="33" xfId="0" applyFont="1" applyFill="1" applyBorder="1" applyAlignment="1">
      <alignment horizontal="left"/>
    </xf>
    <xf numFmtId="0" fontId="38" fillId="6" borderId="6" xfId="3" applyNumberFormat="1" applyFont="1" applyFill="1" applyBorder="1" applyAlignment="1" applyProtection="1">
      <alignment horizontal="center" vertical="center"/>
    </xf>
    <xf numFmtId="0" fontId="38" fillId="6" borderId="4" xfId="3" applyNumberFormat="1" applyFont="1" applyFill="1" applyBorder="1" applyAlignment="1" applyProtection="1">
      <alignment horizontal="center" vertical="center"/>
    </xf>
  </cellXfs>
  <cellStyles count="8">
    <cellStyle name="Comma" xfId="1" builtinId="3"/>
    <cellStyle name="Comma 2" xfId="2"/>
    <cellStyle name="Hyperlink" xfId="3" builtinId="8"/>
    <cellStyle name="Normal" xfId="0" builtinId="0"/>
    <cellStyle name="Normal 2" xfId="4"/>
    <cellStyle name="Normal 2 2" xfId="5"/>
    <cellStyle name="Normal 3" xfId="6"/>
    <cellStyle name="Percent" xfId="7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47625</xdr:colOff>
      <xdr:row>10</xdr:row>
      <xdr:rowOff>161925</xdr:rowOff>
    </xdr:from>
    <xdr:to>
      <xdr:col>9</xdr:col>
      <xdr:colOff>238125</xdr:colOff>
      <xdr:row>11</xdr:row>
      <xdr:rowOff>190500</xdr:rowOff>
    </xdr:to>
    <xdr:sp macro="" textlink="">
      <xdr:nvSpPr>
        <xdr:cNvPr id="1283" name="TextBox 3"/>
        <xdr:cNvSpPr txBox="1">
          <a:spLocks noChangeArrowheads="1"/>
        </xdr:cNvSpPr>
      </xdr:nvSpPr>
      <xdr:spPr bwMode="auto">
        <a:xfrm>
          <a:off x="6781800" y="2371725"/>
          <a:ext cx="190500" cy="238125"/>
        </a:xfrm>
        <a:prstGeom prst="rect">
          <a:avLst/>
        </a:prstGeom>
        <a:noFill/>
        <a:ln w="9525">
          <a:noFill/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10.0.0.50:7778/forms/frmservlet?config=win7_inlias_nontxn" TargetMode="External"/><Relationship Id="rId3" Type="http://schemas.openxmlformats.org/officeDocument/2006/relationships/hyperlink" Target="http://10.244.0.50:7778/forms/frmservlet?Config=inliaslive" TargetMode="External"/><Relationship Id="rId7" Type="http://schemas.openxmlformats.org/officeDocument/2006/relationships/hyperlink" Target="http://10.244.0.50:7778/forms/frmservlet?Config=win7_inlias" TargetMode="External"/><Relationship Id="rId2" Type="http://schemas.openxmlformats.org/officeDocument/2006/relationships/hyperlink" Target="http://www.orientalinsurance.org.in/" TargetMode="External"/><Relationship Id="rId1" Type="http://schemas.openxmlformats.org/officeDocument/2006/relationships/hyperlink" Target="https://mail.orientalinsurance.co.in/owa" TargetMode="External"/><Relationship Id="rId6" Type="http://schemas.openxmlformats.org/officeDocument/2006/relationships/hyperlink" Target="http://10.244.0.120:8011/psp/HRSPROD" TargetMode="External"/><Relationship Id="rId5" Type="http://schemas.openxmlformats.org/officeDocument/2006/relationships/hyperlink" Target="http://www.irdaonline.org/Index.htm" TargetMode="External"/><Relationship Id="rId10" Type="http://schemas.openxmlformats.org/officeDocument/2006/relationships/drawing" Target="../drawings/drawing1.xml"/><Relationship Id="rId4" Type="http://schemas.openxmlformats.org/officeDocument/2006/relationships/hyperlink" Target="http://10.0.0.50:7778/forms/frmservlet?config=inlias_nontxn" TargetMode="External"/><Relationship Id="rId9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topLeftCell="A6" workbookViewId="0">
      <selection activeCell="C11" sqref="C11:G11"/>
    </sheetView>
  </sheetViews>
  <sheetFormatPr defaultRowHeight="16.5" customHeight="1" x14ac:dyDescent="0.25"/>
  <cols>
    <col min="1" max="1" width="21.42578125" style="481" bestFit="1" customWidth="1"/>
    <col min="2" max="2" width="9.42578125" style="481" customWidth="1"/>
    <col min="3" max="6" width="9.140625" style="481"/>
    <col min="7" max="7" width="15.28515625" style="481" customWidth="1"/>
    <col min="8" max="16384" width="9.140625" style="481"/>
  </cols>
  <sheetData>
    <row r="1" spans="1:7" ht="19.5" customHeight="1" x14ac:dyDescent="0.25">
      <c r="A1" s="524" t="s">
        <v>0</v>
      </c>
      <c r="B1" s="524"/>
      <c r="C1" s="524"/>
      <c r="D1" s="524"/>
      <c r="E1" s="524"/>
      <c r="F1" s="524"/>
      <c r="G1" s="524"/>
    </row>
    <row r="2" spans="1:7" ht="19.5" customHeight="1" x14ac:dyDescent="0.25">
      <c r="A2" s="525" t="s">
        <v>211</v>
      </c>
      <c r="B2" s="525"/>
      <c r="C2" s="525"/>
      <c r="D2" s="525"/>
      <c r="E2" s="525"/>
      <c r="F2" s="525"/>
      <c r="G2" s="525"/>
    </row>
    <row r="3" spans="1:7" ht="19.5" customHeight="1" x14ac:dyDescent="0.3">
      <c r="A3" s="526" t="s">
        <v>210</v>
      </c>
      <c r="B3" s="526"/>
      <c r="C3" s="526"/>
      <c r="D3" s="526"/>
      <c r="E3" s="526"/>
      <c r="F3" s="526"/>
      <c r="G3" s="526"/>
    </row>
    <row r="4" spans="1:7" ht="16.5" customHeight="1" x14ac:dyDescent="0.3">
      <c r="A4" s="527" t="s">
        <v>1</v>
      </c>
      <c r="B4" s="527"/>
      <c r="C4" s="527"/>
      <c r="D4" s="527"/>
      <c r="E4" s="527"/>
      <c r="F4" s="527"/>
      <c r="G4" s="527"/>
    </row>
    <row r="5" spans="1:7" s="483" customFormat="1" ht="16.5" customHeight="1" x14ac:dyDescent="0.25">
      <c r="A5" s="482" t="s">
        <v>2</v>
      </c>
      <c r="B5" s="528" t="s">
        <v>3</v>
      </c>
      <c r="C5" s="528"/>
      <c r="D5" s="528"/>
      <c r="E5" s="528"/>
      <c r="F5" s="528"/>
      <c r="G5" s="528"/>
    </row>
    <row r="6" spans="1:7" ht="16.5" customHeight="1" x14ac:dyDescent="0.25">
      <c r="A6" s="484" t="s">
        <v>4</v>
      </c>
      <c r="B6" s="521" t="s">
        <v>5</v>
      </c>
      <c r="C6" s="521"/>
      <c r="D6" s="521"/>
      <c r="E6" s="521"/>
      <c r="F6" s="521"/>
      <c r="G6" s="521"/>
    </row>
    <row r="7" spans="1:7" ht="16.5" customHeight="1" x14ac:dyDescent="0.25">
      <c r="A7" s="484" t="s">
        <v>6</v>
      </c>
      <c r="B7" s="521" t="s">
        <v>7</v>
      </c>
      <c r="C7" s="521"/>
      <c r="D7" s="521"/>
      <c r="E7" s="521"/>
      <c r="F7" s="521"/>
      <c r="G7" s="521"/>
    </row>
    <row r="8" spans="1:7" ht="16.5" customHeight="1" x14ac:dyDescent="0.25">
      <c r="A8" s="522"/>
      <c r="B8" s="522"/>
      <c r="C8" s="522"/>
      <c r="D8" s="522"/>
      <c r="E8" s="522"/>
      <c r="F8" s="522"/>
      <c r="G8" s="522"/>
    </row>
    <row r="9" spans="1:7" ht="16.5" customHeight="1" x14ac:dyDescent="0.25">
      <c r="A9" s="485"/>
      <c r="B9" s="496">
        <v>0</v>
      </c>
      <c r="C9" s="523" t="s">
        <v>8</v>
      </c>
      <c r="D9" s="523"/>
      <c r="E9" s="523"/>
      <c r="F9" s="523"/>
      <c r="G9" s="523"/>
    </row>
    <row r="10" spans="1:7" ht="16.5" customHeight="1" x14ac:dyDescent="0.25">
      <c r="A10" s="519"/>
      <c r="B10" s="486">
        <v>1</v>
      </c>
      <c r="C10" s="520" t="s">
        <v>9</v>
      </c>
      <c r="D10" s="520"/>
      <c r="E10" s="520"/>
      <c r="F10" s="520"/>
      <c r="G10" s="520"/>
    </row>
    <row r="11" spans="1:7" ht="16.5" customHeight="1" x14ac:dyDescent="0.25">
      <c r="A11" s="519"/>
      <c r="B11" s="487">
        <v>2</v>
      </c>
      <c r="C11" s="518" t="s">
        <v>10</v>
      </c>
      <c r="D11" s="518"/>
      <c r="E11" s="518"/>
      <c r="F11" s="518"/>
      <c r="G11" s="518"/>
    </row>
    <row r="12" spans="1:7" ht="16.5" customHeight="1" x14ac:dyDescent="0.25">
      <c r="A12" s="519"/>
      <c r="B12" s="488">
        <v>3</v>
      </c>
      <c r="C12" s="518" t="s">
        <v>11</v>
      </c>
      <c r="D12" s="518"/>
      <c r="E12" s="518"/>
      <c r="F12" s="518"/>
      <c r="G12" s="518"/>
    </row>
    <row r="13" spans="1:7" ht="16.5" customHeight="1" x14ac:dyDescent="0.25">
      <c r="A13" s="519"/>
      <c r="B13" s="488">
        <v>4</v>
      </c>
      <c r="C13" s="517" t="s">
        <v>12</v>
      </c>
      <c r="D13" s="517"/>
      <c r="E13" s="517"/>
      <c r="F13" s="517"/>
      <c r="G13" s="517"/>
    </row>
    <row r="14" spans="1:7" ht="16.5" customHeight="1" x14ac:dyDescent="0.25">
      <c r="A14" s="519"/>
      <c r="B14" s="488">
        <v>5</v>
      </c>
      <c r="C14" s="518" t="s">
        <v>13</v>
      </c>
      <c r="D14" s="518"/>
      <c r="E14" s="518"/>
      <c r="F14" s="518"/>
      <c r="G14" s="518"/>
    </row>
    <row r="15" spans="1:7" ht="16.5" customHeight="1" x14ac:dyDescent="0.25">
      <c r="A15" s="519"/>
      <c r="B15" s="488">
        <v>6</v>
      </c>
      <c r="C15" s="518" t="s">
        <v>14</v>
      </c>
      <c r="D15" s="518"/>
      <c r="E15" s="518"/>
      <c r="F15" s="518"/>
      <c r="G15" s="518"/>
    </row>
    <row r="16" spans="1:7" ht="16.5" customHeight="1" x14ac:dyDescent="0.25">
      <c r="A16" s="519"/>
      <c r="B16" s="488">
        <v>7</v>
      </c>
      <c r="C16" s="518" t="s">
        <v>15</v>
      </c>
      <c r="D16" s="518"/>
      <c r="E16" s="518"/>
      <c r="F16" s="518"/>
      <c r="G16" s="518"/>
    </row>
    <row r="17" spans="1:7" ht="16.5" customHeight="1" x14ac:dyDescent="0.25">
      <c r="A17" s="519"/>
      <c r="B17" s="488">
        <v>8</v>
      </c>
      <c r="C17" s="518" t="s">
        <v>16</v>
      </c>
      <c r="D17" s="518"/>
      <c r="E17" s="518"/>
      <c r="F17" s="518"/>
      <c r="G17" s="518"/>
    </row>
    <row r="18" spans="1:7" ht="16.5" customHeight="1" x14ac:dyDescent="0.25">
      <c r="A18" s="519"/>
      <c r="B18" s="488">
        <v>9</v>
      </c>
      <c r="C18" s="518" t="s">
        <v>17</v>
      </c>
      <c r="D18" s="518"/>
      <c r="E18" s="518"/>
      <c r="F18" s="518"/>
      <c r="G18" s="518"/>
    </row>
    <row r="19" spans="1:7" ht="16.5" customHeight="1" x14ac:dyDescent="0.25">
      <c r="A19" s="519"/>
      <c r="B19" s="488">
        <v>10</v>
      </c>
      <c r="C19" s="518" t="s">
        <v>18</v>
      </c>
      <c r="D19" s="518"/>
      <c r="E19" s="518"/>
      <c r="F19" s="518"/>
      <c r="G19" s="518"/>
    </row>
    <row r="20" spans="1:7" ht="16.5" customHeight="1" x14ac:dyDescent="0.25">
      <c r="A20" s="519"/>
      <c r="B20" s="487">
        <v>11</v>
      </c>
      <c r="C20" s="518" t="s">
        <v>19</v>
      </c>
      <c r="D20" s="518"/>
      <c r="E20" s="518"/>
      <c r="F20" s="518"/>
      <c r="G20" s="518"/>
    </row>
    <row r="21" spans="1:7" s="489" customFormat="1" ht="39.75" customHeight="1" x14ac:dyDescent="0.2">
      <c r="A21" s="506" t="s">
        <v>228</v>
      </c>
      <c r="B21" s="490">
        <v>0.18</v>
      </c>
      <c r="C21" s="514" t="s">
        <v>223</v>
      </c>
      <c r="D21" s="515"/>
      <c r="E21" s="515"/>
      <c r="F21" s="515"/>
      <c r="G21" s="516"/>
    </row>
    <row r="22" spans="1:7" ht="16.5" customHeight="1" x14ac:dyDescent="0.3">
      <c r="A22" s="508" t="s">
        <v>20</v>
      </c>
      <c r="B22" s="508"/>
      <c r="C22" s="508"/>
      <c r="D22" s="508"/>
      <c r="E22" s="508"/>
      <c r="F22" s="508"/>
      <c r="G22" s="508"/>
    </row>
    <row r="23" spans="1:7" ht="16.5" customHeight="1" x14ac:dyDescent="0.25">
      <c r="A23" s="509" t="s">
        <v>212</v>
      </c>
      <c r="B23" s="509"/>
      <c r="C23" s="509"/>
      <c r="D23" s="509"/>
      <c r="E23" s="509"/>
      <c r="F23" s="509"/>
      <c r="G23" s="509"/>
    </row>
    <row r="24" spans="1:7" ht="16.5" customHeight="1" x14ac:dyDescent="0.25">
      <c r="A24" s="509" t="s">
        <v>21</v>
      </c>
      <c r="B24" s="509"/>
      <c r="C24" s="509"/>
      <c r="D24" s="509"/>
      <c r="E24" s="509"/>
      <c r="F24" s="509"/>
      <c r="G24" s="509"/>
    </row>
    <row r="25" spans="1:7" ht="16.5" customHeight="1" x14ac:dyDescent="0.25">
      <c r="A25" s="509" t="s">
        <v>213</v>
      </c>
      <c r="B25" s="509"/>
      <c r="C25" s="509"/>
      <c r="D25" s="509"/>
      <c r="E25" s="509"/>
      <c r="F25" s="509"/>
      <c r="G25" s="509"/>
    </row>
    <row r="26" spans="1:7" ht="16.5" customHeight="1" x14ac:dyDescent="0.25">
      <c r="A26" s="509" t="s">
        <v>221</v>
      </c>
      <c r="B26" s="510"/>
      <c r="C26" s="510"/>
      <c r="D26" s="510"/>
      <c r="E26" s="510"/>
      <c r="F26" s="510"/>
      <c r="G26" s="510"/>
    </row>
    <row r="27" spans="1:7" ht="16.5" customHeight="1" x14ac:dyDescent="0.25">
      <c r="A27" s="509" t="s">
        <v>222</v>
      </c>
      <c r="B27" s="510"/>
      <c r="C27" s="510"/>
      <c r="D27" s="510"/>
      <c r="E27" s="510"/>
      <c r="F27" s="510"/>
      <c r="G27" s="510"/>
    </row>
    <row r="28" spans="1:7" ht="16.5" customHeight="1" x14ac:dyDescent="0.25">
      <c r="A28" s="510" t="s">
        <v>22</v>
      </c>
      <c r="B28" s="510"/>
      <c r="C28" s="510"/>
      <c r="D28" s="510"/>
      <c r="E28" s="510"/>
      <c r="F28" s="510"/>
      <c r="G28" s="510"/>
    </row>
    <row r="29" spans="1:7" ht="16.5" customHeight="1" x14ac:dyDescent="0.25">
      <c r="A29" s="511" t="s">
        <v>224</v>
      </c>
      <c r="B29" s="512"/>
      <c r="C29" s="512"/>
      <c r="D29" s="512"/>
      <c r="E29" s="512"/>
      <c r="F29" s="512"/>
      <c r="G29" s="513"/>
    </row>
    <row r="30" spans="1:7" ht="16.5" customHeight="1" x14ac:dyDescent="0.25">
      <c r="A30" s="510" t="s">
        <v>23</v>
      </c>
      <c r="B30" s="510"/>
      <c r="C30" s="510"/>
      <c r="D30" s="510"/>
      <c r="E30" s="510"/>
      <c r="F30" s="510"/>
      <c r="G30" s="510"/>
    </row>
    <row r="31" spans="1:7" ht="16.5" customHeight="1" x14ac:dyDescent="0.25">
      <c r="A31" s="507" t="s">
        <v>24</v>
      </c>
      <c r="B31" s="507"/>
      <c r="C31" s="507"/>
      <c r="D31" s="507"/>
      <c r="E31" s="507"/>
      <c r="F31" s="507"/>
      <c r="G31" s="507"/>
    </row>
    <row r="32" spans="1:7" ht="16.5" customHeight="1" x14ac:dyDescent="0.25">
      <c r="A32" s="507" t="s">
        <v>25</v>
      </c>
      <c r="B32" s="507"/>
      <c r="C32" s="507"/>
      <c r="D32" s="507"/>
      <c r="E32" s="507"/>
      <c r="F32" s="507"/>
      <c r="G32" s="507"/>
    </row>
    <row r="33" spans="1:7" ht="16.5" customHeight="1" x14ac:dyDescent="0.25">
      <c r="A33" s="507" t="s">
        <v>26</v>
      </c>
      <c r="B33" s="507"/>
      <c r="C33" s="507"/>
      <c r="D33" s="507"/>
      <c r="E33" s="507"/>
      <c r="F33" s="507"/>
      <c r="G33" s="507"/>
    </row>
  </sheetData>
  <sheetProtection password="CEED" sheet="1"/>
  <mergeCells count="34">
    <mergeCell ref="B7:G7"/>
    <mergeCell ref="A8:G8"/>
    <mergeCell ref="C9:G9"/>
    <mergeCell ref="A1:G1"/>
    <mergeCell ref="A2:G2"/>
    <mergeCell ref="A3:G3"/>
    <mergeCell ref="A4:G4"/>
    <mergeCell ref="B5:G5"/>
    <mergeCell ref="B6:G6"/>
    <mergeCell ref="C21:G21"/>
    <mergeCell ref="A30:G30"/>
    <mergeCell ref="C13:G13"/>
    <mergeCell ref="C14:G14"/>
    <mergeCell ref="C15:G15"/>
    <mergeCell ref="C16:G16"/>
    <mergeCell ref="C17:G17"/>
    <mergeCell ref="A10:A20"/>
    <mergeCell ref="C10:G10"/>
    <mergeCell ref="C11:G11"/>
    <mergeCell ref="C12:G12"/>
    <mergeCell ref="C18:G18"/>
    <mergeCell ref="C19:G19"/>
    <mergeCell ref="C20:G20"/>
    <mergeCell ref="A33:G33"/>
    <mergeCell ref="A22:G22"/>
    <mergeCell ref="A23:G23"/>
    <mergeCell ref="A24:G24"/>
    <mergeCell ref="A26:G26"/>
    <mergeCell ref="A28:G28"/>
    <mergeCell ref="A25:G25"/>
    <mergeCell ref="A27:G27"/>
    <mergeCell ref="A29:G29"/>
    <mergeCell ref="A31:G31"/>
    <mergeCell ref="A32:G32"/>
  </mergeCells>
  <hyperlinks>
    <hyperlink ref="C9" location="NCB!A1" display="NCB RECOVERY"/>
    <hyperlink ref="C10" location="2 Wheeler!A1" display="2 WHEELER "/>
    <hyperlink ref="C11" location="PVT!CAR.A1" display="PRIVATE CAR"/>
    <hyperlink ref="C12" location="GCCV_PUBLIC!A1" display="GCCV PUBLIC CARRIER"/>
    <hyperlink ref="C13" location="GCCV_PRIVATE!A1" display="GCCV PRIVATE CARRIER"/>
    <hyperlink ref="C14" location="GCCV 3W Public!A1" display="GCCV 3W PUBLIC CARRIER"/>
    <hyperlink ref="C15" location="GCCV 3W Private!A1" display="GCCV 3W PRIVATE CARRIER"/>
    <hyperlink ref="C16" location="PCCV 3W up to 6 P!A1" display="PCCV 3W UP TO 6 PASSENGER"/>
    <hyperlink ref="C17" location="PCCV 4W Up To 6 P!A1" display="PCCV  4 W UP TO 6 PASSENGER"/>
    <hyperlink ref="C18" location="PCCV 3W 7 TO 18 P!A1" display="PCCV  3 W 7 TO 18  PASSENGER"/>
    <hyperlink ref="C19" location="PCCV Maxi &amp; Bus!A1" display="PCCV MAXI AND LUXARY BUS"/>
    <hyperlink ref="C20" location="Misc  Class D!A1" display="MISC CLASS - D VEHICLES"/>
    <hyperlink ref="A23" r:id="rId1"/>
    <hyperlink ref="A24" r:id="rId2"/>
    <hyperlink ref="A26" r:id="rId3" display="http://10.244.0.50:7778/forms/frmservlet?Config=inliaslive "/>
    <hyperlink ref="A28" r:id="rId4"/>
    <hyperlink ref="A30" r:id="rId5"/>
    <hyperlink ref="C10:G10" location="'2 Wheeler'!Print_Area" display="2 WHEELER "/>
    <hyperlink ref="C11:G11" location="Pvt.Car!A1" display="PRIVATE CAR"/>
    <hyperlink ref="C20:G20" location="'Misc  Class D'!Print_Area" display="MISC CLASS - D VEHICLES"/>
    <hyperlink ref="C19:G19" location="'PCCV Maxi &amp; Bus'!Print_Area" display="PCCV MAXI AND LUXARY BUS"/>
    <hyperlink ref="C14:G14" location="'GCCV 3W Public'!Print_Area" display="GCCV 3W PUBLIC CARRIER"/>
    <hyperlink ref="C15:G15" location="'GCCV 3W Private'!Print_Area" display="GCCV 3W PRIVATE CARRIER"/>
    <hyperlink ref="C16:G16" location="'PCCV 3W up to 6 P'!Print_Area" display="PCCV 3W UP TO 6 PASSENGER"/>
    <hyperlink ref="C17:G17" location="'PCCV 4W Up To 6 P'!A1" display="PCCV  4 W UP TO 6 PASSENGER"/>
    <hyperlink ref="C18:G18" location="'PCCV 3W 7 TO 18 P'!A1" display="PCCV  3 W 7 TO 18  PASSENGER"/>
    <hyperlink ref="A25" r:id="rId6"/>
    <hyperlink ref="A27" r:id="rId7" display="http://10.244.0.50:7778/forms/frmservlet?Config=win7_inlias"/>
    <hyperlink ref="A29" r:id="rId8"/>
  </hyperlinks>
  <pageMargins left="0.7" right="0.7" top="0.75" bottom="0.75" header="0.51180555555555551" footer="0.51180555555555551"/>
  <pageSetup paperSize="9" firstPageNumber="0" orientation="portrait" horizontalDpi="300" verticalDpi="300" r:id="rId9"/>
  <headerFooter alignWithMargins="0"/>
  <drawing r:id="rId1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3"/>
  <sheetViews>
    <sheetView topLeftCell="A11" zoomScale="85" zoomScaleNormal="85" workbookViewId="0">
      <selection activeCell="B31" sqref="B31:D31"/>
    </sheetView>
  </sheetViews>
  <sheetFormatPr defaultRowHeight="16.5" customHeight="1" x14ac:dyDescent="0.2"/>
  <cols>
    <col min="1" max="1" width="31.28515625" style="246" customWidth="1"/>
    <col min="2" max="2" width="9.140625" style="246"/>
    <col min="3" max="3" width="9.5703125" style="246" customWidth="1"/>
    <col min="4" max="4" width="3" style="246" customWidth="1"/>
    <col min="5" max="5" width="22.28515625" style="246" customWidth="1"/>
    <col min="6" max="6" width="10.85546875" style="246" customWidth="1"/>
    <col min="7" max="7" width="8.140625" style="246" bestFit="1" customWidth="1"/>
    <col min="8" max="8" width="9.140625" style="246"/>
    <col min="9" max="9" width="5.85546875" style="246" bestFit="1" customWidth="1"/>
    <col min="10" max="10" width="6.140625" style="246" bestFit="1" customWidth="1"/>
    <col min="11" max="11" width="2.7109375" style="246" bestFit="1" customWidth="1"/>
    <col min="12" max="12" width="16.28515625" style="246" bestFit="1" customWidth="1"/>
    <col min="13" max="13" width="5.5703125" style="246" hidden="1" customWidth="1"/>
    <col min="14" max="14" width="6" style="246" hidden="1" customWidth="1"/>
    <col min="15" max="16384" width="9.140625" style="246"/>
  </cols>
  <sheetData>
    <row r="1" spans="1:15" s="97" customFormat="1" ht="16.5" customHeight="1" x14ac:dyDescent="0.25">
      <c r="A1" s="612" t="s">
        <v>0</v>
      </c>
      <c r="B1" s="612"/>
      <c r="C1" s="612"/>
      <c r="D1" s="612"/>
      <c r="E1" s="612"/>
      <c r="F1" s="612"/>
      <c r="G1" s="612"/>
      <c r="M1" s="97" t="s">
        <v>76</v>
      </c>
      <c r="N1" s="97" t="s">
        <v>77</v>
      </c>
    </row>
    <row r="2" spans="1:15" ht="16.5" customHeight="1" x14ac:dyDescent="0.2">
      <c r="A2" s="613" t="s">
        <v>200</v>
      </c>
      <c r="B2" s="613"/>
      <c r="C2" s="613" t="s">
        <v>122</v>
      </c>
      <c r="D2" s="613"/>
      <c r="E2" s="613"/>
      <c r="F2" s="613"/>
      <c r="G2" s="613"/>
      <c r="J2" s="609" t="s">
        <v>29</v>
      </c>
      <c r="M2" s="89">
        <f ca="1">C12+C13-C25+C15</f>
        <v>861</v>
      </c>
      <c r="N2" s="247">
        <f ca="1">C12+C13</f>
        <v>1148</v>
      </c>
    </row>
    <row r="3" spans="1:15" ht="16.5" customHeight="1" x14ac:dyDescent="0.2">
      <c r="A3" s="605" t="s">
        <v>79</v>
      </c>
      <c r="B3" s="605"/>
      <c r="C3" s="605"/>
      <c r="D3" s="605"/>
      <c r="E3" s="605"/>
      <c r="F3" s="605"/>
      <c r="G3" s="605"/>
      <c r="J3" s="609"/>
      <c r="K3" s="97"/>
    </row>
    <row r="4" spans="1:15" ht="16.5" customHeight="1" x14ac:dyDescent="0.2">
      <c r="A4" s="606" t="s">
        <v>138</v>
      </c>
      <c r="B4" s="606"/>
      <c r="C4" s="428">
        <v>100000</v>
      </c>
      <c r="D4" s="606"/>
      <c r="E4" s="606" t="s">
        <v>83</v>
      </c>
      <c r="F4" s="606"/>
      <c r="G4" s="429">
        <v>2016</v>
      </c>
    </row>
    <row r="5" spans="1:15" ht="16.5" customHeight="1" x14ac:dyDescent="0.2">
      <c r="A5" s="606" t="s">
        <v>90</v>
      </c>
      <c r="B5" s="606"/>
      <c r="C5" s="428">
        <v>0</v>
      </c>
      <c r="D5" s="606"/>
      <c r="E5" s="606" t="s">
        <v>139</v>
      </c>
      <c r="F5" s="606"/>
      <c r="G5" s="429">
        <v>1000</v>
      </c>
    </row>
    <row r="6" spans="1:15" ht="16.5" customHeight="1" x14ac:dyDescent="0.2">
      <c r="A6" s="606" t="s">
        <v>141</v>
      </c>
      <c r="B6" s="606"/>
      <c r="C6" s="428">
        <v>0</v>
      </c>
      <c r="D6" s="606"/>
      <c r="E6" s="610" t="s">
        <v>43</v>
      </c>
      <c r="F6" s="610"/>
      <c r="G6" s="430" t="s">
        <v>94</v>
      </c>
    </row>
    <row r="7" spans="1:15" s="97" customFormat="1" ht="16.5" customHeight="1" x14ac:dyDescent="0.2">
      <c r="A7" s="611" t="s">
        <v>142</v>
      </c>
      <c r="B7" s="611"/>
      <c r="C7" s="611"/>
      <c r="D7" s="611"/>
      <c r="E7" s="611"/>
      <c r="F7" s="611"/>
      <c r="G7" s="611"/>
      <c r="H7" s="246"/>
      <c r="I7" s="246"/>
      <c r="J7" s="248"/>
    </row>
    <row r="8" spans="1:15" s="107" customFormat="1" ht="16.5" customHeight="1" x14ac:dyDescent="0.2">
      <c r="A8" s="605" t="s">
        <v>86</v>
      </c>
      <c r="B8" s="605"/>
      <c r="C8" s="605"/>
      <c r="D8" s="431"/>
      <c r="E8" s="605" t="s">
        <v>87</v>
      </c>
      <c r="F8" s="605"/>
      <c r="G8" s="605"/>
      <c r="H8" s="157"/>
      <c r="I8" s="157"/>
    </row>
    <row r="9" spans="1:15" ht="16.5" customHeight="1" x14ac:dyDescent="0.2">
      <c r="A9" s="384" t="s">
        <v>143</v>
      </c>
      <c r="B9" s="432"/>
      <c r="C9" s="386">
        <f ca="1">C4*'Database 2'!G7</f>
        <v>1148</v>
      </c>
      <c r="D9" s="431"/>
      <c r="E9" s="384" t="s">
        <v>49</v>
      </c>
      <c r="F9" s="432"/>
      <c r="G9" s="386">
        <f>'Database 2'!G9</f>
        <v>4200</v>
      </c>
      <c r="I9" s="157"/>
      <c r="J9" s="107"/>
      <c r="K9" s="107"/>
      <c r="L9" s="107"/>
      <c r="M9" s="107"/>
      <c r="N9" s="137"/>
    </row>
    <row r="10" spans="1:15" ht="16.5" customHeight="1" x14ac:dyDescent="0.2">
      <c r="A10" s="384" t="s">
        <v>90</v>
      </c>
      <c r="B10" s="432"/>
      <c r="C10" s="386">
        <f>C5*0.04</f>
        <v>0</v>
      </c>
      <c r="D10" s="431"/>
      <c r="E10" s="384" t="s">
        <v>146</v>
      </c>
      <c r="F10" s="432"/>
      <c r="G10" s="386">
        <f>IF(C6&gt;0,60,0)</f>
        <v>0</v>
      </c>
      <c r="I10" s="157"/>
      <c r="J10" s="107"/>
      <c r="K10" s="107"/>
      <c r="L10" s="107"/>
      <c r="M10" s="107"/>
      <c r="N10" s="118"/>
    </row>
    <row r="11" spans="1:15" ht="16.5" customHeight="1" x14ac:dyDescent="0.2">
      <c r="A11" s="384" t="s">
        <v>146</v>
      </c>
      <c r="B11" s="384"/>
      <c r="C11" s="386">
        <f>IF(C6&gt;0,C6*0.04,0)</f>
        <v>0</v>
      </c>
      <c r="D11" s="431"/>
      <c r="E11" s="384"/>
      <c r="F11" s="432"/>
      <c r="G11" s="386"/>
      <c r="I11" s="157"/>
      <c r="J11" s="107"/>
      <c r="K11" s="107"/>
      <c r="L11" s="107"/>
      <c r="M11" s="107"/>
      <c r="N11" s="118"/>
    </row>
    <row r="12" spans="1:15" ht="16.5" customHeight="1" x14ac:dyDescent="0.2">
      <c r="A12" s="605" t="s">
        <v>95</v>
      </c>
      <c r="B12" s="605"/>
      <c r="C12" s="433">
        <f ca="1">SUM(C9:C11)</f>
        <v>1148</v>
      </c>
      <c r="D12" s="431"/>
      <c r="E12" s="605" t="s">
        <v>147</v>
      </c>
      <c r="F12" s="605"/>
      <c r="G12" s="433">
        <f>SUM(G9:G10)</f>
        <v>4200</v>
      </c>
      <c r="I12" s="157"/>
      <c r="J12" s="107"/>
      <c r="K12" s="107"/>
      <c r="L12" s="107"/>
      <c r="M12" s="107"/>
      <c r="N12" s="118"/>
    </row>
    <row r="13" spans="1:15" ht="16.5" customHeight="1" x14ac:dyDescent="0.2">
      <c r="A13" s="384" t="s">
        <v>148</v>
      </c>
      <c r="B13" s="430" t="s">
        <v>37</v>
      </c>
      <c r="C13" s="386">
        <f>IF(B13="Yes",(C9+C10+C11)*0.15,0)</f>
        <v>0</v>
      </c>
      <c r="D13" s="431"/>
      <c r="E13" s="384" t="s">
        <v>129</v>
      </c>
      <c r="F13" s="430" t="s">
        <v>91</v>
      </c>
      <c r="G13" s="386">
        <f>IF(F13="Yes",50*F14,0)</f>
        <v>0</v>
      </c>
      <c r="I13" s="157"/>
      <c r="J13" s="107"/>
      <c r="K13" s="107"/>
      <c r="L13" s="107"/>
      <c r="M13" s="107"/>
      <c r="N13" s="117"/>
    </row>
    <row r="14" spans="1:15" ht="16.5" customHeight="1" x14ac:dyDescent="0.2">
      <c r="A14" s="175" t="s">
        <v>98</v>
      </c>
      <c r="B14" s="177" t="s">
        <v>37</v>
      </c>
      <c r="C14" s="180">
        <f>C4*A53/10</f>
        <v>0</v>
      </c>
      <c r="D14" s="431"/>
      <c r="E14" s="384" t="s">
        <v>158</v>
      </c>
      <c r="F14" s="430">
        <v>0</v>
      </c>
      <c r="G14" s="386"/>
      <c r="I14" s="157"/>
      <c r="J14" s="107"/>
      <c r="K14" s="107"/>
      <c r="L14" s="107"/>
      <c r="M14" s="107"/>
      <c r="N14" s="118"/>
    </row>
    <row r="15" spans="1:15" ht="16.5" customHeight="1" x14ac:dyDescent="0.2">
      <c r="A15" s="178" t="s">
        <v>150</v>
      </c>
      <c r="B15" s="210">
        <v>0.25</v>
      </c>
      <c r="C15" s="187">
        <f ca="1">(C12)*B15</f>
        <v>287</v>
      </c>
      <c r="D15" s="431"/>
      <c r="E15" s="384"/>
      <c r="F15" s="430"/>
      <c r="G15" s="386"/>
      <c r="I15" s="157"/>
      <c r="J15" s="107"/>
      <c r="K15" s="107"/>
      <c r="L15" s="107"/>
      <c r="M15" s="107"/>
      <c r="N15" s="118"/>
    </row>
    <row r="16" spans="1:15" ht="16.5" customHeight="1" x14ac:dyDescent="0.2">
      <c r="A16" s="384" t="s">
        <v>160</v>
      </c>
      <c r="B16" s="430" t="s">
        <v>37</v>
      </c>
      <c r="C16" s="386">
        <f>IF(B16="Yes",C12*0.3,0)</f>
        <v>0</v>
      </c>
      <c r="D16" s="431"/>
      <c r="E16" s="434" t="s">
        <v>128</v>
      </c>
      <c r="F16" s="430" t="s">
        <v>91</v>
      </c>
      <c r="G16" s="386">
        <f>IF(F16="Yes",100,0)</f>
        <v>100</v>
      </c>
      <c r="I16" s="157"/>
      <c r="J16" s="107"/>
      <c r="K16" s="107"/>
      <c r="L16" s="107"/>
      <c r="M16" s="107"/>
      <c r="N16" s="117"/>
      <c r="O16" s="157"/>
    </row>
    <row r="17" spans="1:14" ht="16.5" customHeight="1" x14ac:dyDescent="0.2">
      <c r="A17" s="384" t="s">
        <v>132</v>
      </c>
      <c r="B17" s="430" t="s">
        <v>37</v>
      </c>
      <c r="C17" s="386">
        <f>IF(B17="Yes",50,0)</f>
        <v>0</v>
      </c>
      <c r="D17" s="431"/>
      <c r="E17" s="434"/>
      <c r="F17" s="430"/>
      <c r="G17" s="386"/>
      <c r="I17" s="157"/>
      <c r="J17" s="107"/>
      <c r="K17" s="107"/>
      <c r="L17" s="107"/>
      <c r="M17" s="107"/>
      <c r="N17" s="117"/>
    </row>
    <row r="18" spans="1:14" ht="16.5" customHeight="1" x14ac:dyDescent="0.2">
      <c r="A18" s="605" t="s">
        <v>135</v>
      </c>
      <c r="B18" s="605"/>
      <c r="C18" s="433">
        <f ca="1">SUM(C12:C17)</f>
        <v>1435</v>
      </c>
      <c r="D18" s="431"/>
      <c r="E18" s="605" t="s">
        <v>153</v>
      </c>
      <c r="F18" s="605"/>
      <c r="G18" s="433">
        <f>SUM(G12,G13,G16)</f>
        <v>4300</v>
      </c>
      <c r="I18" s="157"/>
      <c r="J18" s="107"/>
      <c r="K18" s="107"/>
      <c r="L18" s="107"/>
      <c r="M18" s="107"/>
      <c r="N18" s="117"/>
    </row>
    <row r="19" spans="1:14" ht="16.5" customHeight="1" x14ac:dyDescent="0.2">
      <c r="A19" s="606" t="s">
        <v>154</v>
      </c>
      <c r="B19" s="606"/>
      <c r="C19" s="386"/>
      <c r="D19" s="431"/>
      <c r="E19" s="384" t="s">
        <v>71</v>
      </c>
      <c r="F19" s="430">
        <v>750000</v>
      </c>
      <c r="G19" s="386">
        <f>IF(F19=750000,0,150)</f>
        <v>0</v>
      </c>
      <c r="I19" s="157"/>
      <c r="J19" s="107"/>
      <c r="K19" s="107"/>
      <c r="L19" s="107"/>
      <c r="M19" s="107"/>
      <c r="N19" s="137"/>
    </row>
    <row r="20" spans="1:14" ht="16.5" customHeight="1" x14ac:dyDescent="0.2">
      <c r="A20" s="384" t="s">
        <v>70</v>
      </c>
      <c r="B20" s="430" t="s">
        <v>37</v>
      </c>
      <c r="C20" s="386">
        <f>IF(B20="Yes",MIN(C18*0.025,500),0)</f>
        <v>0</v>
      </c>
      <c r="D20" s="431"/>
      <c r="E20" s="384"/>
      <c r="F20" s="384"/>
      <c r="G20" s="384"/>
      <c r="I20" s="157"/>
      <c r="J20" s="107"/>
      <c r="K20" s="107"/>
      <c r="L20" s="107"/>
      <c r="M20" s="107"/>
      <c r="N20" s="117"/>
    </row>
    <row r="21" spans="1:14" ht="16.5" customHeight="1" x14ac:dyDescent="0.2">
      <c r="A21" s="384" t="s">
        <v>65</v>
      </c>
      <c r="B21" s="430" t="s">
        <v>37</v>
      </c>
      <c r="C21" s="386">
        <f>IF(B21="Yes",MIN(C18*0.05,200),0)</f>
        <v>0</v>
      </c>
      <c r="D21" s="431"/>
      <c r="E21" s="384"/>
      <c r="F21" s="432"/>
      <c r="G21" s="386"/>
      <c r="I21" s="157"/>
      <c r="J21" s="107"/>
      <c r="K21" s="107"/>
      <c r="L21" s="107"/>
      <c r="M21" s="107"/>
      <c r="N21" s="251"/>
    </row>
    <row r="22" spans="1:14" ht="16.5" customHeight="1" x14ac:dyDescent="0.2">
      <c r="A22" s="384" t="s">
        <v>137</v>
      </c>
      <c r="B22" s="430" t="s">
        <v>37</v>
      </c>
      <c r="C22" s="386">
        <f>IF(B22="Yes",C18*(1/3),0)</f>
        <v>0</v>
      </c>
      <c r="D22" s="431"/>
      <c r="E22" s="384"/>
      <c r="F22" s="432"/>
      <c r="G22" s="386"/>
      <c r="I22" s="157"/>
      <c r="J22" s="107"/>
      <c r="K22" s="107"/>
      <c r="L22" s="107"/>
      <c r="M22" s="107"/>
    </row>
    <row r="23" spans="1:14" ht="16.5" customHeight="1" x14ac:dyDescent="0.2">
      <c r="A23" s="605" t="s">
        <v>155</v>
      </c>
      <c r="B23" s="605"/>
      <c r="C23" s="433">
        <f ca="1">C18-SUM(C20:C22)</f>
        <v>1435</v>
      </c>
      <c r="D23" s="431"/>
      <c r="E23" s="435"/>
      <c r="F23" s="436"/>
      <c r="G23" s="433"/>
      <c r="I23" s="157"/>
      <c r="J23" s="107"/>
      <c r="K23" s="107"/>
      <c r="L23" s="107"/>
      <c r="M23" s="107"/>
    </row>
    <row r="24" spans="1:14" s="157" customFormat="1" ht="16.5" customHeight="1" x14ac:dyDescent="0.2">
      <c r="A24" s="384" t="s">
        <v>76</v>
      </c>
      <c r="B24" s="495">
        <v>0.2</v>
      </c>
      <c r="C24" s="183">
        <f ca="1">(C12+C13+C15-C25-C26)*B24</f>
        <v>160.72000000000003</v>
      </c>
      <c r="D24" s="431"/>
      <c r="E24" s="437"/>
      <c r="F24" s="432"/>
      <c r="G24" s="386"/>
    </row>
    <row r="25" spans="1:14" ht="16.5" customHeight="1" x14ac:dyDescent="0.2">
      <c r="A25" s="175" t="s">
        <v>111</v>
      </c>
      <c r="B25" s="385">
        <v>0.5</v>
      </c>
      <c r="C25" s="183">
        <f ca="1">(C12+C13)*B25</f>
        <v>574</v>
      </c>
      <c r="D25" s="431"/>
      <c r="E25" s="437"/>
      <c r="F25" s="432"/>
      <c r="G25" s="386"/>
    </row>
    <row r="26" spans="1:14" ht="16.5" customHeight="1" x14ac:dyDescent="0.2">
      <c r="A26" s="178" t="s">
        <v>214</v>
      </c>
      <c r="B26" s="188">
        <v>0.2</v>
      </c>
      <c r="C26" s="196">
        <f ca="1">C15*B26</f>
        <v>57.400000000000006</v>
      </c>
      <c r="D26" s="431"/>
      <c r="E26" s="437"/>
      <c r="F26" s="432"/>
      <c r="G26" s="386"/>
    </row>
    <row r="27" spans="1:14" ht="16.5" customHeight="1" x14ac:dyDescent="0.2">
      <c r="A27" s="605" t="s">
        <v>112</v>
      </c>
      <c r="B27" s="605"/>
      <c r="C27" s="438">
        <f ca="1">C23-C24-C25-C26</f>
        <v>642.88</v>
      </c>
      <c r="D27" s="431"/>
      <c r="E27" s="605" t="s">
        <v>113</v>
      </c>
      <c r="F27" s="605"/>
      <c r="G27" s="439">
        <f>G18-G19+G25</f>
        <v>4300</v>
      </c>
    </row>
    <row r="28" spans="1:14" ht="16.5" customHeight="1" x14ac:dyDescent="0.2">
      <c r="A28" s="252"/>
      <c r="B28" s="253"/>
      <c r="C28" s="253"/>
      <c r="D28" s="253"/>
      <c r="E28" s="254"/>
      <c r="F28" s="252"/>
      <c r="G28" s="255"/>
    </row>
    <row r="29" spans="1:14" ht="16.5" customHeight="1" x14ac:dyDescent="0.2">
      <c r="A29" s="539" t="s">
        <v>219</v>
      </c>
      <c r="B29" s="607" t="s">
        <v>116</v>
      </c>
      <c r="C29" s="607"/>
      <c r="D29" s="607"/>
      <c r="E29" s="440" t="s">
        <v>114</v>
      </c>
      <c r="F29" s="441" t="s">
        <v>115</v>
      </c>
      <c r="G29" s="442" t="s">
        <v>38</v>
      </c>
    </row>
    <row r="30" spans="1:14" s="157" customFormat="1" ht="16.5" customHeight="1" x14ac:dyDescent="0.2">
      <c r="A30" s="539"/>
      <c r="B30" s="607"/>
      <c r="C30" s="607"/>
      <c r="D30" s="607"/>
      <c r="E30" s="443">
        <f ca="1">C27</f>
        <v>642.88</v>
      </c>
      <c r="F30" s="386">
        <f>G27</f>
        <v>4300</v>
      </c>
      <c r="G30" s="444">
        <f ca="1">E30+F30</f>
        <v>4942.88</v>
      </c>
    </row>
    <row r="31" spans="1:14" ht="16.5" customHeight="1" x14ac:dyDescent="0.25">
      <c r="A31" s="539"/>
      <c r="B31" s="569" t="s">
        <v>227</v>
      </c>
      <c r="C31" s="570"/>
      <c r="D31" s="570"/>
      <c r="E31" s="445">
        <f ca="1">E30*HyperLink!B21</f>
        <v>115.71839999999999</v>
      </c>
      <c r="F31" s="445">
        <f>F30*HyperLink!B21</f>
        <v>774</v>
      </c>
      <c r="G31" s="445">
        <f ca="1">G30*HyperLink!B21</f>
        <v>889.71839999999997</v>
      </c>
    </row>
    <row r="32" spans="1:14" ht="16.5" customHeight="1" x14ac:dyDescent="0.2">
      <c r="A32" s="539"/>
      <c r="B32" s="608" t="s">
        <v>156</v>
      </c>
      <c r="C32" s="608"/>
      <c r="D32" s="608"/>
      <c r="E32" s="446">
        <f ca="1">SUM(E30:E31)</f>
        <v>758.59839999999997</v>
      </c>
      <c r="F32" s="446">
        <f>SUM(F30:F31)</f>
        <v>5074</v>
      </c>
      <c r="G32" s="447">
        <f ca="1">SUM(G30:G31)</f>
        <v>5832.5983999999999</v>
      </c>
    </row>
    <row r="33" spans="7:7" ht="16.5" customHeight="1" x14ac:dyDescent="0.2">
      <c r="G33" s="256"/>
    </row>
    <row r="52" spans="1:2" ht="16.5" customHeight="1" x14ac:dyDescent="0.2">
      <c r="A52" s="257" t="s">
        <v>57</v>
      </c>
      <c r="B52" s="257" t="s">
        <v>122</v>
      </c>
    </row>
    <row r="53" spans="1:2" ht="16.5" customHeight="1" x14ac:dyDescent="0.2">
      <c r="A53" s="258" t="b">
        <f>IF(B14="Yes",IF(B53=0,4.5%,IF(B53=1,5.5%,IF(B53=2,7%,0))))</f>
        <v>0</v>
      </c>
      <c r="B53" s="259">
        <f ca="1">YEAR(TODAY())-(G4)</f>
        <v>1</v>
      </c>
    </row>
  </sheetData>
  <sheetProtection password="CEED" sheet="1"/>
  <mergeCells count="27">
    <mergeCell ref="A7:G7"/>
    <mergeCell ref="A8:C8"/>
    <mergeCell ref="E8:G8"/>
    <mergeCell ref="A12:B12"/>
    <mergeCell ref="A1:G1"/>
    <mergeCell ref="A2:G2"/>
    <mergeCell ref="E12:F12"/>
    <mergeCell ref="J2:J3"/>
    <mergeCell ref="A3:G3"/>
    <mergeCell ref="A4:B4"/>
    <mergeCell ref="D4:D6"/>
    <mergeCell ref="E4:F4"/>
    <mergeCell ref="A5:B5"/>
    <mergeCell ref="E5:F5"/>
    <mergeCell ref="A6:B6"/>
    <mergeCell ref="E6:F6"/>
    <mergeCell ref="B29:D29"/>
    <mergeCell ref="B30:D30"/>
    <mergeCell ref="B31:D31"/>
    <mergeCell ref="B32:D32"/>
    <mergeCell ref="A18:B18"/>
    <mergeCell ref="A29:A32"/>
    <mergeCell ref="E18:F18"/>
    <mergeCell ref="A19:B19"/>
    <mergeCell ref="A23:B23"/>
    <mergeCell ref="A27:B27"/>
    <mergeCell ref="E27:F27"/>
  </mergeCells>
  <dataValidations count="6">
    <dataValidation type="list" allowBlank="1" showErrorMessage="1" sqref="F19">
      <formula1>"750000,6000"</formula1>
      <formula2>0</formula2>
    </dataValidation>
    <dataValidation type="list" allowBlank="1" showErrorMessage="1" sqref="B24">
      <formula1>"0%,20%,25%,35%,45%,50%,55%,65%"</formula1>
      <formula2>0</formula2>
    </dataValidation>
    <dataValidation type="list" allowBlank="1" showErrorMessage="1" sqref="B13:B14 F13 B16:B17 F16:F17 B20:B22">
      <formula1>"Yes,No"</formula1>
      <formula2>0</formula2>
    </dataValidation>
    <dataValidation type="list" allowBlank="1" showErrorMessage="1" sqref="G6">
      <formula1>"A,B,C"</formula1>
      <formula2>0</formula2>
    </dataValidation>
    <dataValidation type="list" allowBlank="1" showErrorMessage="1" sqref="B15">
      <formula1>"0,15%,25%,35%"</formula1>
    </dataValidation>
    <dataValidation allowBlank="1" showErrorMessage="1" sqref="B26">
      <formula1>0</formula1>
      <formula2>0</formula2>
    </dataValidation>
  </dataValidations>
  <hyperlinks>
    <hyperlink ref="J2" location="HyperLink!A1" display="BACK"/>
  </hyperlinks>
  <pageMargins left="0.4" right="0.2" top="0.98402777777777772" bottom="0.98402777777777772" header="0.51180555555555551" footer="0.51180555555555551"/>
  <pageSetup paperSize="9" firstPageNumber="0" orientation="portrait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"/>
  <sheetViews>
    <sheetView topLeftCell="A14" zoomScale="85" zoomScaleNormal="85" workbookViewId="0">
      <selection activeCell="B33" sqref="B33:D33"/>
    </sheetView>
  </sheetViews>
  <sheetFormatPr defaultRowHeight="16.5" customHeight="1" x14ac:dyDescent="0.25"/>
  <cols>
    <col min="1" max="1" width="31.28515625" style="260" customWidth="1"/>
    <col min="2" max="2" width="8.5703125" style="260" customWidth="1"/>
    <col min="3" max="3" width="10.7109375" style="260" customWidth="1"/>
    <col min="4" max="4" width="3.7109375" style="260" customWidth="1"/>
    <col min="5" max="5" width="21.140625" style="260" customWidth="1"/>
    <col min="6" max="6" width="9.140625" style="260"/>
    <col min="7" max="7" width="10.7109375" style="260" customWidth="1"/>
    <col min="8" max="8" width="3.5703125" style="260" customWidth="1"/>
    <col min="9" max="9" width="14.7109375" style="261" customWidth="1"/>
    <col min="10" max="10" width="2.7109375" style="261" customWidth="1"/>
    <col min="11" max="11" width="20.28515625" style="261" customWidth="1"/>
    <col min="12" max="12" width="6.42578125" style="262" bestFit="1" customWidth="1"/>
    <col min="13" max="13" width="6.85546875" style="262" bestFit="1" customWidth="1"/>
    <col min="14" max="14" width="8.7109375" style="260" customWidth="1"/>
    <col min="15" max="16384" width="9.140625" style="260"/>
  </cols>
  <sheetData>
    <row r="1" spans="1:13" ht="16.5" customHeight="1" x14ac:dyDescent="0.25">
      <c r="A1" s="612" t="s">
        <v>0</v>
      </c>
      <c r="B1" s="612"/>
      <c r="C1" s="612"/>
      <c r="D1" s="612"/>
      <c r="E1" s="612"/>
      <c r="F1" s="612"/>
      <c r="G1" s="612"/>
    </row>
    <row r="2" spans="1:13" ht="16.5" customHeight="1" x14ac:dyDescent="0.25">
      <c r="A2" s="566" t="s">
        <v>201</v>
      </c>
      <c r="B2" s="566"/>
      <c r="C2" s="566" t="s">
        <v>122</v>
      </c>
      <c r="D2" s="566"/>
      <c r="E2" s="566"/>
      <c r="F2" s="566"/>
      <c r="G2" s="566"/>
      <c r="I2" s="618" t="s">
        <v>206</v>
      </c>
    </row>
    <row r="3" spans="1:13" ht="16.5" customHeight="1" x14ac:dyDescent="0.25">
      <c r="A3" s="615" t="s">
        <v>79</v>
      </c>
      <c r="B3" s="615"/>
      <c r="C3" s="615"/>
      <c r="D3" s="615"/>
      <c r="E3" s="615"/>
      <c r="F3" s="615"/>
      <c r="G3" s="615"/>
      <c r="I3" s="618"/>
      <c r="L3" s="263"/>
      <c r="M3" s="263"/>
    </row>
    <row r="4" spans="1:13" ht="16.5" customHeight="1" x14ac:dyDescent="0.25">
      <c r="A4" s="616" t="s">
        <v>138</v>
      </c>
      <c r="B4" s="616"/>
      <c r="C4" s="403">
        <v>0</v>
      </c>
      <c r="D4" s="404"/>
      <c r="E4" s="616" t="s">
        <v>83</v>
      </c>
      <c r="F4" s="616"/>
      <c r="G4" s="405">
        <v>2014</v>
      </c>
    </row>
    <row r="5" spans="1:13" ht="16.5" customHeight="1" x14ac:dyDescent="0.25">
      <c r="A5" s="616" t="s">
        <v>90</v>
      </c>
      <c r="B5" s="616"/>
      <c r="C5" s="403">
        <v>0</v>
      </c>
      <c r="D5" s="404"/>
      <c r="E5" s="616" t="s">
        <v>161</v>
      </c>
      <c r="F5" s="616"/>
      <c r="G5" s="405">
        <v>3</v>
      </c>
    </row>
    <row r="6" spans="1:13" ht="16.5" customHeight="1" x14ac:dyDescent="0.25">
      <c r="A6" s="616" t="s">
        <v>141</v>
      </c>
      <c r="B6" s="616"/>
      <c r="C6" s="403">
        <v>0</v>
      </c>
      <c r="D6" s="404"/>
      <c r="E6" s="617" t="s">
        <v>43</v>
      </c>
      <c r="F6" s="617"/>
      <c r="G6" s="406" t="s">
        <v>94</v>
      </c>
    </row>
    <row r="7" spans="1:13" ht="16.5" customHeight="1" x14ac:dyDescent="0.25">
      <c r="A7" s="617" t="s">
        <v>142</v>
      </c>
      <c r="B7" s="617"/>
      <c r="C7" s="617"/>
      <c r="D7" s="617"/>
      <c r="E7" s="617"/>
      <c r="F7" s="617"/>
      <c r="G7" s="617"/>
    </row>
    <row r="8" spans="1:13" s="264" customFormat="1" ht="16.5" customHeight="1" x14ac:dyDescent="0.25">
      <c r="A8" s="615" t="s">
        <v>86</v>
      </c>
      <c r="B8" s="615"/>
      <c r="C8" s="615"/>
      <c r="D8" s="407"/>
      <c r="E8" s="615" t="s">
        <v>87</v>
      </c>
      <c r="F8" s="615"/>
      <c r="G8" s="615"/>
      <c r="I8" s="265"/>
      <c r="J8" s="266"/>
      <c r="K8" s="266"/>
      <c r="L8" s="262"/>
      <c r="M8" s="262"/>
    </row>
    <row r="9" spans="1:13" ht="16.5" customHeight="1" x14ac:dyDescent="0.25">
      <c r="A9" s="408" t="s">
        <v>143</v>
      </c>
      <c r="B9" s="409"/>
      <c r="C9" s="398">
        <f ca="1">Database1!G18</f>
        <v>0</v>
      </c>
      <c r="D9" s="407"/>
      <c r="E9" s="408" t="s">
        <v>49</v>
      </c>
      <c r="F9" s="410"/>
      <c r="G9" s="398">
        <f>SUM(Database1!G19)</f>
        <v>2218</v>
      </c>
      <c r="I9" s="265"/>
      <c r="J9" s="266"/>
      <c r="K9" s="266"/>
      <c r="L9" s="267"/>
    </row>
    <row r="10" spans="1:13" ht="16.5" customHeight="1" x14ac:dyDescent="0.25">
      <c r="A10" s="408" t="s">
        <v>90</v>
      </c>
      <c r="B10" s="410"/>
      <c r="C10" s="398">
        <f>C5*0.04</f>
        <v>0</v>
      </c>
      <c r="D10" s="407"/>
      <c r="E10" s="408" t="s">
        <v>146</v>
      </c>
      <c r="F10" s="410"/>
      <c r="G10" s="398">
        <f>IF(C6&gt;0,60,0)</f>
        <v>0</v>
      </c>
      <c r="I10" s="265"/>
      <c r="J10" s="266"/>
      <c r="K10" s="266"/>
      <c r="L10" s="267"/>
    </row>
    <row r="11" spans="1:13" ht="16.5" customHeight="1" x14ac:dyDescent="0.25">
      <c r="A11" s="408" t="s">
        <v>60</v>
      </c>
      <c r="B11" s="410"/>
      <c r="C11" s="398">
        <f>IF(C6&gt;0,C6*4/100,0)</f>
        <v>0</v>
      </c>
      <c r="D11" s="407"/>
      <c r="E11" s="408" t="s">
        <v>162</v>
      </c>
      <c r="F11" s="410"/>
      <c r="G11" s="398">
        <f>G5*1061</f>
        <v>3183</v>
      </c>
      <c r="I11" s="265"/>
      <c r="J11" s="266"/>
      <c r="K11" s="266"/>
      <c r="L11" s="267"/>
    </row>
    <row r="12" spans="1:13" ht="16.5" customHeight="1" x14ac:dyDescent="0.25">
      <c r="A12" s="411" t="s">
        <v>95</v>
      </c>
      <c r="B12" s="412"/>
      <c r="C12" s="402">
        <f ca="1">SUM(C9:C11)</f>
        <v>0</v>
      </c>
      <c r="D12" s="407"/>
      <c r="E12" s="411" t="s">
        <v>147</v>
      </c>
      <c r="F12" s="412"/>
      <c r="G12" s="402">
        <f>SUM(G9:G11)</f>
        <v>5401</v>
      </c>
      <c r="I12" s="265"/>
      <c r="J12" s="266"/>
      <c r="K12" s="266"/>
      <c r="L12" s="267"/>
    </row>
    <row r="13" spans="1:13" ht="16.5" customHeight="1" x14ac:dyDescent="0.25">
      <c r="A13" s="408" t="s">
        <v>148</v>
      </c>
      <c r="B13" s="406" t="s">
        <v>91</v>
      </c>
      <c r="C13" s="398">
        <f ca="1">IF(B13="Yes",(C9+C10+C11)*0.15,0)</f>
        <v>0</v>
      </c>
      <c r="D13" s="407"/>
      <c r="E13" s="408" t="s">
        <v>129</v>
      </c>
      <c r="F13" s="406" t="s">
        <v>91</v>
      </c>
      <c r="G13" s="398">
        <f>IF(F13="Yes",50*F14,0)</f>
        <v>50</v>
      </c>
      <c r="I13" s="265"/>
      <c r="J13" s="266"/>
      <c r="K13" s="266"/>
      <c r="L13" s="267"/>
    </row>
    <row r="14" spans="1:13" ht="16.5" customHeight="1" x14ac:dyDescent="0.25">
      <c r="A14" s="408" t="s">
        <v>98</v>
      </c>
      <c r="B14" s="413" t="s">
        <v>37</v>
      </c>
      <c r="C14" s="398">
        <f>C4*A46/10</f>
        <v>0</v>
      </c>
      <c r="D14" s="407"/>
      <c r="E14" s="408" t="s">
        <v>163</v>
      </c>
      <c r="F14" s="406">
        <v>1</v>
      </c>
      <c r="G14" s="398"/>
      <c r="I14" s="265"/>
      <c r="J14" s="266"/>
      <c r="K14" s="266"/>
      <c r="L14" s="267"/>
    </row>
    <row r="15" spans="1:13" ht="16.5" customHeight="1" x14ac:dyDescent="0.25">
      <c r="A15" s="178" t="s">
        <v>150</v>
      </c>
      <c r="B15" s="210">
        <v>0.2</v>
      </c>
      <c r="C15" s="187">
        <f ca="1">(C12)*B15</f>
        <v>0</v>
      </c>
      <c r="D15" s="407"/>
      <c r="E15" s="408"/>
      <c r="F15" s="406"/>
      <c r="G15" s="398"/>
      <c r="I15" s="265"/>
      <c r="J15" s="266"/>
      <c r="K15" s="266"/>
      <c r="L15" s="267"/>
    </row>
    <row r="16" spans="1:13" ht="16.5" customHeight="1" x14ac:dyDescent="0.25">
      <c r="A16" s="408" t="s">
        <v>160</v>
      </c>
      <c r="B16" s="406" t="s">
        <v>37</v>
      </c>
      <c r="C16" s="398">
        <f>IF(B16="Yes",C12*0.3,0)</f>
        <v>0</v>
      </c>
      <c r="D16" s="407"/>
      <c r="E16" s="414" t="s">
        <v>128</v>
      </c>
      <c r="F16" s="406" t="s">
        <v>91</v>
      </c>
      <c r="G16" s="398">
        <f>IF(F16="Yes",100,0)</f>
        <v>100</v>
      </c>
      <c r="I16" s="265"/>
      <c r="J16" s="266"/>
      <c r="K16" s="266"/>
      <c r="L16" s="268"/>
    </row>
    <row r="17" spans="1:12" ht="16.5" customHeight="1" x14ac:dyDescent="0.25">
      <c r="A17" s="408" t="s">
        <v>132</v>
      </c>
      <c r="B17" s="406" t="s">
        <v>37</v>
      </c>
      <c r="C17" s="398">
        <f>IF(B17="Yes",50,0)</f>
        <v>0</v>
      </c>
      <c r="D17" s="407"/>
      <c r="E17" s="408" t="s">
        <v>99</v>
      </c>
      <c r="F17" s="410"/>
      <c r="G17" s="398"/>
      <c r="I17" s="265"/>
      <c r="J17" s="266"/>
      <c r="K17" s="266"/>
      <c r="L17" s="267"/>
    </row>
    <row r="18" spans="1:12" ht="16.5" customHeight="1" x14ac:dyDescent="0.25">
      <c r="A18" s="408" t="s">
        <v>99</v>
      </c>
      <c r="B18" s="408"/>
      <c r="C18" s="408"/>
      <c r="D18" s="407"/>
      <c r="E18" s="415"/>
      <c r="F18" s="416"/>
      <c r="G18" s="417"/>
      <c r="I18" s="265"/>
      <c r="J18" s="266"/>
      <c r="K18" s="266"/>
      <c r="L18" s="267"/>
    </row>
    <row r="19" spans="1:12" ht="16.5" customHeight="1" x14ac:dyDescent="0.25">
      <c r="A19" s="418" t="s">
        <v>135</v>
      </c>
      <c r="B19" s="419"/>
      <c r="C19" s="420">
        <f ca="1">SUM(C12:C17)</f>
        <v>0</v>
      </c>
      <c r="D19" s="407"/>
      <c r="E19" s="418" t="s">
        <v>153</v>
      </c>
      <c r="F19" s="419"/>
      <c r="G19" s="420">
        <f>SUM(G12,G13,G16,G17)</f>
        <v>5551</v>
      </c>
      <c r="I19" s="265"/>
      <c r="J19" s="266"/>
      <c r="K19" s="266"/>
      <c r="L19" s="267"/>
    </row>
    <row r="20" spans="1:12" ht="16.5" customHeight="1" x14ac:dyDescent="0.25">
      <c r="A20" s="408" t="s">
        <v>154</v>
      </c>
      <c r="B20" s="410"/>
      <c r="C20" s="398"/>
      <c r="D20" s="407"/>
      <c r="E20" s="408" t="s">
        <v>71</v>
      </c>
      <c r="F20" s="207">
        <v>750000</v>
      </c>
      <c r="G20" s="398">
        <f>IF(F20=750000,0,150)</f>
        <v>0</v>
      </c>
      <c r="I20" s="265"/>
      <c r="J20" s="266"/>
      <c r="K20" s="266"/>
      <c r="L20" s="267"/>
    </row>
    <row r="21" spans="1:12" ht="16.5" customHeight="1" x14ac:dyDescent="0.25">
      <c r="A21" s="408" t="s">
        <v>70</v>
      </c>
      <c r="B21" s="406" t="s">
        <v>37</v>
      </c>
      <c r="C21" s="398">
        <f>IF(B21="Yes",MIN(C19*0.025,500),0)</f>
        <v>0</v>
      </c>
      <c r="D21" s="407"/>
      <c r="E21" s="408"/>
      <c r="F21" s="408"/>
      <c r="G21" s="408"/>
      <c r="I21" s="265"/>
      <c r="J21" s="266"/>
      <c r="K21" s="266"/>
      <c r="L21" s="267"/>
    </row>
    <row r="22" spans="1:12" ht="16.5" customHeight="1" x14ac:dyDescent="0.25">
      <c r="A22" s="408" t="s">
        <v>65</v>
      </c>
      <c r="B22" s="406" t="s">
        <v>37</v>
      </c>
      <c r="C22" s="398">
        <f>IF(B22="Yes",MIN(C19*0.05,200),0)</f>
        <v>0</v>
      </c>
      <c r="D22" s="407"/>
      <c r="E22" s="408"/>
      <c r="F22" s="410"/>
      <c r="G22" s="398"/>
    </row>
    <row r="23" spans="1:12" ht="16.5" customHeight="1" x14ac:dyDescent="0.25">
      <c r="A23" s="408" t="s">
        <v>137</v>
      </c>
      <c r="B23" s="406" t="s">
        <v>37</v>
      </c>
      <c r="C23" s="398">
        <f>IF(B23="Yes",C19*(1/3),0)</f>
        <v>0</v>
      </c>
      <c r="D23" s="407"/>
      <c r="E23" s="408"/>
      <c r="F23" s="410"/>
      <c r="G23" s="398"/>
    </row>
    <row r="24" spans="1:12" ht="16.5" customHeight="1" x14ac:dyDescent="0.25">
      <c r="A24" s="421" t="s">
        <v>155</v>
      </c>
      <c r="B24" s="422"/>
      <c r="C24" s="423">
        <f ca="1">C19-SUM(C21:C23)</f>
        <v>0</v>
      </c>
      <c r="D24" s="407"/>
      <c r="E24" s="424"/>
      <c r="F24" s="422"/>
      <c r="G24" s="423"/>
    </row>
    <row r="25" spans="1:12" ht="16.5" customHeight="1" x14ac:dyDescent="0.25">
      <c r="A25" s="408" t="s">
        <v>76</v>
      </c>
      <c r="B25" s="425">
        <v>0.2</v>
      </c>
      <c r="C25" s="398">
        <f ca="1">(C24-C26-C27)*B25</f>
        <v>0</v>
      </c>
      <c r="D25" s="407"/>
      <c r="E25" s="426"/>
      <c r="F25" s="410"/>
      <c r="G25" s="398"/>
    </row>
    <row r="26" spans="1:12" ht="16.5" customHeight="1" x14ac:dyDescent="0.25">
      <c r="A26" s="408" t="s">
        <v>111</v>
      </c>
      <c r="B26" s="427">
        <v>0.5</v>
      </c>
      <c r="C26" s="398">
        <f ca="1">(C12+C13+C14)*B26</f>
        <v>0</v>
      </c>
      <c r="D26" s="407"/>
      <c r="E26" s="426"/>
      <c r="F26" s="410"/>
      <c r="G26" s="398"/>
    </row>
    <row r="27" spans="1:12" ht="16.5" customHeight="1" x14ac:dyDescent="0.25">
      <c r="A27" s="178" t="s">
        <v>214</v>
      </c>
      <c r="B27" s="427">
        <v>0.5</v>
      </c>
      <c r="C27" s="500">
        <f ca="1">C15*B27</f>
        <v>0</v>
      </c>
      <c r="D27" s="407"/>
      <c r="E27" s="426"/>
      <c r="F27" s="410"/>
      <c r="G27" s="398"/>
    </row>
    <row r="28" spans="1:12" ht="16.5" customHeight="1" x14ac:dyDescent="0.25">
      <c r="A28" s="615" t="s">
        <v>112</v>
      </c>
      <c r="B28" s="615"/>
      <c r="C28" s="401">
        <f ca="1">C24-C25-C26-C27</f>
        <v>0</v>
      </c>
      <c r="D28" s="407"/>
      <c r="E28" s="615" t="s">
        <v>113</v>
      </c>
      <c r="F28" s="615"/>
      <c r="G28" s="402">
        <f>G19-G20+G26</f>
        <v>5551</v>
      </c>
    </row>
    <row r="29" spans="1:12" ht="16.5" customHeight="1" x14ac:dyDescent="0.25">
      <c r="A29" s="265"/>
      <c r="B29" s="265"/>
      <c r="C29" s="269"/>
      <c r="D29" s="270"/>
      <c r="E29" s="265"/>
      <c r="F29" s="265"/>
      <c r="G29" s="271"/>
    </row>
    <row r="30" spans="1:12" ht="16.5" customHeight="1" x14ac:dyDescent="0.25">
      <c r="A30" s="272"/>
      <c r="B30" s="273"/>
      <c r="C30" s="272"/>
      <c r="D30" s="270"/>
      <c r="E30" s="274"/>
      <c r="F30" s="272"/>
      <c r="G30" s="275"/>
    </row>
    <row r="31" spans="1:12" ht="16.5" customHeight="1" x14ac:dyDescent="0.25">
      <c r="A31" s="539" t="s">
        <v>219</v>
      </c>
      <c r="B31" s="614" t="s">
        <v>116</v>
      </c>
      <c r="C31" s="614"/>
      <c r="D31" s="614"/>
      <c r="E31" s="394" t="s">
        <v>114</v>
      </c>
      <c r="F31" s="395" t="s">
        <v>115</v>
      </c>
      <c r="G31" s="396" t="s">
        <v>38</v>
      </c>
    </row>
    <row r="32" spans="1:12" ht="16.5" customHeight="1" x14ac:dyDescent="0.25">
      <c r="A32" s="539"/>
      <c r="B32" s="614"/>
      <c r="C32" s="614"/>
      <c r="D32" s="614"/>
      <c r="E32" s="397">
        <f ca="1">C28</f>
        <v>0</v>
      </c>
      <c r="F32" s="398">
        <f>G28</f>
        <v>5551</v>
      </c>
      <c r="G32" s="399">
        <f ca="1">SUM(E32:F32)</f>
        <v>5551</v>
      </c>
    </row>
    <row r="33" spans="1:13" ht="16.5" customHeight="1" x14ac:dyDescent="0.25">
      <c r="A33" s="539"/>
      <c r="B33" s="569" t="s">
        <v>227</v>
      </c>
      <c r="C33" s="570"/>
      <c r="D33" s="570"/>
      <c r="E33" s="400">
        <f ca="1">E32*HyperLink!B21</f>
        <v>0</v>
      </c>
      <c r="F33" s="400">
        <f>F32*HyperLink!B21</f>
        <v>999.18</v>
      </c>
      <c r="G33" s="400">
        <f ca="1">G32*HyperLink!B21</f>
        <v>999.18</v>
      </c>
    </row>
    <row r="34" spans="1:13" ht="16.5" customHeight="1" x14ac:dyDescent="0.25">
      <c r="A34" s="539"/>
      <c r="B34" s="615" t="s">
        <v>117</v>
      </c>
      <c r="C34" s="615"/>
      <c r="D34" s="615"/>
      <c r="E34" s="401">
        <f ca="1">SUM(E32:E33)</f>
        <v>0</v>
      </c>
      <c r="F34" s="401">
        <f>SUM(F32:F33)</f>
        <v>6550.18</v>
      </c>
      <c r="G34" s="402">
        <f ca="1">SUM(G32:G33)</f>
        <v>6550.18</v>
      </c>
    </row>
    <row r="35" spans="1:13" s="277" customFormat="1" ht="16.5" customHeight="1" x14ac:dyDescent="0.25">
      <c r="A35" s="260"/>
      <c r="B35" s="260"/>
      <c r="C35" s="260"/>
      <c r="D35" s="260"/>
      <c r="E35" s="260"/>
      <c r="F35" s="260"/>
      <c r="G35" s="276"/>
      <c r="I35" s="278"/>
      <c r="J35" s="278"/>
      <c r="K35" s="278"/>
      <c r="L35" s="262"/>
      <c r="M35" s="262"/>
    </row>
    <row r="36" spans="1:13" s="277" customFormat="1" ht="16.5" customHeight="1" x14ac:dyDescent="0.25">
      <c r="A36" s="260"/>
      <c r="B36" s="260"/>
      <c r="C36" s="260"/>
      <c r="E36" s="279"/>
      <c r="F36" s="260"/>
      <c r="G36" s="260"/>
      <c r="I36" s="278"/>
      <c r="J36" s="278"/>
      <c r="K36" s="278"/>
      <c r="L36" s="262"/>
      <c r="M36" s="262"/>
    </row>
    <row r="43" spans="1:13" ht="15.75" x14ac:dyDescent="0.25"/>
    <row r="44" spans="1:13" ht="15.75" x14ac:dyDescent="0.25"/>
    <row r="45" spans="1:13" ht="15.75" hidden="1" x14ac:dyDescent="0.25">
      <c r="A45" s="280" t="s">
        <v>57</v>
      </c>
      <c r="B45" s="280" t="s">
        <v>122</v>
      </c>
    </row>
    <row r="46" spans="1:13" ht="15.75" hidden="1" x14ac:dyDescent="0.25">
      <c r="A46" s="280" t="b">
        <f>IF(B14="Yes",IF(B46=0,4.5%,IF(B46=1,5.5%,IF(B46=2,7%,0))))</f>
        <v>0</v>
      </c>
      <c r="B46" s="281">
        <f ca="1">YEAR(TODAY())-(G4)</f>
        <v>3</v>
      </c>
    </row>
  </sheetData>
  <sheetProtection password="CEED" sheet="1"/>
  <mergeCells count="20">
    <mergeCell ref="A1:G1"/>
    <mergeCell ref="A2:G2"/>
    <mergeCell ref="I2:I3"/>
    <mergeCell ref="A3:G3"/>
    <mergeCell ref="A4:B4"/>
    <mergeCell ref="E4:F4"/>
    <mergeCell ref="E8:G8"/>
    <mergeCell ref="A28:B28"/>
    <mergeCell ref="E28:F28"/>
    <mergeCell ref="B31:D31"/>
    <mergeCell ref="A5:B5"/>
    <mergeCell ref="E5:F5"/>
    <mergeCell ref="A6:B6"/>
    <mergeCell ref="E6:F6"/>
    <mergeCell ref="A7:G7"/>
    <mergeCell ref="B32:D32"/>
    <mergeCell ref="B33:D33"/>
    <mergeCell ref="B34:D34"/>
    <mergeCell ref="A31:A34"/>
    <mergeCell ref="A8:C8"/>
  </mergeCells>
  <dataValidations count="6">
    <dataValidation type="list" allowBlank="1" showErrorMessage="1" sqref="F20">
      <formula1>"750000,6000"</formula1>
      <formula2>0</formula2>
    </dataValidation>
    <dataValidation type="list" allowBlank="1" showErrorMessage="1" sqref="B11 B21:B23 F16 B16:B17 F13 B13:B14">
      <formula1>"Yes,No"</formula1>
      <formula2>0</formula2>
    </dataValidation>
    <dataValidation type="list" allowBlank="1" showErrorMessage="1" sqref="B25">
      <formula1>"0%,20%,25%,35%,45%,50%,"</formula1>
      <formula2>0</formula2>
    </dataValidation>
    <dataValidation type="list" allowBlank="1" showErrorMessage="1" sqref="G6">
      <formula1>"A,B,C"</formula1>
      <formula2>0</formula2>
    </dataValidation>
    <dataValidation type="list" allowBlank="1" showErrorMessage="1" sqref="B15">
      <formula1>"0,20%,25%,40%"</formula1>
    </dataValidation>
    <dataValidation allowBlank="1" showErrorMessage="1" sqref="B27">
      <formula1>0</formula1>
      <formula2>0</formula2>
    </dataValidation>
  </dataValidations>
  <hyperlinks>
    <hyperlink ref="I2:I3" location="HyperLink!A1" display="BACK  "/>
  </hyperlinks>
  <pageMargins left="0.74791666666666667" right="0.27013888888888887" top="0.98402777777777772" bottom="0.98402777777777772" header="0.51180555555555551" footer="0.51180555555555551"/>
  <pageSetup firstPageNumber="0" orientation="portrait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46"/>
  <sheetViews>
    <sheetView topLeftCell="A7" zoomScale="85" zoomScaleNormal="85" workbookViewId="0">
      <selection activeCell="B37" sqref="B37:D37"/>
    </sheetView>
  </sheetViews>
  <sheetFormatPr defaultRowHeight="14.25" customHeight="1" x14ac:dyDescent="0.2"/>
  <cols>
    <col min="1" max="1" width="27.85546875" style="86" customWidth="1"/>
    <col min="2" max="2" width="8.42578125" style="86" customWidth="1"/>
    <col min="3" max="3" width="11.7109375" style="86" customWidth="1"/>
    <col min="4" max="4" width="2.28515625" style="86" customWidth="1"/>
    <col min="5" max="5" width="23.7109375" style="86" customWidth="1"/>
    <col min="6" max="6" width="11.140625" style="86" customWidth="1"/>
    <col min="7" max="7" width="11.7109375" style="86" customWidth="1"/>
    <col min="8" max="8" width="2.5703125" style="86" customWidth="1"/>
    <col min="9" max="9" width="5.7109375" style="86" customWidth="1"/>
    <col min="10" max="10" width="7.5703125" style="86" customWidth="1"/>
    <col min="11" max="11" width="4" style="86" customWidth="1"/>
    <col min="12" max="12" width="19.85546875" style="86" customWidth="1"/>
    <col min="13" max="16384" width="9.140625" style="86"/>
  </cols>
  <sheetData>
    <row r="1" spans="1:12" ht="14.25" customHeight="1" x14ac:dyDescent="0.25">
      <c r="A1" s="620" t="s">
        <v>0</v>
      </c>
      <c r="B1" s="620"/>
      <c r="C1" s="620"/>
      <c r="D1" s="620"/>
      <c r="E1" s="620"/>
      <c r="F1" s="620"/>
      <c r="G1" s="620"/>
    </row>
    <row r="2" spans="1:12" ht="14.25" customHeight="1" x14ac:dyDescent="0.25">
      <c r="A2" s="621" t="s">
        <v>205</v>
      </c>
      <c r="B2" s="621"/>
      <c r="C2" s="621"/>
      <c r="D2" s="621"/>
      <c r="E2" s="621"/>
      <c r="F2" s="621"/>
      <c r="G2" s="621"/>
      <c r="I2" s="627" t="s">
        <v>29</v>
      </c>
      <c r="J2" s="627"/>
    </row>
    <row r="3" spans="1:12" ht="14.25" customHeight="1" x14ac:dyDescent="0.25">
      <c r="A3" s="619" t="s">
        <v>79</v>
      </c>
      <c r="B3" s="619"/>
      <c r="C3" s="619"/>
      <c r="D3" s="619"/>
      <c r="E3" s="619"/>
      <c r="F3" s="619"/>
      <c r="G3" s="619"/>
      <c r="I3" s="627"/>
      <c r="J3" s="627"/>
    </row>
    <row r="4" spans="1:12" ht="14.25" customHeight="1" x14ac:dyDescent="0.2">
      <c r="A4" s="590" t="s">
        <v>80</v>
      </c>
      <c r="B4" s="590"/>
      <c r="C4" s="223">
        <v>500000</v>
      </c>
      <c r="D4" s="590"/>
      <c r="E4" s="590" t="s">
        <v>83</v>
      </c>
      <c r="F4" s="590"/>
      <c r="G4" s="225">
        <v>2014</v>
      </c>
    </row>
    <row r="5" spans="1:12" ht="14.25" customHeight="1" x14ac:dyDescent="0.2">
      <c r="A5" s="590" t="s">
        <v>81</v>
      </c>
      <c r="B5" s="590"/>
      <c r="C5" s="223">
        <v>0</v>
      </c>
      <c r="D5" s="590"/>
      <c r="E5" s="602" t="s">
        <v>43</v>
      </c>
      <c r="F5" s="602"/>
      <c r="G5" s="182" t="s">
        <v>54</v>
      </c>
    </row>
    <row r="6" spans="1:12" ht="14.25" customHeight="1" x14ac:dyDescent="0.2">
      <c r="A6" s="590" t="s">
        <v>82</v>
      </c>
      <c r="B6" s="590"/>
      <c r="C6" s="223">
        <v>0</v>
      </c>
      <c r="D6" s="590"/>
      <c r="E6" s="590" t="s">
        <v>124</v>
      </c>
      <c r="F6" s="590"/>
      <c r="G6" s="182">
        <v>800</v>
      </c>
    </row>
    <row r="7" spans="1:12" ht="14.25" customHeight="1" x14ac:dyDescent="0.2">
      <c r="A7" s="590" t="s">
        <v>61</v>
      </c>
      <c r="B7" s="590"/>
      <c r="C7" s="223">
        <v>0</v>
      </c>
      <c r="D7" s="590"/>
      <c r="E7" s="378"/>
      <c r="F7" s="378"/>
      <c r="G7" s="378"/>
    </row>
    <row r="8" spans="1:12" ht="14.25" customHeight="1" x14ac:dyDescent="0.2">
      <c r="A8" s="623" t="s">
        <v>142</v>
      </c>
      <c r="B8" s="623"/>
      <c r="C8" s="623"/>
      <c r="D8" s="623"/>
      <c r="E8" s="623"/>
      <c r="F8" s="623"/>
      <c r="G8" s="623"/>
    </row>
    <row r="9" spans="1:12" s="93" customFormat="1" ht="14.25" customHeight="1" x14ac:dyDescent="0.25">
      <c r="A9" s="619" t="s">
        <v>86</v>
      </c>
      <c r="B9" s="619"/>
      <c r="C9" s="619"/>
      <c r="D9" s="624"/>
      <c r="E9" s="619" t="s">
        <v>87</v>
      </c>
      <c r="F9" s="619"/>
      <c r="G9" s="619"/>
      <c r="J9" s="86"/>
      <c r="K9" s="86"/>
      <c r="L9" s="86"/>
    </row>
    <row r="10" spans="1:12" ht="14.25" customHeight="1" x14ac:dyDescent="0.2">
      <c r="A10" s="379" t="s">
        <v>143</v>
      </c>
      <c r="B10" s="380"/>
      <c r="C10" s="381">
        <f ca="1">+C4*PCCVCAL!B8/100</f>
        <v>15955</v>
      </c>
      <c r="D10" s="624"/>
      <c r="E10" s="379" t="s">
        <v>49</v>
      </c>
      <c r="F10" s="380"/>
      <c r="G10" s="381">
        <f ca="1">PCCVCAL!B11</f>
        <v>6396</v>
      </c>
    </row>
    <row r="11" spans="1:12" ht="14.25" customHeight="1" x14ac:dyDescent="0.2">
      <c r="A11" s="224" t="s">
        <v>90</v>
      </c>
      <c r="B11" s="226"/>
      <c r="C11" s="183">
        <f>4%*C5</f>
        <v>0</v>
      </c>
      <c r="D11" s="624"/>
      <c r="E11" s="224" t="s">
        <v>61</v>
      </c>
      <c r="F11" s="226"/>
      <c r="G11" s="183">
        <f>IF(B17="Yes",125,0)</f>
        <v>0</v>
      </c>
    </row>
    <row r="12" spans="1:12" ht="14.25" customHeight="1" x14ac:dyDescent="0.2">
      <c r="A12" s="379" t="s">
        <v>146</v>
      </c>
      <c r="B12" s="380"/>
      <c r="C12" s="381">
        <f>IF(C6&gt;0,4%*C6,0)</f>
        <v>0</v>
      </c>
      <c r="D12" s="624"/>
      <c r="E12" s="379" t="s">
        <v>146</v>
      </c>
      <c r="F12" s="380"/>
      <c r="G12" s="381">
        <f>IF(C6&gt;0,60,0)</f>
        <v>0</v>
      </c>
    </row>
    <row r="13" spans="1:12" s="92" customFormat="1" ht="13.5" customHeight="1" x14ac:dyDescent="0.25">
      <c r="A13" s="382" t="s">
        <v>95</v>
      </c>
      <c r="B13" s="383"/>
      <c r="C13" s="244">
        <f ca="1">SUM(C10+C11+C12)</f>
        <v>15955</v>
      </c>
      <c r="D13" s="624"/>
      <c r="E13" s="382" t="s">
        <v>96</v>
      </c>
      <c r="F13" s="383"/>
      <c r="G13" s="244">
        <f ca="1">SUM(G10:G12)</f>
        <v>6396</v>
      </c>
      <c r="J13" s="86"/>
      <c r="K13" s="86"/>
      <c r="L13" s="86"/>
    </row>
    <row r="14" spans="1:12" ht="14.25" customHeight="1" x14ac:dyDescent="0.2">
      <c r="A14" s="384" t="s">
        <v>150</v>
      </c>
      <c r="B14" s="210">
        <v>0.4</v>
      </c>
      <c r="C14" s="386">
        <f ca="1">SUM((C13+C17+C21+C19)*B14)</f>
        <v>6382</v>
      </c>
      <c r="D14" s="624"/>
      <c r="E14" s="224" t="s">
        <v>164</v>
      </c>
      <c r="F14" s="182" t="s">
        <v>91</v>
      </c>
      <c r="G14" s="183">
        <f>IF(F14="Yes",100,0)</f>
        <v>100</v>
      </c>
    </row>
    <row r="15" spans="1:12" ht="14.25" customHeight="1" x14ac:dyDescent="0.2">
      <c r="A15" s="178"/>
      <c r="B15" s="207"/>
      <c r="C15" s="387"/>
      <c r="D15" s="624"/>
      <c r="E15" s="224" t="s">
        <v>131</v>
      </c>
      <c r="F15" s="182">
        <v>4</v>
      </c>
      <c r="G15" s="388">
        <f>IF(G6&lt;=1000,"1230",IF(G6&lt;=1500,"1035",IF(G6&gt;=1500,"1183")))*F15</f>
        <v>4920</v>
      </c>
    </row>
    <row r="16" spans="1:12" ht="14.25" customHeight="1" x14ac:dyDescent="0.2">
      <c r="A16" s="178" t="s">
        <v>98</v>
      </c>
      <c r="B16" s="177" t="s">
        <v>37</v>
      </c>
      <c r="C16" s="187">
        <f>C4*A45/10</f>
        <v>0</v>
      </c>
      <c r="D16" s="624"/>
      <c r="E16" s="232" t="str">
        <f>IF(F15="Yes","No of Seats/Limit Per Person","")</f>
        <v/>
      </c>
      <c r="F16" s="226"/>
      <c r="G16" s="389"/>
    </row>
    <row r="17" spans="1:7" ht="14.25" customHeight="1" x14ac:dyDescent="0.2">
      <c r="A17" s="224" t="s">
        <v>61</v>
      </c>
      <c r="B17" s="182" t="s">
        <v>37</v>
      </c>
      <c r="C17" s="183">
        <f>IF(B17="Yes",50+(0.5%*C7),0)</f>
        <v>0</v>
      </c>
      <c r="D17" s="624"/>
      <c r="E17" s="224" t="s">
        <v>129</v>
      </c>
      <c r="F17" s="182" t="s">
        <v>91</v>
      </c>
      <c r="G17" s="183">
        <f>IF(F17="Yes",50*F18,0)</f>
        <v>50</v>
      </c>
    </row>
    <row r="18" spans="1:7" ht="14.25" customHeight="1" x14ac:dyDescent="0.2">
      <c r="A18" s="224" t="s">
        <v>160</v>
      </c>
      <c r="B18" s="182" t="s">
        <v>37</v>
      </c>
      <c r="C18" s="183">
        <f>IF(B18="yes",30%*C13,0)</f>
        <v>0</v>
      </c>
      <c r="D18" s="624"/>
      <c r="E18" s="232" t="str">
        <f>IF(F17="Yes","No of Driver/Employees","")</f>
        <v>No of Driver/Employees</v>
      </c>
      <c r="F18" s="182">
        <v>1</v>
      </c>
      <c r="G18" s="390"/>
    </row>
    <row r="19" spans="1:7" ht="14.25" customHeight="1" x14ac:dyDescent="0.2">
      <c r="A19" s="224" t="s">
        <v>132</v>
      </c>
      <c r="B19" s="182" t="s">
        <v>37</v>
      </c>
      <c r="C19" s="183">
        <f>IF(B19="Yes",50,0)</f>
        <v>0</v>
      </c>
      <c r="D19" s="624"/>
      <c r="E19" s="224" t="s">
        <v>99</v>
      </c>
      <c r="F19" s="226"/>
      <c r="G19" s="183">
        <f>IF(B20="Yes",500,0)</f>
        <v>0</v>
      </c>
    </row>
    <row r="20" spans="1:7" ht="14.25" customHeight="1" x14ac:dyDescent="0.2">
      <c r="A20" s="224" t="s">
        <v>133</v>
      </c>
      <c r="B20" s="182" t="s">
        <v>37</v>
      </c>
      <c r="C20" s="183">
        <f>IF(B20="Yes",60%*C13,0)</f>
        <v>0</v>
      </c>
      <c r="D20" s="624"/>
      <c r="E20" s="224"/>
      <c r="F20" s="226"/>
      <c r="G20" s="183"/>
    </row>
    <row r="21" spans="1:7" ht="14.25" customHeight="1" x14ac:dyDescent="0.2">
      <c r="A21" s="224" t="s">
        <v>99</v>
      </c>
      <c r="B21" s="182" t="s">
        <v>37</v>
      </c>
      <c r="C21" s="183">
        <f>IF(B21="Yes",400,0)</f>
        <v>0</v>
      </c>
      <c r="D21" s="624"/>
      <c r="E21" s="224"/>
      <c r="F21" s="224"/>
      <c r="G21" s="224"/>
    </row>
    <row r="22" spans="1:7" ht="14.25" customHeight="1" x14ac:dyDescent="0.25">
      <c r="A22" s="382" t="s">
        <v>104</v>
      </c>
      <c r="B22" s="380"/>
      <c r="C22" s="381">
        <f ca="1">SUM(C13:C20)</f>
        <v>22337</v>
      </c>
      <c r="D22" s="624"/>
      <c r="E22" s="382" t="s">
        <v>105</v>
      </c>
      <c r="F22" s="380"/>
      <c r="G22" s="381">
        <f ca="1">SUM(G13:G15)+G17+G19+G20</f>
        <v>11466</v>
      </c>
    </row>
    <row r="23" spans="1:7" ht="14.25" customHeight="1" x14ac:dyDescent="0.2">
      <c r="A23" s="245" t="s">
        <v>154</v>
      </c>
      <c r="B23" s="226"/>
      <c r="C23" s="183"/>
      <c r="D23" s="624"/>
      <c r="E23" s="224" t="s">
        <v>71</v>
      </c>
      <c r="F23" s="391">
        <v>750000</v>
      </c>
      <c r="G23" s="183">
        <f>IF(F23=750000,0,100)</f>
        <v>0</v>
      </c>
    </row>
    <row r="24" spans="1:7" ht="14.25" customHeight="1" x14ac:dyDescent="0.2">
      <c r="A24" s="224" t="s">
        <v>70</v>
      </c>
      <c r="B24" s="182" t="s">
        <v>37</v>
      </c>
      <c r="C24" s="183">
        <f>IF(B24="Yes",MIN(500,2.5%*C13),0)</f>
        <v>0</v>
      </c>
      <c r="D24" s="624"/>
      <c r="E24" s="224"/>
      <c r="F24" s="226"/>
      <c r="G24" s="183"/>
    </row>
    <row r="25" spans="1:7" ht="14.25" customHeight="1" x14ac:dyDescent="0.2">
      <c r="A25" s="224" t="s">
        <v>72</v>
      </c>
      <c r="B25" s="182" t="s">
        <v>37</v>
      </c>
      <c r="C25" s="183">
        <f>IF(B25="Yes",50%*C13,0)</f>
        <v>0</v>
      </c>
      <c r="D25" s="624"/>
      <c r="E25" s="224"/>
      <c r="F25" s="226"/>
      <c r="G25" s="183"/>
    </row>
    <row r="26" spans="1:7" ht="14.25" customHeight="1" x14ac:dyDescent="0.2">
      <c r="A26" s="224" t="s">
        <v>65</v>
      </c>
      <c r="B26" s="182" t="s">
        <v>37</v>
      </c>
      <c r="C26" s="183">
        <f>IF(B26="Yes",MIN(200,5%*C13),0)</f>
        <v>0</v>
      </c>
      <c r="D26" s="624"/>
      <c r="E26" s="224"/>
      <c r="F26" s="226"/>
      <c r="G26" s="183"/>
    </row>
    <row r="27" spans="1:7" ht="14.25" customHeight="1" x14ac:dyDescent="0.2">
      <c r="A27" s="224" t="s">
        <v>137</v>
      </c>
      <c r="B27" s="182" t="s">
        <v>37</v>
      </c>
      <c r="C27" s="183">
        <f>IF(B27="Yes",33.33%*C13,0)</f>
        <v>0</v>
      </c>
      <c r="D27" s="624"/>
      <c r="E27" s="224"/>
      <c r="F27" s="226"/>
      <c r="G27" s="183"/>
    </row>
    <row r="28" spans="1:7" ht="14.25" customHeight="1" x14ac:dyDescent="0.2">
      <c r="A28" s="224" t="s">
        <v>107</v>
      </c>
      <c r="B28" s="392">
        <v>0</v>
      </c>
      <c r="C28" s="183">
        <f>VLOOKUP(B28,PCCVT!I19:J23,2)</f>
        <v>0</v>
      </c>
      <c r="D28" s="624"/>
      <c r="E28" s="224"/>
      <c r="F28" s="226"/>
      <c r="G28" s="183"/>
    </row>
    <row r="29" spans="1:7" ht="14.25" customHeight="1" x14ac:dyDescent="0.25">
      <c r="A29" s="382" t="s">
        <v>108</v>
      </c>
      <c r="B29" s="380"/>
      <c r="C29" s="381">
        <f ca="1">C22-SUM(C24:C28)</f>
        <v>22337</v>
      </c>
      <c r="D29" s="624"/>
      <c r="E29" s="379"/>
      <c r="F29" s="379"/>
      <c r="G29" s="379"/>
    </row>
    <row r="30" spans="1:7" ht="14.25" customHeight="1" x14ac:dyDescent="0.25">
      <c r="A30" s="224" t="s">
        <v>76</v>
      </c>
      <c r="B30" s="501">
        <v>0</v>
      </c>
      <c r="C30" s="388">
        <f ca="1">(C22-C31)*B30</f>
        <v>0</v>
      </c>
      <c r="D30" s="624"/>
      <c r="E30" s="233"/>
      <c r="F30" s="226"/>
      <c r="G30" s="183"/>
    </row>
    <row r="31" spans="1:7" ht="14.25" customHeight="1" x14ac:dyDescent="0.25">
      <c r="A31" s="178" t="s">
        <v>111</v>
      </c>
      <c r="B31" s="502">
        <v>0</v>
      </c>
      <c r="C31" s="388">
        <f ca="1">C13*B31</f>
        <v>0</v>
      </c>
      <c r="D31" s="624"/>
      <c r="E31" s="233"/>
      <c r="F31" s="226"/>
      <c r="G31" s="183"/>
    </row>
    <row r="32" spans="1:7" ht="14.25" customHeight="1" x14ac:dyDescent="0.25">
      <c r="A32" s="619" t="s">
        <v>112</v>
      </c>
      <c r="B32" s="619"/>
      <c r="C32" s="393">
        <f ca="1">C29-C30-C31</f>
        <v>22337</v>
      </c>
      <c r="D32" s="624"/>
      <c r="E32" s="619" t="s">
        <v>113</v>
      </c>
      <c r="F32" s="619"/>
      <c r="G32" s="381">
        <f ca="1">G22-G23</f>
        <v>11466</v>
      </c>
    </row>
    <row r="33" spans="1:7" ht="14.25" customHeight="1" x14ac:dyDescent="0.25">
      <c r="A33" s="98"/>
      <c r="B33" s="98"/>
      <c r="C33" s="98"/>
      <c r="D33" s="98"/>
      <c r="E33" s="98"/>
      <c r="F33" s="98"/>
      <c r="G33" s="283"/>
    </row>
    <row r="34" spans="1:7" ht="14.25" customHeight="1" x14ac:dyDescent="0.25">
      <c r="A34" s="98"/>
      <c r="B34" s="98"/>
      <c r="C34" s="98"/>
      <c r="D34" s="98"/>
      <c r="E34" s="98"/>
      <c r="F34" s="98"/>
      <c r="G34" s="283"/>
    </row>
    <row r="35" spans="1:7" ht="14.25" customHeight="1" x14ac:dyDescent="0.25">
      <c r="A35" s="539" t="s">
        <v>219</v>
      </c>
      <c r="B35" s="625" t="s">
        <v>116</v>
      </c>
      <c r="C35" s="625"/>
      <c r="D35" s="625"/>
      <c r="E35" s="284" t="s">
        <v>114</v>
      </c>
      <c r="F35" s="102" t="s">
        <v>115</v>
      </c>
      <c r="G35" s="103" t="s">
        <v>38</v>
      </c>
    </row>
    <row r="36" spans="1:7" ht="14.25" customHeight="1" x14ac:dyDescent="0.25">
      <c r="A36" s="539"/>
      <c r="B36" s="626"/>
      <c r="C36" s="626"/>
      <c r="D36" s="626"/>
      <c r="E36" s="105">
        <f ca="1">C32</f>
        <v>22337</v>
      </c>
      <c r="F36" s="95">
        <f ca="1">G32</f>
        <v>11466</v>
      </c>
      <c r="G36" s="106">
        <f ca="1">SUM(E36:F36)</f>
        <v>33803</v>
      </c>
    </row>
    <row r="37" spans="1:7" ht="14.25" customHeight="1" x14ac:dyDescent="0.25">
      <c r="A37" s="539"/>
      <c r="B37" s="569" t="s">
        <v>227</v>
      </c>
      <c r="C37" s="570"/>
      <c r="D37" s="570"/>
      <c r="E37" s="108">
        <f ca="1">E36*HyperLink!B21</f>
        <v>4020.66</v>
      </c>
      <c r="F37" s="108">
        <f ca="1">F36*HyperLink!B21</f>
        <v>2063.88</v>
      </c>
      <c r="G37" s="108">
        <f ca="1">G36*HyperLink!B21</f>
        <v>6084.54</v>
      </c>
    </row>
    <row r="38" spans="1:7" ht="14.25" customHeight="1" x14ac:dyDescent="0.25">
      <c r="A38" s="539"/>
      <c r="B38" s="622" t="s">
        <v>117</v>
      </c>
      <c r="C38" s="622"/>
      <c r="D38" s="622"/>
      <c r="E38" s="109">
        <f ca="1">SUM(E36:E37)</f>
        <v>26357.66</v>
      </c>
      <c r="F38" s="109">
        <f ca="1">SUM(F36:F37)</f>
        <v>13529.880000000001</v>
      </c>
      <c r="G38" s="110">
        <f ca="1">SUM(G36:G37)</f>
        <v>39887.54</v>
      </c>
    </row>
    <row r="39" spans="1:7" s="97" customFormat="1" ht="14.25" customHeight="1" x14ac:dyDescent="0.2">
      <c r="A39" s="86"/>
      <c r="B39" s="86"/>
      <c r="C39" s="86"/>
      <c r="E39" s="86"/>
      <c r="F39" s="86"/>
      <c r="G39" s="86"/>
    </row>
    <row r="40" spans="1:7" s="97" customFormat="1" ht="14.25" customHeight="1" x14ac:dyDescent="0.2">
      <c r="A40" s="86"/>
      <c r="B40" s="86"/>
      <c r="C40" s="86"/>
      <c r="E40" s="86"/>
      <c r="F40" s="86"/>
      <c r="G40" s="86"/>
    </row>
    <row r="44" spans="1:7" ht="14.25" hidden="1" customHeight="1" x14ac:dyDescent="0.2">
      <c r="A44" s="114" t="s">
        <v>57</v>
      </c>
      <c r="B44" s="114" t="s">
        <v>122</v>
      </c>
    </row>
    <row r="45" spans="1:7" ht="14.25" hidden="1" customHeight="1" x14ac:dyDescent="0.2">
      <c r="A45" s="114" t="b">
        <f>IF(B16="Yes",IF(B45=0,4.5%,IF(B45=1,5.5%,IF(B45=2,7%,0))))</f>
        <v>0</v>
      </c>
      <c r="B45" s="116">
        <f ca="1">YEAR(TODAY())-(G4)</f>
        <v>3</v>
      </c>
    </row>
    <row r="46" spans="1:7" ht="14.25" hidden="1" customHeight="1" x14ac:dyDescent="0.2"/>
  </sheetData>
  <sheetProtection password="CEED" sheet="1"/>
  <mergeCells count="23">
    <mergeCell ref="I2:J3"/>
    <mergeCell ref="A3:G3"/>
    <mergeCell ref="A4:B4"/>
    <mergeCell ref="D4:D7"/>
    <mergeCell ref="E4:F4"/>
    <mergeCell ref="A5:B5"/>
    <mergeCell ref="E5:F5"/>
    <mergeCell ref="B37:D37"/>
    <mergeCell ref="A32:B32"/>
    <mergeCell ref="E32:F32"/>
    <mergeCell ref="A1:G1"/>
    <mergeCell ref="A2:G2"/>
    <mergeCell ref="A35:A38"/>
    <mergeCell ref="B38:D38"/>
    <mergeCell ref="E6:F6"/>
    <mergeCell ref="A7:B7"/>
    <mergeCell ref="A8:G8"/>
    <mergeCell ref="A9:C9"/>
    <mergeCell ref="D9:D32"/>
    <mergeCell ref="E9:G9"/>
    <mergeCell ref="A6:B6"/>
    <mergeCell ref="B35:D35"/>
    <mergeCell ref="B36:D36"/>
  </mergeCells>
  <dataValidations count="7">
    <dataValidation type="list" allowBlank="1" showErrorMessage="1" sqref="F23">
      <formula1>"6000,750000"</formula1>
      <formula2>0</formula2>
    </dataValidation>
    <dataValidation type="list" allowBlank="1" showErrorMessage="1" sqref="B6 B24:B27 F17 B15:B21 F14">
      <formula1>"Yes,No"</formula1>
      <formula2>0</formula2>
    </dataValidation>
    <dataValidation type="list" allowBlank="1" showErrorMessage="1" sqref="B28">
      <formula1>"0,2500,5000,7500,15000"</formula1>
      <formula2>0</formula2>
    </dataValidation>
    <dataValidation type="list" allowBlank="1" showErrorMessage="1" sqref="B30">
      <formula1>"65%,50%,45%,35%,25%,20%,5%,0%"</formula1>
      <formula2>0</formula2>
    </dataValidation>
    <dataValidation type="list" allowBlank="1" showErrorMessage="1" sqref="B14">
      <formula1>"0%,20%,25%,40%"</formula1>
    </dataValidation>
    <dataValidation type="list" allowBlank="1" showErrorMessage="1" sqref="G5">
      <formula1>"A,B"</formula1>
      <formula2>0</formula2>
    </dataValidation>
    <dataValidation type="list" allowBlank="1" showErrorMessage="1" sqref="F15">
      <formula1>"1,2,3,4,5,6"</formula1>
      <formula2>0</formula2>
    </dataValidation>
  </dataValidations>
  <hyperlinks>
    <hyperlink ref="I2" location="HyperLink!A1" display="BACK"/>
  </hyperlinks>
  <pageMargins left="0.45" right="0.27013888888888887" top="0.98402777777777772" bottom="0.98402777777777772" header="0.51180555555555551" footer="0.51180555555555551"/>
  <pageSetup paperSize="9" firstPageNumber="0" orientation="portrait" horizontalDpi="300" verticalDpi="300"/>
  <headerFooter alignWithMargins="0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3"/>
  <sheetViews>
    <sheetView topLeftCell="A15" workbookViewId="0">
      <selection activeCell="B31" sqref="B31:D31"/>
    </sheetView>
  </sheetViews>
  <sheetFormatPr defaultRowHeight="13.5" customHeight="1" x14ac:dyDescent="0.2"/>
  <cols>
    <col min="1" max="1" width="27.140625" style="337" customWidth="1"/>
    <col min="2" max="2" width="7.42578125" style="337" customWidth="1"/>
    <col min="3" max="3" width="11.85546875" style="337" customWidth="1"/>
    <col min="4" max="4" width="3.42578125" style="337" customWidth="1"/>
    <col min="5" max="5" width="19.5703125" style="337" customWidth="1"/>
    <col min="6" max="6" width="8.5703125" style="337" customWidth="1"/>
    <col min="7" max="7" width="11.5703125" style="337" customWidth="1"/>
    <col min="8" max="8" width="4.42578125" style="337" customWidth="1"/>
    <col min="9" max="10" width="6.7109375" style="337" customWidth="1"/>
    <col min="11" max="11" width="5.5703125" style="338" hidden="1" customWidth="1"/>
    <col min="12" max="12" width="16.28515625" style="338" hidden="1" customWidth="1"/>
    <col min="13" max="16384" width="9.140625" style="337"/>
  </cols>
  <sheetData>
    <row r="1" spans="1:256" ht="13.5" customHeight="1" x14ac:dyDescent="0.2">
      <c r="A1" s="634" t="s">
        <v>0</v>
      </c>
      <c r="B1" s="634"/>
      <c r="C1" s="634"/>
      <c r="D1" s="634"/>
      <c r="E1" s="634"/>
      <c r="F1" s="634"/>
      <c r="G1" s="634"/>
    </row>
    <row r="2" spans="1:256" ht="13.5" customHeight="1" x14ac:dyDescent="0.2">
      <c r="A2" s="635" t="s">
        <v>209</v>
      </c>
      <c r="B2" s="635"/>
      <c r="C2" s="635" t="s">
        <v>122</v>
      </c>
      <c r="D2" s="635"/>
      <c r="E2" s="635"/>
      <c r="F2" s="635"/>
      <c r="G2" s="635"/>
      <c r="J2" s="633" t="s">
        <v>29</v>
      </c>
      <c r="K2" s="338" t="s">
        <v>76</v>
      </c>
      <c r="L2" s="338" t="s">
        <v>77</v>
      </c>
    </row>
    <row r="3" spans="1:256" ht="13.5" customHeight="1" x14ac:dyDescent="0.2">
      <c r="A3" s="636" t="s">
        <v>79</v>
      </c>
      <c r="B3" s="636"/>
      <c r="C3" s="636"/>
      <c r="D3" s="636"/>
      <c r="E3" s="636"/>
      <c r="F3" s="636"/>
      <c r="G3" s="636"/>
      <c r="J3" s="633"/>
    </row>
    <row r="4" spans="1:256" ht="13.5" customHeight="1" x14ac:dyDescent="0.2">
      <c r="A4" s="630" t="s">
        <v>138</v>
      </c>
      <c r="B4" s="630"/>
      <c r="C4" s="339">
        <v>200000</v>
      </c>
      <c r="D4" s="340"/>
      <c r="E4" s="630" t="s">
        <v>83</v>
      </c>
      <c r="F4" s="630"/>
      <c r="G4" s="341">
        <v>2016</v>
      </c>
      <c r="K4" s="342">
        <f ca="1">C12+C13+C15-C25</f>
        <v>3254.1500000000005</v>
      </c>
      <c r="L4" s="342">
        <f ca="1">C12+C13+C14++C16+C17</f>
        <v>4045.7000000000007</v>
      </c>
    </row>
    <row r="5" spans="1:256" ht="13.5" customHeight="1" x14ac:dyDescent="0.2">
      <c r="A5" s="630" t="s">
        <v>90</v>
      </c>
      <c r="B5" s="630"/>
      <c r="C5" s="339">
        <v>0</v>
      </c>
      <c r="D5" s="340"/>
      <c r="E5" s="630" t="s">
        <v>161</v>
      </c>
      <c r="F5" s="630"/>
      <c r="G5" s="341">
        <v>8</v>
      </c>
    </row>
    <row r="6" spans="1:256" ht="13.5" customHeight="1" x14ac:dyDescent="0.2">
      <c r="A6" s="630" t="s">
        <v>141</v>
      </c>
      <c r="B6" s="630"/>
      <c r="C6" s="339">
        <v>0</v>
      </c>
      <c r="D6" s="340"/>
      <c r="E6" s="637" t="s">
        <v>43</v>
      </c>
      <c r="F6" s="637"/>
      <c r="G6" s="343" t="s">
        <v>94</v>
      </c>
    </row>
    <row r="7" spans="1:256" ht="13.5" customHeight="1" x14ac:dyDescent="0.2">
      <c r="A7" s="631" t="s">
        <v>142</v>
      </c>
      <c r="B7" s="631"/>
      <c r="C7" s="631"/>
      <c r="D7" s="631"/>
      <c r="E7" s="631"/>
      <c r="F7" s="631"/>
      <c r="G7" s="631"/>
      <c r="K7" s="344"/>
      <c r="L7" s="344"/>
      <c r="IV7" s="344"/>
    </row>
    <row r="8" spans="1:256" s="246" customFormat="1" ht="13.5" customHeight="1" x14ac:dyDescent="0.2">
      <c r="A8" s="632" t="s">
        <v>86</v>
      </c>
      <c r="B8" s="632"/>
      <c r="C8" s="632"/>
      <c r="D8" s="345"/>
      <c r="E8" s="632" t="s">
        <v>87</v>
      </c>
      <c r="F8" s="632"/>
      <c r="G8" s="632"/>
      <c r="K8" s="97"/>
      <c r="L8" s="97"/>
      <c r="IV8" s="97"/>
    </row>
    <row r="9" spans="1:256" ht="13.5" customHeight="1" x14ac:dyDescent="0.2">
      <c r="A9" s="340" t="s">
        <v>143</v>
      </c>
      <c r="B9" s="346"/>
      <c r="C9" s="347">
        <f ca="1">Database1!G29</f>
        <v>3518.0000000000005</v>
      </c>
      <c r="D9" s="348"/>
      <c r="E9" s="340" t="s">
        <v>49</v>
      </c>
      <c r="F9" s="349"/>
      <c r="G9" s="347">
        <f>SUM(Database1!G30)</f>
        <v>5318</v>
      </c>
      <c r="I9" s="246"/>
      <c r="J9" s="246"/>
      <c r="K9" s="350"/>
      <c r="L9" s="350"/>
    </row>
    <row r="10" spans="1:256" ht="13.5" customHeight="1" x14ac:dyDescent="0.2">
      <c r="A10" s="340" t="s">
        <v>90</v>
      </c>
      <c r="B10" s="349"/>
      <c r="C10" s="347">
        <f>C5*0.04</f>
        <v>0</v>
      </c>
      <c r="D10" s="348"/>
      <c r="E10" s="340" t="s">
        <v>146</v>
      </c>
      <c r="F10" s="349"/>
      <c r="G10" s="347">
        <f>IF(C6&gt;0,60,0)</f>
        <v>0</v>
      </c>
      <c r="I10" s="246"/>
      <c r="J10" s="246"/>
      <c r="K10" s="350"/>
      <c r="L10" s="350"/>
    </row>
    <row r="11" spans="1:256" ht="13.5" customHeight="1" x14ac:dyDescent="0.2">
      <c r="A11" s="340" t="s">
        <v>60</v>
      </c>
      <c r="B11" s="349"/>
      <c r="C11" s="347">
        <f>IF(C6&gt;0,C6*4/100,0)</f>
        <v>0</v>
      </c>
      <c r="D11" s="348"/>
      <c r="E11" s="340" t="s">
        <v>162</v>
      </c>
      <c r="F11" s="349"/>
      <c r="G11" s="347">
        <f>G5*1061</f>
        <v>8488</v>
      </c>
      <c r="I11" s="246"/>
      <c r="J11" s="246"/>
      <c r="K11" s="350"/>
      <c r="L11" s="350"/>
    </row>
    <row r="12" spans="1:256" ht="13.5" customHeight="1" x14ac:dyDescent="0.2">
      <c r="A12" s="351" t="s">
        <v>95</v>
      </c>
      <c r="B12" s="352"/>
      <c r="C12" s="353">
        <f ca="1">SUM(C9:C11)</f>
        <v>3518.0000000000005</v>
      </c>
      <c r="D12" s="348"/>
      <c r="E12" s="351" t="s">
        <v>147</v>
      </c>
      <c r="F12" s="354"/>
      <c r="G12" s="353">
        <f>SUM(G9:G11)</f>
        <v>13806</v>
      </c>
      <c r="I12" s="246"/>
      <c r="J12" s="246"/>
      <c r="K12" s="350"/>
      <c r="L12" s="350"/>
    </row>
    <row r="13" spans="1:256" ht="13.5" customHeight="1" x14ac:dyDescent="0.2">
      <c r="A13" s="340" t="s">
        <v>148</v>
      </c>
      <c r="B13" s="343" t="s">
        <v>91</v>
      </c>
      <c r="C13" s="347">
        <f ca="1">IF(B13="Yes",(C9+C10+C11)*0.15,0)</f>
        <v>527.70000000000005</v>
      </c>
      <c r="D13" s="348"/>
      <c r="E13" s="340" t="s">
        <v>129</v>
      </c>
      <c r="F13" s="343" t="s">
        <v>91</v>
      </c>
      <c r="G13" s="347">
        <f>IF(F13="Yes",50*F14,0)</f>
        <v>50</v>
      </c>
      <c r="I13" s="246"/>
      <c r="J13" s="246"/>
      <c r="K13" s="350"/>
      <c r="L13" s="350"/>
    </row>
    <row r="14" spans="1:256" ht="13.5" customHeight="1" x14ac:dyDescent="0.2">
      <c r="A14" s="155" t="s">
        <v>98</v>
      </c>
      <c r="B14" s="156" t="s">
        <v>37</v>
      </c>
      <c r="C14" s="282">
        <f>C4*A53/10</f>
        <v>0</v>
      </c>
      <c r="D14" s="348"/>
      <c r="E14" s="340" t="s">
        <v>163</v>
      </c>
      <c r="F14" s="343">
        <v>1</v>
      </c>
      <c r="G14" s="347"/>
      <c r="I14" s="246"/>
      <c r="J14" s="246"/>
      <c r="K14" s="350"/>
      <c r="L14" s="350"/>
    </row>
    <row r="15" spans="1:256" ht="13.5" customHeight="1" x14ac:dyDescent="0.2">
      <c r="A15" s="249" t="s">
        <v>150</v>
      </c>
      <c r="B15" s="210">
        <v>0.35</v>
      </c>
      <c r="C15" s="250">
        <f ca="1">(C12)*B15</f>
        <v>1231.3000000000002</v>
      </c>
      <c r="D15" s="348"/>
      <c r="E15" s="355" t="s">
        <v>128</v>
      </c>
      <c r="F15" s="343" t="s">
        <v>91</v>
      </c>
      <c r="G15" s="347">
        <f>IF(F15="Yes",100,0)</f>
        <v>100</v>
      </c>
      <c r="I15" s="246"/>
      <c r="J15" s="246"/>
      <c r="K15" s="350"/>
      <c r="L15" s="350"/>
    </row>
    <row r="16" spans="1:256" ht="13.5" customHeight="1" x14ac:dyDescent="0.2">
      <c r="A16" s="340" t="s">
        <v>160</v>
      </c>
      <c r="B16" s="343" t="s">
        <v>37</v>
      </c>
      <c r="C16" s="347">
        <f>IF(B16="Yes",C12*0.3,0)</f>
        <v>0</v>
      </c>
      <c r="D16" s="348"/>
      <c r="E16" s="340" t="s">
        <v>99</v>
      </c>
      <c r="F16" s="349"/>
      <c r="G16" s="347"/>
      <c r="I16" s="246"/>
      <c r="J16" s="246"/>
      <c r="K16" s="350"/>
      <c r="L16" s="350"/>
    </row>
    <row r="17" spans="1:12" ht="13.5" customHeight="1" x14ac:dyDescent="0.2">
      <c r="A17" s="340" t="s">
        <v>132</v>
      </c>
      <c r="B17" s="343" t="s">
        <v>37</v>
      </c>
      <c r="C17" s="347">
        <f>IF(B17="Yes",50,0)</f>
        <v>0</v>
      </c>
      <c r="D17" s="348"/>
      <c r="E17" s="340"/>
      <c r="F17" s="349"/>
      <c r="G17" s="347"/>
      <c r="I17" s="246"/>
      <c r="J17" s="246"/>
      <c r="K17" s="350"/>
      <c r="L17" s="350"/>
    </row>
    <row r="18" spans="1:12" ht="13.5" customHeight="1" x14ac:dyDescent="0.2">
      <c r="A18" s="351" t="s">
        <v>135</v>
      </c>
      <c r="B18" s="352"/>
      <c r="C18" s="353">
        <f ca="1">SUM(C12:C17)</f>
        <v>5277.0000000000009</v>
      </c>
      <c r="D18" s="348"/>
      <c r="E18" s="351" t="s">
        <v>153</v>
      </c>
      <c r="F18" s="352"/>
      <c r="G18" s="353">
        <f>SUM(G12,G13,G16,G17)</f>
        <v>13856</v>
      </c>
      <c r="I18" s="246"/>
      <c r="J18" s="246"/>
      <c r="K18" s="350"/>
      <c r="L18" s="350"/>
    </row>
    <row r="19" spans="1:12" ht="13.5" customHeight="1" x14ac:dyDescent="0.2">
      <c r="A19" s="340" t="s">
        <v>154</v>
      </c>
      <c r="B19" s="349"/>
      <c r="C19" s="347"/>
      <c r="D19" s="348"/>
      <c r="E19" s="340" t="s">
        <v>71</v>
      </c>
      <c r="F19" s="343">
        <v>750000</v>
      </c>
      <c r="G19" s="347">
        <f>IF(F19=750000,0,150)</f>
        <v>0</v>
      </c>
      <c r="I19" s="246"/>
      <c r="J19" s="246"/>
      <c r="K19" s="350"/>
      <c r="L19" s="350"/>
    </row>
    <row r="20" spans="1:12" ht="13.5" customHeight="1" x14ac:dyDescent="0.2">
      <c r="A20" s="340" t="s">
        <v>70</v>
      </c>
      <c r="B20" s="343" t="s">
        <v>37</v>
      </c>
      <c r="C20" s="347">
        <f>IF(B20="Yes",MIN(C18*0.025,500),0)</f>
        <v>0</v>
      </c>
      <c r="D20" s="348"/>
      <c r="E20" s="340"/>
      <c r="F20" s="349"/>
      <c r="G20" s="347"/>
      <c r="I20" s="246"/>
      <c r="J20" s="246"/>
      <c r="K20" s="350"/>
      <c r="L20" s="350"/>
    </row>
    <row r="21" spans="1:12" ht="13.5" customHeight="1" x14ac:dyDescent="0.2">
      <c r="A21" s="340" t="s">
        <v>65</v>
      </c>
      <c r="B21" s="343" t="s">
        <v>37</v>
      </c>
      <c r="C21" s="347">
        <f>IF(B21="Yes",MIN(C18*0.05,200),0)</f>
        <v>0</v>
      </c>
      <c r="D21" s="348"/>
      <c r="E21" s="340"/>
      <c r="F21" s="349"/>
      <c r="G21" s="347"/>
      <c r="I21" s="246"/>
      <c r="J21" s="246"/>
      <c r="K21" s="350"/>
      <c r="L21" s="350"/>
    </row>
    <row r="22" spans="1:12" ht="13.5" customHeight="1" x14ac:dyDescent="0.2">
      <c r="A22" s="340" t="s">
        <v>137</v>
      </c>
      <c r="B22" s="343" t="s">
        <v>37</v>
      </c>
      <c r="C22" s="347">
        <f>IF(B22="Yes",C18*(1/3),0)</f>
        <v>0</v>
      </c>
      <c r="D22" s="348"/>
      <c r="E22" s="340"/>
      <c r="F22" s="349"/>
      <c r="G22" s="347"/>
      <c r="I22" s="246"/>
      <c r="J22" s="246"/>
      <c r="K22" s="350"/>
      <c r="L22" s="350"/>
    </row>
    <row r="23" spans="1:12" ht="13.5" customHeight="1" x14ac:dyDescent="0.2">
      <c r="A23" s="351" t="s">
        <v>155</v>
      </c>
      <c r="B23" s="352"/>
      <c r="C23" s="353">
        <f ca="1">C18-SUM(C20:C22)</f>
        <v>5277.0000000000009</v>
      </c>
      <c r="D23" s="348"/>
      <c r="E23" s="340"/>
      <c r="F23" s="349"/>
      <c r="G23" s="347"/>
      <c r="I23" s="246"/>
      <c r="J23" s="246"/>
      <c r="K23" s="350"/>
      <c r="L23" s="350"/>
    </row>
    <row r="24" spans="1:12" s="246" customFormat="1" ht="13.5" customHeight="1" x14ac:dyDescent="0.2">
      <c r="A24" s="340" t="s">
        <v>76</v>
      </c>
      <c r="B24" s="356">
        <v>0.25</v>
      </c>
      <c r="C24" s="347">
        <f ca="1">K4*B24</f>
        <v>813.53750000000014</v>
      </c>
      <c r="D24" s="348"/>
      <c r="E24" s="357"/>
      <c r="F24" s="349"/>
      <c r="G24" s="347"/>
      <c r="K24" s="350"/>
      <c r="L24" s="350"/>
    </row>
    <row r="25" spans="1:12" ht="13.5" customHeight="1" x14ac:dyDescent="0.2">
      <c r="A25" s="96" t="s">
        <v>111</v>
      </c>
      <c r="B25" s="358">
        <v>0.5</v>
      </c>
      <c r="C25" s="347">
        <f ca="1">L4*B25</f>
        <v>2022.8500000000004</v>
      </c>
      <c r="D25" s="348"/>
      <c r="E25" s="357"/>
      <c r="F25" s="349"/>
      <c r="G25" s="347"/>
    </row>
    <row r="26" spans="1:12" ht="13.5" customHeight="1" x14ac:dyDescent="0.2">
      <c r="A26" s="632" t="s">
        <v>112</v>
      </c>
      <c r="B26" s="632"/>
      <c r="C26" s="359">
        <f ca="1">C23-C24-C25</f>
        <v>2440.6125000000002</v>
      </c>
      <c r="D26" s="360"/>
      <c r="E26" s="632" t="s">
        <v>113</v>
      </c>
      <c r="F26" s="632"/>
      <c r="G26" s="361">
        <f>G18-G19+G25</f>
        <v>13856</v>
      </c>
    </row>
    <row r="27" spans="1:12" ht="13.5" customHeight="1" x14ac:dyDescent="0.2">
      <c r="D27" s="362"/>
      <c r="E27" s="363"/>
      <c r="F27" s="362"/>
      <c r="G27" s="364"/>
    </row>
    <row r="28" spans="1:12" ht="13.5" customHeight="1" x14ac:dyDescent="0.2">
      <c r="A28" s="362"/>
      <c r="B28" s="362"/>
      <c r="C28" s="362"/>
      <c r="D28" s="362"/>
      <c r="E28" s="363"/>
      <c r="F28" s="362"/>
      <c r="G28" s="364"/>
    </row>
    <row r="29" spans="1:12" ht="13.5" customHeight="1" x14ac:dyDescent="0.2">
      <c r="A29" s="362"/>
      <c r="B29" s="628" t="s">
        <v>116</v>
      </c>
      <c r="C29" s="628"/>
      <c r="D29" s="628"/>
      <c r="E29" s="365" t="s">
        <v>114</v>
      </c>
      <c r="F29" s="366" t="s">
        <v>115</v>
      </c>
      <c r="G29" s="367" t="s">
        <v>38</v>
      </c>
    </row>
    <row r="30" spans="1:12" s="370" customFormat="1" ht="13.5" customHeight="1" x14ac:dyDescent="0.2">
      <c r="A30" s="362"/>
      <c r="B30" s="628"/>
      <c r="C30" s="628"/>
      <c r="D30" s="628"/>
      <c r="E30" s="368">
        <f ca="1">C26</f>
        <v>2440.6125000000002</v>
      </c>
      <c r="F30" s="347">
        <f>G26</f>
        <v>13856</v>
      </c>
      <c r="G30" s="369">
        <f ca="1">SUM(E30:F30)</f>
        <v>16296.612499999999</v>
      </c>
      <c r="K30" s="371"/>
      <c r="L30" s="371"/>
    </row>
    <row r="31" spans="1:12" ht="13.5" customHeight="1" x14ac:dyDescent="0.25">
      <c r="A31" s="362"/>
      <c r="B31" s="569" t="s">
        <v>227</v>
      </c>
      <c r="C31" s="570"/>
      <c r="D31" s="570"/>
      <c r="E31" s="372">
        <f ca="1">E30*HyperLink!B21</f>
        <v>439.31025</v>
      </c>
      <c r="F31" s="372">
        <f>F30*HyperLink!B21</f>
        <v>2494.08</v>
      </c>
      <c r="G31" s="372">
        <f ca="1">G30*HyperLink!B21</f>
        <v>2933.3902499999999</v>
      </c>
    </row>
    <row r="32" spans="1:12" ht="13.5" customHeight="1" x14ac:dyDescent="0.2">
      <c r="A32" s="373"/>
      <c r="B32" s="629" t="s">
        <v>117</v>
      </c>
      <c r="C32" s="629"/>
      <c r="D32" s="629"/>
      <c r="E32" s="374">
        <f ca="1">SUM(E30:E31)</f>
        <v>2879.9227500000002</v>
      </c>
      <c r="F32" s="374">
        <f>SUM(F30:F31)</f>
        <v>16350.08</v>
      </c>
      <c r="G32" s="375">
        <f ca="1">SUM(G30:G31)</f>
        <v>19230.00275</v>
      </c>
    </row>
    <row r="33" spans="5:7" ht="13.5" customHeight="1" x14ac:dyDescent="0.2">
      <c r="G33" s="376"/>
    </row>
    <row r="34" spans="5:7" ht="13.5" customHeight="1" x14ac:dyDescent="0.2">
      <c r="E34" s="377"/>
    </row>
    <row r="51" spans="1:2" ht="13.5" hidden="1" customHeight="1" x14ac:dyDescent="0.2"/>
    <row r="52" spans="1:2" ht="13.5" hidden="1" customHeight="1" x14ac:dyDescent="0.2">
      <c r="A52" s="114" t="s">
        <v>57</v>
      </c>
      <c r="B52" s="114" t="s">
        <v>122</v>
      </c>
    </row>
    <row r="53" spans="1:2" ht="13.5" customHeight="1" x14ac:dyDescent="0.2">
      <c r="A53" s="114" t="b">
        <f>IF(B14="Yes",IF(B53=0,4.5%,IF(B53=1,5.5%,IF(B53=2,7%,0))))</f>
        <v>0</v>
      </c>
      <c r="B53" s="116">
        <f ca="1">YEAR(TODAY())-(G4)</f>
        <v>1</v>
      </c>
    </row>
  </sheetData>
  <sheetProtection password="CEED" sheet="1"/>
  <mergeCells count="19">
    <mergeCell ref="J2:J3"/>
    <mergeCell ref="E26:F26"/>
    <mergeCell ref="A1:G1"/>
    <mergeCell ref="A2:G2"/>
    <mergeCell ref="A3:G3"/>
    <mergeCell ref="A4:B4"/>
    <mergeCell ref="E4:F4"/>
    <mergeCell ref="A5:B5"/>
    <mergeCell ref="E5:F5"/>
    <mergeCell ref="E6:F6"/>
    <mergeCell ref="B29:D29"/>
    <mergeCell ref="B30:D30"/>
    <mergeCell ref="B31:D31"/>
    <mergeCell ref="B32:D32"/>
    <mergeCell ref="A6:B6"/>
    <mergeCell ref="A7:G7"/>
    <mergeCell ref="A8:C8"/>
    <mergeCell ref="E8:G8"/>
    <mergeCell ref="A26:B26"/>
  </mergeCells>
  <dataValidations count="6">
    <dataValidation type="list" allowBlank="1" showErrorMessage="1" sqref="B13:B14 F13 F15 B16:B17 B20:B22">
      <formula1>"Yes,No"</formula1>
      <formula2>0</formula2>
    </dataValidation>
    <dataValidation type="list" allowBlank="1" showErrorMessage="1" sqref="B24">
      <formula1>"0%,20%,25%,35%,45%,50%,"</formula1>
      <formula2>0</formula2>
    </dataValidation>
    <dataValidation type="list" allowBlank="1" showErrorMessage="1" sqref="F19">
      <formula1>"750000,6000"</formula1>
      <formula2>0</formula2>
    </dataValidation>
    <dataValidation type="list" allowBlank="1" showErrorMessage="1" sqref="G6">
      <formula1>"A,B,C"</formula1>
      <formula2>0</formula2>
    </dataValidation>
    <dataValidation type="list" allowBlank="1" showErrorMessage="1" sqref="G5">
      <formula1>"7,8,9,10,11,12,13,14,15,16,17,18"</formula1>
      <formula2>0</formula2>
    </dataValidation>
    <dataValidation type="list" allowBlank="1" showErrorMessage="1" sqref="B15">
      <formula1>"0%,20%,25%,35%"</formula1>
    </dataValidation>
  </dataValidations>
  <hyperlinks>
    <hyperlink ref="J2:J3" location="HyperLink!A1" display="BACK"/>
  </hyperlinks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3"/>
  <sheetViews>
    <sheetView topLeftCell="A13" zoomScale="84" zoomScaleNormal="84" workbookViewId="0">
      <selection activeCell="B31" sqref="B31:D31"/>
    </sheetView>
  </sheetViews>
  <sheetFormatPr defaultRowHeight="14.25" x14ac:dyDescent="0.2"/>
  <cols>
    <col min="1" max="1" width="27.28515625" style="117" customWidth="1"/>
    <col min="2" max="2" width="7.7109375" style="117" customWidth="1"/>
    <col min="3" max="3" width="10.7109375" style="117" customWidth="1"/>
    <col min="4" max="4" width="3" style="117" customWidth="1"/>
    <col min="5" max="5" width="19.42578125" style="117" customWidth="1"/>
    <col min="6" max="6" width="9.85546875" style="117" customWidth="1"/>
    <col min="7" max="7" width="11.5703125" style="117" customWidth="1"/>
    <col min="8" max="8" width="3.42578125" style="117" customWidth="1"/>
    <col min="9" max="9" width="5.7109375" style="117" customWidth="1"/>
    <col min="10" max="10" width="7.28515625" style="117" customWidth="1"/>
    <col min="11" max="11" width="9.5703125" style="117" customWidth="1"/>
    <col min="12" max="12" width="7.140625" style="153" hidden="1" customWidth="1"/>
    <col min="13" max="13" width="16.28515625" style="153" hidden="1" customWidth="1"/>
    <col min="14" max="14" width="20.140625" style="117" customWidth="1"/>
    <col min="15" max="16384" width="9.140625" style="117"/>
  </cols>
  <sheetData>
    <row r="1" spans="1:15" ht="15.75" x14ac:dyDescent="0.25">
      <c r="A1" s="645" t="s">
        <v>0</v>
      </c>
      <c r="B1" s="645"/>
      <c r="C1" s="645"/>
      <c r="D1" s="645"/>
      <c r="E1" s="645"/>
      <c r="F1" s="645"/>
      <c r="G1" s="645"/>
      <c r="L1" s="153" t="s">
        <v>76</v>
      </c>
      <c r="M1" s="153" t="s">
        <v>77</v>
      </c>
    </row>
    <row r="2" spans="1:15" ht="12.75" customHeight="1" x14ac:dyDescent="0.2">
      <c r="A2" s="581" t="s">
        <v>216</v>
      </c>
      <c r="B2" s="581"/>
      <c r="C2" s="581" t="s">
        <v>122</v>
      </c>
      <c r="D2" s="581"/>
      <c r="E2" s="581"/>
      <c r="F2" s="581"/>
      <c r="G2" s="581"/>
      <c r="I2" s="646" t="s">
        <v>165</v>
      </c>
      <c r="J2" s="646"/>
    </row>
    <row r="3" spans="1:15" ht="15" x14ac:dyDescent="0.2">
      <c r="A3" s="643" t="s">
        <v>79</v>
      </c>
      <c r="B3" s="643"/>
      <c r="C3" s="643"/>
      <c r="D3" s="643"/>
      <c r="E3" s="643"/>
      <c r="F3" s="643"/>
      <c r="G3" s="643"/>
      <c r="I3" s="646"/>
      <c r="J3" s="646"/>
      <c r="L3" s="154">
        <f ca="1">C12+C13-C25</f>
        <v>4962.25</v>
      </c>
      <c r="M3" s="154">
        <f ca="1">C12+C13</f>
        <v>9924.5</v>
      </c>
    </row>
    <row r="4" spans="1:15" x14ac:dyDescent="0.2">
      <c r="A4" s="573" t="s">
        <v>138</v>
      </c>
      <c r="B4" s="573"/>
      <c r="C4" s="174">
        <v>500000</v>
      </c>
      <c r="D4" s="175"/>
      <c r="E4" s="573" t="s">
        <v>83</v>
      </c>
      <c r="F4" s="573"/>
      <c r="G4" s="176">
        <v>2013</v>
      </c>
    </row>
    <row r="5" spans="1:15" x14ac:dyDescent="0.2">
      <c r="A5" s="573" t="s">
        <v>90</v>
      </c>
      <c r="B5" s="573"/>
      <c r="C5" s="174"/>
      <c r="D5" s="175"/>
      <c r="E5" s="573" t="s">
        <v>161</v>
      </c>
      <c r="F5" s="573"/>
      <c r="G5" s="176">
        <v>4</v>
      </c>
    </row>
    <row r="6" spans="1:15" x14ac:dyDescent="0.2">
      <c r="A6" s="573" t="s">
        <v>141</v>
      </c>
      <c r="B6" s="573"/>
      <c r="C6" s="174">
        <v>0</v>
      </c>
      <c r="D6" s="175"/>
      <c r="E6" s="650" t="s">
        <v>43</v>
      </c>
      <c r="F6" s="650"/>
      <c r="G6" s="177" t="s">
        <v>94</v>
      </c>
    </row>
    <row r="7" spans="1:15" x14ac:dyDescent="0.2">
      <c r="A7" s="610" t="s">
        <v>142</v>
      </c>
      <c r="B7" s="610"/>
      <c r="C7" s="610"/>
      <c r="D7" s="610"/>
      <c r="E7" s="610"/>
      <c r="F7" s="610"/>
      <c r="G7" s="610"/>
    </row>
    <row r="8" spans="1:15" x14ac:dyDescent="0.2">
      <c r="A8" s="647" t="s">
        <v>86</v>
      </c>
      <c r="B8" s="647"/>
      <c r="C8" s="647"/>
      <c r="D8" s="648"/>
      <c r="E8" s="647" t="s">
        <v>87</v>
      </c>
      <c r="F8" s="647"/>
      <c r="G8" s="647"/>
    </row>
    <row r="9" spans="1:15" x14ac:dyDescent="0.2">
      <c r="A9" s="175" t="s">
        <v>143</v>
      </c>
      <c r="B9" s="319"/>
      <c r="C9" s="180">
        <f ca="1">Database2!G18+(IF(G5&gt;=61,"680",IF(G5&gt;=37,"550",IF(G5&gt;=19,"450","350"))))</f>
        <v>8630</v>
      </c>
      <c r="D9" s="648"/>
      <c r="E9" s="175" t="s">
        <v>49</v>
      </c>
      <c r="F9" s="179"/>
      <c r="G9" s="180">
        <f>SUM(Database2!G19)</f>
        <v>13176</v>
      </c>
      <c r="O9" s="121"/>
    </row>
    <row r="10" spans="1:15" x14ac:dyDescent="0.2">
      <c r="A10" s="175" t="s">
        <v>90</v>
      </c>
      <c r="B10" s="179"/>
      <c r="C10" s="180">
        <f>C5*0.04</f>
        <v>0</v>
      </c>
      <c r="D10" s="648"/>
      <c r="E10" s="175" t="s">
        <v>162</v>
      </c>
      <c r="F10" s="179"/>
      <c r="G10" s="180">
        <f>G5*805</f>
        <v>3220</v>
      </c>
      <c r="O10" s="121"/>
    </row>
    <row r="11" spans="1:15" x14ac:dyDescent="0.2">
      <c r="A11" s="175" t="s">
        <v>60</v>
      </c>
      <c r="B11" s="179"/>
      <c r="C11" s="180">
        <f>IF(C6&gt;0,C6*4/100,0)</f>
        <v>0</v>
      </c>
      <c r="D11" s="648"/>
      <c r="E11" s="175" t="s">
        <v>146</v>
      </c>
      <c r="F11" s="179"/>
      <c r="G11" s="180">
        <f>IF(C6&gt;0,60,0)</f>
        <v>0</v>
      </c>
      <c r="O11" s="121"/>
    </row>
    <row r="12" spans="1:15" ht="15" x14ac:dyDescent="0.2">
      <c r="A12" s="320" t="s">
        <v>95</v>
      </c>
      <c r="B12" s="321"/>
      <c r="C12" s="322">
        <f ca="1">SUM(C9+C10+C11)</f>
        <v>8630</v>
      </c>
      <c r="D12" s="648"/>
      <c r="E12" s="320" t="s">
        <v>147</v>
      </c>
      <c r="F12" s="323"/>
      <c r="G12" s="322">
        <f>SUM(G9:G11)</f>
        <v>16396</v>
      </c>
      <c r="O12" s="121"/>
    </row>
    <row r="13" spans="1:15" x14ac:dyDescent="0.2">
      <c r="A13" s="175" t="s">
        <v>148</v>
      </c>
      <c r="B13" s="177" t="s">
        <v>91</v>
      </c>
      <c r="C13" s="180">
        <f ca="1">IF(B13="Yes",(C9+C10+C11)*0.15,0)</f>
        <v>1294.5</v>
      </c>
      <c r="D13" s="648"/>
      <c r="E13" s="175" t="s">
        <v>129</v>
      </c>
      <c r="F13" s="177" t="s">
        <v>91</v>
      </c>
      <c r="G13" s="180">
        <f>IF(F13="Yes",50*F14,0)</f>
        <v>100</v>
      </c>
      <c r="O13" s="121"/>
    </row>
    <row r="14" spans="1:15" x14ac:dyDescent="0.2">
      <c r="A14" s="324" t="s">
        <v>97</v>
      </c>
      <c r="B14" s="210">
        <v>0.15</v>
      </c>
      <c r="C14" s="322">
        <f ca="1">(C12)*B14</f>
        <v>1294.5</v>
      </c>
      <c r="D14" s="648"/>
      <c r="E14" s="175" t="s">
        <v>163</v>
      </c>
      <c r="F14" s="177">
        <v>2</v>
      </c>
      <c r="G14" s="180"/>
      <c r="O14" s="121"/>
    </row>
    <row r="15" spans="1:15" x14ac:dyDescent="0.2">
      <c r="A15" s="325" t="s">
        <v>98</v>
      </c>
      <c r="B15" s="295" t="s">
        <v>37</v>
      </c>
      <c r="C15" s="326">
        <f>C4*A53/10</f>
        <v>0</v>
      </c>
      <c r="D15" s="648"/>
      <c r="E15" s="327" t="s">
        <v>128</v>
      </c>
      <c r="F15" s="328" t="s">
        <v>91</v>
      </c>
      <c r="G15" s="322">
        <f>IF(F15="Yes",100,0)</f>
        <v>100</v>
      </c>
      <c r="O15" s="121"/>
    </row>
    <row r="16" spans="1:15" x14ac:dyDescent="0.2">
      <c r="A16" s="175" t="s">
        <v>160</v>
      </c>
      <c r="B16" s="177" t="s">
        <v>37</v>
      </c>
      <c r="C16" s="180">
        <f>IF(B16="Yes",C12*0.3,0)</f>
        <v>0</v>
      </c>
      <c r="D16" s="648"/>
      <c r="E16" s="175"/>
      <c r="F16" s="175"/>
      <c r="G16" s="175"/>
      <c r="O16" s="121"/>
    </row>
    <row r="17" spans="1:15" ht="15" x14ac:dyDescent="0.2">
      <c r="A17" s="175" t="s">
        <v>132</v>
      </c>
      <c r="B17" s="177" t="s">
        <v>37</v>
      </c>
      <c r="C17" s="180">
        <f>IF(B17="Yes",50,0)</f>
        <v>0</v>
      </c>
      <c r="D17" s="648"/>
      <c r="E17" s="320" t="s">
        <v>153</v>
      </c>
      <c r="F17" s="321"/>
      <c r="G17" s="322">
        <f>SUM(G12,G13,G15)</f>
        <v>16596</v>
      </c>
      <c r="O17" s="121"/>
    </row>
    <row r="18" spans="1:15" ht="15" x14ac:dyDescent="0.2">
      <c r="A18" s="320" t="s">
        <v>135</v>
      </c>
      <c r="B18" s="321"/>
      <c r="C18" s="322">
        <f ca="1">C12+C13+C14+C15+C16+C17</f>
        <v>11219</v>
      </c>
      <c r="D18" s="648"/>
      <c r="E18" s="175" t="s">
        <v>71</v>
      </c>
      <c r="F18" s="177">
        <v>750000</v>
      </c>
      <c r="G18" s="180">
        <f>IF(F18=750000,0,150)</f>
        <v>0</v>
      </c>
      <c r="O18" s="121"/>
    </row>
    <row r="19" spans="1:15" x14ac:dyDescent="0.2">
      <c r="A19" s="175" t="s">
        <v>154</v>
      </c>
      <c r="B19" s="179"/>
      <c r="C19" s="180"/>
      <c r="D19" s="648"/>
      <c r="E19" s="175"/>
      <c r="F19" s="175"/>
      <c r="G19" s="175"/>
      <c r="O19" s="121"/>
    </row>
    <row r="20" spans="1:15" x14ac:dyDescent="0.2">
      <c r="A20" s="175" t="s">
        <v>70</v>
      </c>
      <c r="B20" s="177" t="s">
        <v>37</v>
      </c>
      <c r="C20" s="180">
        <f>IF(B20="Yes",MIN(C18*0.025,500),0)</f>
        <v>0</v>
      </c>
      <c r="D20" s="648"/>
      <c r="E20" s="175"/>
      <c r="F20" s="179"/>
      <c r="G20" s="180"/>
      <c r="O20" s="121"/>
    </row>
    <row r="21" spans="1:15" x14ac:dyDescent="0.2">
      <c r="A21" s="175" t="s">
        <v>65</v>
      </c>
      <c r="B21" s="177" t="s">
        <v>37</v>
      </c>
      <c r="C21" s="180">
        <f>IF(B21="Yes",MIN(C18*0.05,200),0)</f>
        <v>0</v>
      </c>
      <c r="D21" s="648"/>
      <c r="E21" s="175"/>
      <c r="F21" s="179"/>
      <c r="G21" s="180"/>
      <c r="O21" s="121"/>
    </row>
    <row r="22" spans="1:15" x14ac:dyDescent="0.2">
      <c r="A22" s="175" t="s">
        <v>137</v>
      </c>
      <c r="B22" s="177" t="s">
        <v>37</v>
      </c>
      <c r="C22" s="180">
        <f>IF(B22="Yes",C18*(1/3),0)</f>
        <v>0</v>
      </c>
      <c r="D22" s="648"/>
      <c r="E22" s="175"/>
      <c r="F22" s="179"/>
      <c r="G22" s="180"/>
    </row>
    <row r="23" spans="1:15" ht="15" x14ac:dyDescent="0.2">
      <c r="A23" s="320" t="s">
        <v>155</v>
      </c>
      <c r="B23" s="321"/>
      <c r="C23" s="322">
        <f ca="1">C18-SUM(C20:C22)</f>
        <v>11219</v>
      </c>
      <c r="D23" s="648"/>
      <c r="E23" s="324"/>
      <c r="F23" s="321"/>
      <c r="G23" s="322"/>
    </row>
    <row r="24" spans="1:15" ht="15" x14ac:dyDescent="0.2">
      <c r="A24" s="175" t="s">
        <v>76</v>
      </c>
      <c r="B24" s="194">
        <v>0</v>
      </c>
      <c r="C24" s="180">
        <f ca="1">L3*B24</f>
        <v>0</v>
      </c>
      <c r="D24" s="648"/>
      <c r="E24" s="195"/>
      <c r="F24" s="179"/>
      <c r="G24" s="180"/>
      <c r="J24" s="157"/>
      <c r="K24" s="157"/>
      <c r="L24" s="157"/>
      <c r="M24" s="157"/>
    </row>
    <row r="25" spans="1:15" ht="15" x14ac:dyDescent="0.2">
      <c r="A25" s="178" t="s">
        <v>111</v>
      </c>
      <c r="B25" s="302">
        <v>0.5</v>
      </c>
      <c r="C25" s="180">
        <f ca="1">M3*B25</f>
        <v>4962.25</v>
      </c>
      <c r="D25" s="648"/>
      <c r="E25" s="195"/>
      <c r="F25" s="179"/>
      <c r="G25" s="180"/>
    </row>
    <row r="26" spans="1:15" ht="15" x14ac:dyDescent="0.2">
      <c r="A26" s="178" t="s">
        <v>214</v>
      </c>
      <c r="B26" s="210">
        <v>0</v>
      </c>
      <c r="C26" s="187">
        <f ca="1">C14*B26</f>
        <v>0</v>
      </c>
      <c r="D26" s="648"/>
      <c r="E26" s="195"/>
      <c r="F26" s="179"/>
      <c r="G26" s="180"/>
    </row>
    <row r="27" spans="1:15" ht="15" x14ac:dyDescent="0.2">
      <c r="A27" s="649" t="s">
        <v>112</v>
      </c>
      <c r="B27" s="649"/>
      <c r="C27" s="329">
        <f ca="1">C23-C24-C25-C26</f>
        <v>6256.75</v>
      </c>
      <c r="D27" s="648"/>
      <c r="E27" s="643" t="s">
        <v>113</v>
      </c>
      <c r="F27" s="643"/>
      <c r="G27" s="322">
        <f>G17-G18+G25</f>
        <v>16596</v>
      </c>
    </row>
    <row r="28" spans="1:15" x14ac:dyDescent="0.2">
      <c r="A28" s="138"/>
      <c r="B28" s="138"/>
      <c r="C28" s="138"/>
      <c r="D28" s="138"/>
      <c r="E28" s="138"/>
      <c r="F28" s="138"/>
      <c r="G28" s="138"/>
    </row>
    <row r="29" spans="1:15" ht="15" x14ac:dyDescent="0.2">
      <c r="A29" s="539" t="s">
        <v>218</v>
      </c>
      <c r="B29" s="640" t="s">
        <v>116</v>
      </c>
      <c r="C29" s="641"/>
      <c r="D29" s="641"/>
      <c r="E29" s="330" t="s">
        <v>114</v>
      </c>
      <c r="F29" s="331" t="s">
        <v>115</v>
      </c>
      <c r="G29" s="200" t="s">
        <v>38</v>
      </c>
    </row>
    <row r="30" spans="1:15" ht="15" customHeight="1" x14ac:dyDescent="0.2">
      <c r="A30" s="539"/>
      <c r="B30" s="640"/>
      <c r="C30" s="641"/>
      <c r="D30" s="175"/>
      <c r="E30" s="332">
        <f ca="1">C27</f>
        <v>6256.75</v>
      </c>
      <c r="F30" s="180">
        <f>G27</f>
        <v>16596</v>
      </c>
      <c r="G30" s="333">
        <f ca="1">SUM(E30:F30)</f>
        <v>22852.75</v>
      </c>
      <c r="K30" s="153"/>
    </row>
    <row r="31" spans="1:15" ht="14.25" customHeight="1" x14ac:dyDescent="0.25">
      <c r="A31" s="539"/>
      <c r="B31" s="569" t="s">
        <v>227</v>
      </c>
      <c r="C31" s="570"/>
      <c r="D31" s="570"/>
      <c r="E31" s="334">
        <f ca="1">E30*HyperLink!B21</f>
        <v>1126.2149999999999</v>
      </c>
      <c r="F31" s="334">
        <f>F30*HyperLink!B21</f>
        <v>2987.2799999999997</v>
      </c>
      <c r="G31" s="334">
        <f ca="1">G30*HyperLink!B21</f>
        <v>4113.4949999999999</v>
      </c>
    </row>
    <row r="32" spans="1:15" ht="15" x14ac:dyDescent="0.2">
      <c r="A32" s="539"/>
      <c r="B32" s="642" t="s">
        <v>117</v>
      </c>
      <c r="C32" s="643"/>
      <c r="D32" s="643"/>
      <c r="E32" s="335">
        <f ca="1">SUM(E30:E31)</f>
        <v>7382.9650000000001</v>
      </c>
      <c r="F32" s="335">
        <f>SUM(F30:F31)</f>
        <v>19583.28</v>
      </c>
      <c r="G32" s="336">
        <f ca="1">SUM(G30:G31)</f>
        <v>26966.244999999999</v>
      </c>
    </row>
    <row r="33" spans="1:13" x14ac:dyDescent="0.2">
      <c r="G33" s="158"/>
    </row>
    <row r="34" spans="1:13" s="118" customFormat="1" x14ac:dyDescent="0.2">
      <c r="A34" s="117"/>
      <c r="B34" s="117"/>
      <c r="C34" s="117"/>
      <c r="E34" s="159"/>
      <c r="F34" s="117"/>
      <c r="G34" s="117"/>
      <c r="L34" s="160"/>
      <c r="M34" s="160"/>
    </row>
    <row r="35" spans="1:13" s="118" customFormat="1" ht="15" x14ac:dyDescent="0.2">
      <c r="A35" s="644" t="s">
        <v>118</v>
      </c>
      <c r="B35" s="644"/>
      <c r="C35" s="644"/>
      <c r="L35" s="160"/>
      <c r="M35" s="160"/>
    </row>
    <row r="36" spans="1:13" s="118" customFormat="1" ht="15" x14ac:dyDescent="0.2">
      <c r="A36" s="638" t="s">
        <v>119</v>
      </c>
      <c r="B36" s="638"/>
      <c r="C36" s="161">
        <v>0.15</v>
      </c>
      <c r="L36" s="160"/>
      <c r="M36" s="160"/>
    </row>
    <row r="37" spans="1:13" s="118" customFormat="1" ht="15" x14ac:dyDescent="0.2">
      <c r="A37" s="638" t="s">
        <v>120</v>
      </c>
      <c r="B37" s="638"/>
      <c r="C37" s="161">
        <v>0.25</v>
      </c>
      <c r="L37" s="160"/>
      <c r="M37" s="160"/>
    </row>
    <row r="38" spans="1:13" s="118" customFormat="1" ht="15" x14ac:dyDescent="0.2">
      <c r="A38" s="638" t="s">
        <v>121</v>
      </c>
      <c r="B38" s="638"/>
      <c r="C38" s="161">
        <v>0.35</v>
      </c>
      <c r="L38" s="160"/>
      <c r="M38" s="160"/>
    </row>
    <row r="39" spans="1:13" s="118" customFormat="1" ht="15" x14ac:dyDescent="0.2">
      <c r="A39" s="638"/>
      <c r="B39" s="638"/>
      <c r="C39" s="161"/>
      <c r="D39" s="162"/>
      <c r="L39" s="160"/>
      <c r="M39" s="160"/>
    </row>
    <row r="40" spans="1:13" ht="12.75" customHeight="1" x14ac:dyDescent="0.2">
      <c r="A40" s="639" t="s">
        <v>157</v>
      </c>
      <c r="B40" s="639"/>
      <c r="C40" s="639"/>
      <c r="E40" s="162"/>
      <c r="F40" s="162"/>
      <c r="G40" s="162"/>
    </row>
    <row r="52" spans="1:2" hidden="1" x14ac:dyDescent="0.2">
      <c r="A52" s="114" t="s">
        <v>57</v>
      </c>
      <c r="B52" s="114" t="s">
        <v>122</v>
      </c>
    </row>
    <row r="53" spans="1:2" hidden="1" x14ac:dyDescent="0.2">
      <c r="A53" s="114" t="b">
        <f>IF(B15="Yes",IF(B53=0,4.5%,IF(B53=1,5.5%,IF(B53=2,7%,0))))</f>
        <v>0</v>
      </c>
      <c r="B53" s="116">
        <f ca="1">YEAR(TODAY())-(G4)</f>
        <v>4</v>
      </c>
    </row>
  </sheetData>
  <sheetProtection password="CEED" sheet="1"/>
  <mergeCells count="27">
    <mergeCell ref="A8:C8"/>
    <mergeCell ref="D8:D27"/>
    <mergeCell ref="E8:G8"/>
    <mergeCell ref="A27:B27"/>
    <mergeCell ref="A5:B5"/>
    <mergeCell ref="E5:F5"/>
    <mergeCell ref="A6:B6"/>
    <mergeCell ref="E6:F6"/>
    <mergeCell ref="A7:G7"/>
    <mergeCell ref="E27:F27"/>
    <mergeCell ref="A1:G1"/>
    <mergeCell ref="A2:G2"/>
    <mergeCell ref="I2:J3"/>
    <mergeCell ref="A3:G3"/>
    <mergeCell ref="A4:B4"/>
    <mergeCell ref="E4:F4"/>
    <mergeCell ref="A37:B37"/>
    <mergeCell ref="A38:B38"/>
    <mergeCell ref="A39:B39"/>
    <mergeCell ref="A40:C40"/>
    <mergeCell ref="B29:D29"/>
    <mergeCell ref="B30:C30"/>
    <mergeCell ref="B31:D31"/>
    <mergeCell ref="B32:D32"/>
    <mergeCell ref="A35:C35"/>
    <mergeCell ref="A36:B36"/>
    <mergeCell ref="A29:A32"/>
  </mergeCells>
  <dataValidations count="7">
    <dataValidation type="list" allowBlank="1" showErrorMessage="1" sqref="B11 F13 B15:B17 F15 B20:B22">
      <formula1>"Yes,No"</formula1>
      <formula2>0</formula2>
    </dataValidation>
    <dataValidation type="list" allowBlank="1" showErrorMessage="1" sqref="B24">
      <formula1>"0%,20%,25%,35%,45%,50%,"</formula1>
      <formula2>0</formula2>
    </dataValidation>
    <dataValidation type="list" allowBlank="1" showErrorMessage="1" sqref="F18">
      <formula1>"750000,6000"</formula1>
      <formula2>0</formula2>
    </dataValidation>
    <dataValidation type="list" errorStyle="warning" allowBlank="1" showErrorMessage="1" sqref="B13">
      <formula1>"Yes,No"</formula1>
      <formula2>0</formula2>
    </dataValidation>
    <dataValidation type="list" allowBlank="1" showErrorMessage="1" sqref="G6">
      <formula1>"A,B,C"</formula1>
      <formula2>0</formula2>
    </dataValidation>
    <dataValidation allowBlank="1" showErrorMessage="1" sqref="B26">
      <formula1>0</formula1>
      <formula2>0</formula2>
    </dataValidation>
    <dataValidation type="list" allowBlank="1" showErrorMessage="1" sqref="B14">
      <formula1>"0,15%,25%,35%"</formula1>
    </dataValidation>
  </dataValidations>
  <hyperlinks>
    <hyperlink ref="I2" location="HyperLink!A1" display="Back to Hyperlink"/>
  </hyperlinks>
  <pageMargins left="0.90972222222222221" right="0.47013888888888888" top="0.98402777777777772" bottom="0.98402777777777772" header="0.51180555555555551" footer="0.51180555555555551"/>
  <pageSetup firstPageNumber="0" orientation="portrait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workbookViewId="0">
      <selection activeCell="E39" sqref="E39"/>
    </sheetView>
  </sheetViews>
  <sheetFormatPr defaultRowHeight="14.25" x14ac:dyDescent="0.2"/>
  <cols>
    <col min="1" max="1" width="28.42578125" style="163" customWidth="1"/>
    <col min="2" max="2" width="7.28515625" style="170" customWidth="1"/>
    <col min="3" max="3" width="10.42578125" style="171" customWidth="1"/>
    <col min="4" max="4" width="3.140625" style="163" customWidth="1"/>
    <col min="5" max="5" width="23.7109375" style="163" customWidth="1"/>
    <col min="6" max="6" width="9.85546875" style="170" customWidth="1"/>
    <col min="7" max="7" width="11.42578125" style="171" customWidth="1"/>
    <col min="8" max="8" width="10.28515625" style="163" customWidth="1"/>
    <col min="9" max="9" width="9.85546875" style="163" customWidth="1"/>
    <col min="10" max="10" width="19.85546875" style="163" customWidth="1"/>
    <col min="11" max="16384" width="9.140625" style="163"/>
  </cols>
  <sheetData>
    <row r="1" spans="1:9" ht="15" x14ac:dyDescent="0.25">
      <c r="A1" s="596" t="s">
        <v>0</v>
      </c>
      <c r="B1" s="596"/>
      <c r="C1" s="596"/>
      <c r="D1" s="596"/>
      <c r="E1" s="596"/>
      <c r="F1" s="596"/>
      <c r="G1" s="596"/>
    </row>
    <row r="2" spans="1:9" ht="15" x14ac:dyDescent="0.2">
      <c r="A2" s="566" t="s">
        <v>208</v>
      </c>
      <c r="B2" s="566"/>
      <c r="C2" s="566" t="s">
        <v>122</v>
      </c>
      <c r="D2" s="566"/>
      <c r="E2" s="566"/>
      <c r="F2" s="566"/>
      <c r="G2" s="566"/>
      <c r="I2" s="655" t="s">
        <v>29</v>
      </c>
    </row>
    <row r="3" spans="1:9" ht="15" x14ac:dyDescent="0.25">
      <c r="A3" s="572" t="s">
        <v>79</v>
      </c>
      <c r="B3" s="572"/>
      <c r="C3" s="572"/>
      <c r="D3" s="572"/>
      <c r="E3" s="572"/>
      <c r="F3" s="572"/>
      <c r="G3" s="572"/>
      <c r="I3" s="656"/>
    </row>
    <row r="4" spans="1:9" x14ac:dyDescent="0.2">
      <c r="A4" s="544" t="s">
        <v>138</v>
      </c>
      <c r="B4" s="544"/>
      <c r="C4" s="285">
        <v>400000</v>
      </c>
      <c r="D4" s="544"/>
      <c r="E4" s="544" t="s">
        <v>83</v>
      </c>
      <c r="F4" s="544"/>
      <c r="G4" s="286">
        <v>2016</v>
      </c>
    </row>
    <row r="5" spans="1:9" x14ac:dyDescent="0.2">
      <c r="A5" s="544" t="s">
        <v>90</v>
      </c>
      <c r="B5" s="544"/>
      <c r="C5" s="285">
        <v>0</v>
      </c>
      <c r="D5" s="544"/>
      <c r="E5" s="544" t="s">
        <v>166</v>
      </c>
      <c r="F5" s="544"/>
      <c r="G5" s="286" t="s">
        <v>167</v>
      </c>
    </row>
    <row r="6" spans="1:9" x14ac:dyDescent="0.2">
      <c r="A6" s="544" t="s">
        <v>141</v>
      </c>
      <c r="B6" s="544"/>
      <c r="C6" s="285">
        <v>0</v>
      </c>
      <c r="D6" s="544"/>
      <c r="E6" s="568" t="s">
        <v>43</v>
      </c>
      <c r="F6" s="568"/>
      <c r="G6" s="287" t="s">
        <v>94</v>
      </c>
    </row>
    <row r="7" spans="1:9" ht="15" x14ac:dyDescent="0.25">
      <c r="A7" s="652" t="s">
        <v>142</v>
      </c>
      <c r="B7" s="652"/>
      <c r="C7" s="652"/>
      <c r="D7" s="652"/>
      <c r="E7" s="652"/>
      <c r="F7" s="652"/>
      <c r="G7" s="652"/>
      <c r="I7" s="164"/>
    </row>
    <row r="8" spans="1:9" ht="15" x14ac:dyDescent="0.25">
      <c r="A8" s="651" t="s">
        <v>86</v>
      </c>
      <c r="B8" s="651"/>
      <c r="C8" s="651"/>
      <c r="D8" s="653"/>
      <c r="E8" s="651" t="s">
        <v>87</v>
      </c>
      <c r="F8" s="651"/>
      <c r="G8" s="651"/>
      <c r="I8" s="164"/>
    </row>
    <row r="9" spans="1:9" x14ac:dyDescent="0.2">
      <c r="A9" s="288" t="s">
        <v>143</v>
      </c>
      <c r="B9" s="207"/>
      <c r="C9" s="289">
        <f>Database!J28</f>
        <v>4760</v>
      </c>
      <c r="D9" s="653"/>
      <c r="E9" s="288" t="s">
        <v>49</v>
      </c>
      <c r="F9" s="207"/>
      <c r="G9" s="289">
        <f>Database!J29</f>
        <v>4892</v>
      </c>
      <c r="I9" s="164"/>
    </row>
    <row r="10" spans="1:9" x14ac:dyDescent="0.2">
      <c r="A10" s="288" t="s">
        <v>90</v>
      </c>
      <c r="B10" s="207"/>
      <c r="C10" s="289">
        <f>C5*0.04</f>
        <v>0</v>
      </c>
      <c r="D10" s="653"/>
      <c r="E10" s="288" t="s">
        <v>61</v>
      </c>
      <c r="F10" s="207" t="s">
        <v>37</v>
      </c>
      <c r="G10" s="289">
        <f>IF(F10="Yes",1673,0)</f>
        <v>0</v>
      </c>
      <c r="I10" s="164"/>
    </row>
    <row r="11" spans="1:9" x14ac:dyDescent="0.2">
      <c r="A11" s="288" t="s">
        <v>146</v>
      </c>
      <c r="B11" s="207"/>
      <c r="C11" s="289">
        <f>IF(C6&gt;0,4%*C6,0)</f>
        <v>0</v>
      </c>
      <c r="D11" s="653"/>
      <c r="E11" s="288" t="s">
        <v>146</v>
      </c>
      <c r="F11" s="207"/>
      <c r="G11" s="289">
        <f>IF(C6&gt;0,60,0)</f>
        <v>0</v>
      </c>
      <c r="I11" s="164"/>
    </row>
    <row r="12" spans="1:9" ht="15" x14ac:dyDescent="0.25">
      <c r="A12" s="290" t="s">
        <v>95</v>
      </c>
      <c r="B12" s="291"/>
      <c r="C12" s="292">
        <f>SUM(C9-C10+C11)</f>
        <v>4760</v>
      </c>
      <c r="D12" s="653"/>
      <c r="E12" s="290" t="s">
        <v>147</v>
      </c>
      <c r="F12" s="293"/>
      <c r="G12" s="292">
        <f>SUM(G9:G10)</f>
        <v>4892</v>
      </c>
      <c r="I12" s="164"/>
    </row>
    <row r="13" spans="1:9" x14ac:dyDescent="0.2">
      <c r="A13" s="288" t="s">
        <v>148</v>
      </c>
      <c r="B13" s="207" t="s">
        <v>37</v>
      </c>
      <c r="C13" s="289">
        <f>IF(B13="Yes",(C9+C10+C11+C16+C15)*0.15,IF(B13="No",0))</f>
        <v>0</v>
      </c>
      <c r="D13" s="653"/>
      <c r="E13" s="288" t="s">
        <v>129</v>
      </c>
      <c r="F13" s="207" t="s">
        <v>91</v>
      </c>
      <c r="G13" s="289">
        <f>IF(F13="Yes",50*F14,0)</f>
        <v>50</v>
      </c>
      <c r="I13" s="164"/>
    </row>
    <row r="14" spans="1:9" x14ac:dyDescent="0.2">
      <c r="A14" s="294" t="s">
        <v>98</v>
      </c>
      <c r="B14" s="295" t="s">
        <v>37</v>
      </c>
      <c r="C14" s="296">
        <f>C4*A52/10</f>
        <v>0</v>
      </c>
      <c r="D14" s="653"/>
      <c r="E14" s="288" t="s">
        <v>149</v>
      </c>
      <c r="F14" s="207">
        <v>1</v>
      </c>
      <c r="G14" s="289"/>
      <c r="I14" s="164"/>
    </row>
    <row r="15" spans="1:9" x14ac:dyDescent="0.2">
      <c r="A15" s="288" t="s">
        <v>99</v>
      </c>
      <c r="B15" s="207" t="s">
        <v>37</v>
      </c>
      <c r="C15" s="289">
        <f>IF(B15="Yes",500,0)</f>
        <v>0</v>
      </c>
      <c r="D15" s="653"/>
      <c r="E15" s="297" t="s">
        <v>151</v>
      </c>
      <c r="F15" s="207" t="s">
        <v>167</v>
      </c>
      <c r="G15" s="289">
        <f>IF(F15="Ambulance",F16*60,IF(F15="No",0,F16*60))</f>
        <v>0</v>
      </c>
      <c r="I15" s="164"/>
    </row>
    <row r="16" spans="1:9" x14ac:dyDescent="0.2">
      <c r="A16" s="288" t="s">
        <v>168</v>
      </c>
      <c r="B16" s="207" t="s">
        <v>37</v>
      </c>
      <c r="C16" s="289">
        <f>IF(B16="Yes",MAX(100,C4*0.5%),0)</f>
        <v>0</v>
      </c>
      <c r="D16" s="653"/>
      <c r="E16" s="288" t="s">
        <v>159</v>
      </c>
      <c r="F16" s="207">
        <v>0</v>
      </c>
      <c r="G16" s="289"/>
      <c r="I16" s="164"/>
    </row>
    <row r="17" spans="1:10" x14ac:dyDescent="0.2">
      <c r="A17" s="288" t="s">
        <v>132</v>
      </c>
      <c r="B17" s="207" t="s">
        <v>37</v>
      </c>
      <c r="C17" s="289">
        <f>IF(B17="Yes",50,0)</f>
        <v>0</v>
      </c>
      <c r="D17" s="653"/>
      <c r="E17" s="288" t="s">
        <v>169</v>
      </c>
      <c r="F17" s="207" t="s">
        <v>91</v>
      </c>
      <c r="G17" s="289">
        <f>IF(F17="Yes",100,0)</f>
        <v>100</v>
      </c>
      <c r="I17" s="164"/>
    </row>
    <row r="18" spans="1:10" x14ac:dyDescent="0.2">
      <c r="A18" s="288" t="s">
        <v>170</v>
      </c>
      <c r="B18" s="207" t="s">
        <v>37</v>
      </c>
      <c r="C18" s="289">
        <f>IF(B18="Yes",0.25*C12,0)</f>
        <v>0</v>
      </c>
      <c r="D18" s="653"/>
      <c r="E18" s="288" t="s">
        <v>171</v>
      </c>
      <c r="F18" s="207">
        <v>0</v>
      </c>
      <c r="G18" s="289">
        <f>F18*50</f>
        <v>0</v>
      </c>
      <c r="I18" s="164"/>
    </row>
    <row r="19" spans="1:10" x14ac:dyDescent="0.2">
      <c r="A19" s="288" t="s">
        <v>133</v>
      </c>
      <c r="B19" s="207" t="s">
        <v>37</v>
      </c>
      <c r="C19" s="289">
        <f>IF(B19="Yes",C12*0.6,0)</f>
        <v>0</v>
      </c>
      <c r="D19" s="653"/>
      <c r="E19" s="288" t="s">
        <v>170</v>
      </c>
      <c r="F19" s="207">
        <v>0</v>
      </c>
      <c r="G19" s="289">
        <f>IF(C18=0,0,0.25*G12)</f>
        <v>0</v>
      </c>
      <c r="I19" s="164"/>
    </row>
    <row r="20" spans="1:10" ht="15" x14ac:dyDescent="0.25">
      <c r="A20" s="290" t="s">
        <v>135</v>
      </c>
      <c r="B20" s="291"/>
      <c r="C20" s="292">
        <f>SUM(C12:C19)</f>
        <v>4760</v>
      </c>
      <c r="D20" s="653"/>
      <c r="E20" s="290" t="s">
        <v>153</v>
      </c>
      <c r="F20" s="291"/>
      <c r="G20" s="292">
        <f>SUM(G12,G13,G15,G17,G18)</f>
        <v>5042</v>
      </c>
      <c r="I20" s="164"/>
    </row>
    <row r="21" spans="1:10" x14ac:dyDescent="0.2">
      <c r="A21" s="288" t="s">
        <v>154</v>
      </c>
      <c r="B21" s="207"/>
      <c r="C21" s="289"/>
      <c r="D21" s="653"/>
      <c r="E21" s="288" t="s">
        <v>71</v>
      </c>
      <c r="F21" s="207">
        <v>750000</v>
      </c>
      <c r="G21" s="289">
        <f>IF(F21=750000,0,200)</f>
        <v>0</v>
      </c>
      <c r="I21" s="164"/>
    </row>
    <row r="22" spans="1:10" ht="15" x14ac:dyDescent="0.25">
      <c r="A22" s="288" t="s">
        <v>70</v>
      </c>
      <c r="B22" s="207" t="s">
        <v>37</v>
      </c>
      <c r="C22" s="289">
        <f>IF(B22="Yes",MIN(C20*0.025,500),0)</f>
        <v>0</v>
      </c>
      <c r="D22" s="653"/>
      <c r="E22" s="298"/>
      <c r="F22" s="207"/>
      <c r="G22" s="289"/>
    </row>
    <row r="23" spans="1:10" ht="15" x14ac:dyDescent="0.25">
      <c r="A23" s="288" t="s">
        <v>65</v>
      </c>
      <c r="B23" s="207" t="s">
        <v>37</v>
      </c>
      <c r="C23" s="289">
        <f>IF(B23="Yes",MIN(C20*0.05,200),0)</f>
        <v>0</v>
      </c>
      <c r="D23" s="653"/>
      <c r="E23" s="298"/>
      <c r="F23" s="207"/>
      <c r="G23" s="289"/>
    </row>
    <row r="24" spans="1:10" ht="15" x14ac:dyDescent="0.25">
      <c r="A24" s="288" t="s">
        <v>137</v>
      </c>
      <c r="B24" s="207" t="s">
        <v>37</v>
      </c>
      <c r="C24" s="289">
        <f>IF(B24="Yes",C20*(1/3),0)</f>
        <v>0</v>
      </c>
      <c r="D24" s="653"/>
      <c r="E24" s="298"/>
      <c r="F24" s="207"/>
      <c r="G24" s="289"/>
    </row>
    <row r="25" spans="1:10" ht="15" x14ac:dyDescent="0.25">
      <c r="A25" s="290" t="s">
        <v>155</v>
      </c>
      <c r="B25" s="291"/>
      <c r="C25" s="292">
        <f>C9+C13+C14+C16</f>
        <v>4760</v>
      </c>
      <c r="D25" s="653"/>
      <c r="E25" s="299"/>
      <c r="F25" s="300"/>
      <c r="G25" s="301"/>
    </row>
    <row r="26" spans="1:10" ht="15" x14ac:dyDescent="0.25">
      <c r="A26" s="288" t="s">
        <v>76</v>
      </c>
      <c r="B26" s="210">
        <v>0.25</v>
      </c>
      <c r="C26" s="289">
        <f>(C12+C13-C27)*B26</f>
        <v>595</v>
      </c>
      <c r="D26" s="653"/>
      <c r="E26" s="298"/>
      <c r="F26" s="207"/>
      <c r="G26" s="289"/>
      <c r="I26" s="165"/>
      <c r="J26" s="165"/>
    </row>
    <row r="27" spans="1:10" s="165" customFormat="1" ht="15" x14ac:dyDescent="0.25">
      <c r="A27" s="288" t="s">
        <v>111</v>
      </c>
      <c r="B27" s="302">
        <v>0.5</v>
      </c>
      <c r="C27" s="303">
        <f>(C9+C13)*B27</f>
        <v>2380</v>
      </c>
      <c r="D27" s="653"/>
      <c r="E27" s="298"/>
      <c r="F27" s="207"/>
      <c r="G27" s="289"/>
    </row>
    <row r="28" spans="1:10" s="165" customFormat="1" ht="15" x14ac:dyDescent="0.25">
      <c r="A28" s="290" t="s">
        <v>112</v>
      </c>
      <c r="B28" s="293"/>
      <c r="C28" s="304">
        <f>C25-C26-C27</f>
        <v>1785</v>
      </c>
      <c r="D28" s="653"/>
      <c r="E28" s="290" t="s">
        <v>113</v>
      </c>
      <c r="F28" s="293"/>
      <c r="G28" s="305">
        <f>G20-G21+G25</f>
        <v>5042</v>
      </c>
      <c r="I28" s="163"/>
      <c r="J28" s="163"/>
    </row>
    <row r="29" spans="1:10" ht="15" x14ac:dyDescent="0.25">
      <c r="A29" s="165"/>
      <c r="B29" s="166"/>
      <c r="C29" s="167"/>
      <c r="E29" s="165"/>
      <c r="F29" s="166"/>
      <c r="G29" s="167"/>
    </row>
    <row r="31" spans="1:10" ht="15" x14ac:dyDescent="0.25">
      <c r="B31" s="654" t="s">
        <v>116</v>
      </c>
      <c r="C31" s="654"/>
      <c r="D31" s="654"/>
      <c r="E31" s="310" t="s">
        <v>114</v>
      </c>
      <c r="F31" s="199" t="s">
        <v>115</v>
      </c>
      <c r="G31" s="311" t="s">
        <v>38</v>
      </c>
    </row>
    <row r="32" spans="1:10" ht="15" x14ac:dyDescent="0.25">
      <c r="B32" s="312"/>
      <c r="C32" s="313"/>
      <c r="D32" s="298"/>
      <c r="E32" s="314">
        <f>C28</f>
        <v>1785</v>
      </c>
      <c r="F32" s="315">
        <f>G28</f>
        <v>5042</v>
      </c>
      <c r="G32" s="289">
        <f>SUM(E32:F32)</f>
        <v>6827</v>
      </c>
    </row>
    <row r="33" spans="2:8" ht="15" x14ac:dyDescent="0.25">
      <c r="B33" s="569" t="s">
        <v>227</v>
      </c>
      <c r="C33" s="570"/>
      <c r="D33" s="570"/>
      <c r="E33" s="314">
        <f>E32*HyperLink!B21</f>
        <v>321.3</v>
      </c>
      <c r="F33" s="316">
        <f>F32*HyperLink!B21</f>
        <v>907.56</v>
      </c>
      <c r="G33" s="201">
        <f>G32*HyperLink!B21</f>
        <v>1228.8599999999999</v>
      </c>
    </row>
    <row r="34" spans="2:8" ht="15" x14ac:dyDescent="0.25">
      <c r="B34" s="651" t="s">
        <v>117</v>
      </c>
      <c r="C34" s="651"/>
      <c r="D34" s="651"/>
      <c r="E34" s="317">
        <f>SUM(E32:E33)</f>
        <v>2106.3000000000002</v>
      </c>
      <c r="F34" s="318">
        <f>SUM(F32:F33)</f>
        <v>5949.5599999999995</v>
      </c>
      <c r="G34" s="305">
        <f>SUM(G32:G33)</f>
        <v>8055.86</v>
      </c>
      <c r="H34" s="168"/>
    </row>
    <row r="35" spans="2:8" x14ac:dyDescent="0.2">
      <c r="B35" s="148"/>
      <c r="C35" s="169"/>
      <c r="D35" s="168"/>
    </row>
    <row r="36" spans="2:8" x14ac:dyDescent="0.2">
      <c r="B36" s="148"/>
      <c r="C36" s="169"/>
      <c r="D36" s="168"/>
    </row>
    <row r="37" spans="2:8" x14ac:dyDescent="0.2">
      <c r="B37" s="148"/>
      <c r="C37" s="169"/>
      <c r="D37" s="168"/>
    </row>
    <row r="38" spans="2:8" x14ac:dyDescent="0.2">
      <c r="B38" s="148"/>
      <c r="C38" s="169"/>
      <c r="D38" s="168"/>
    </row>
    <row r="39" spans="2:8" x14ac:dyDescent="0.2">
      <c r="B39" s="148"/>
      <c r="C39" s="169"/>
      <c r="D39" s="168"/>
    </row>
    <row r="40" spans="2:8" x14ac:dyDescent="0.2">
      <c r="B40" s="148"/>
      <c r="C40" s="169"/>
      <c r="D40" s="168"/>
    </row>
    <row r="41" spans="2:8" x14ac:dyDescent="0.2">
      <c r="B41" s="148"/>
      <c r="C41" s="169"/>
    </row>
    <row r="51" spans="1:2" x14ac:dyDescent="0.2">
      <c r="A51" s="172" t="s">
        <v>57</v>
      </c>
      <c r="B51" s="114" t="s">
        <v>122</v>
      </c>
    </row>
    <row r="52" spans="1:2" x14ac:dyDescent="0.2">
      <c r="A52" s="173" t="b">
        <f>IF(B14="Yes",IF(B52=0,4.5%,IF(B52=1,5.5%,IF(B52=2,7%,0))))</f>
        <v>0</v>
      </c>
      <c r="B52" s="116">
        <f ca="1">YEAR(TODAY())-(G4)</f>
        <v>1</v>
      </c>
    </row>
  </sheetData>
  <sheetProtection password="CEED" sheet="1"/>
  <mergeCells count="18">
    <mergeCell ref="A1:G1"/>
    <mergeCell ref="A2:G2"/>
    <mergeCell ref="I2:I3"/>
    <mergeCell ref="A3:G3"/>
    <mergeCell ref="A4:B4"/>
    <mergeCell ref="D4:D6"/>
    <mergeCell ref="E4:F4"/>
    <mergeCell ref="A5:B5"/>
    <mergeCell ref="E5:F5"/>
    <mergeCell ref="A6:B6"/>
    <mergeCell ref="B33:D33"/>
    <mergeCell ref="B34:D34"/>
    <mergeCell ref="E6:F6"/>
    <mergeCell ref="A7:G7"/>
    <mergeCell ref="A8:C8"/>
    <mergeCell ref="D8:D28"/>
    <mergeCell ref="E8:G8"/>
    <mergeCell ref="B31:D31"/>
  </mergeCells>
  <dataValidations count="7">
    <dataValidation type="list" allowBlank="1" showErrorMessage="1" sqref="F10 F13 B14:B19 B22:B24">
      <formula1>"Yes,No"</formula1>
      <formula2>0</formula2>
    </dataValidation>
    <dataValidation type="list" allowBlank="1" showErrorMessage="1" sqref="B13 F17">
      <formula1>"No,Yes"</formula1>
      <formula2>0</formula2>
    </dataValidation>
    <dataValidation type="list" allowBlank="1" showErrorMessage="1" sqref="F15">
      <formula1>"Ambulance,Others"</formula1>
      <formula2>0</formula2>
    </dataValidation>
    <dataValidation type="list" allowBlank="1" showErrorMessage="1" sqref="F21">
      <formula1>"750000,6000"</formula1>
      <formula2>0</formula2>
    </dataValidation>
    <dataValidation type="list" allowBlank="1" showErrorMessage="1" sqref="B26">
      <formula1>"0%,20%,25%,35%,45%,50%,55%,65%"</formula1>
      <formula2>0</formula2>
    </dataValidation>
    <dataValidation type="list" allowBlank="1" showErrorMessage="1" sqref="G6">
      <formula1>"A,B,C"</formula1>
      <formula2>0</formula2>
    </dataValidation>
    <dataValidation type="list" allowBlank="1" showErrorMessage="1" sqref="G5">
      <formula1>"Tractors under 6 HP,Others"</formula1>
    </dataValidation>
  </dataValidations>
  <hyperlinks>
    <hyperlink ref="I2" location="HyperLink!A1" display="BACK"/>
  </hyperlinks>
  <pageMargins left="0.74791666666666667" right="0.30972222222222223" top="0.98402777777777772" bottom="0.98402777777777772" header="0.51180555555555551" footer="0.51180555555555551"/>
  <pageSetup firstPageNumber="0" orientation="portrait" horizontalDpi="300" verticalDpi="300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1"/>
  <sheetViews>
    <sheetView zoomScale="130" zoomScaleNormal="130" workbookViewId="0">
      <selection activeCell="H1" sqref="H1"/>
    </sheetView>
  </sheetViews>
  <sheetFormatPr defaultRowHeight="12.75" x14ac:dyDescent="0.2"/>
  <cols>
    <col min="1" max="16384" width="9.140625" style="10"/>
  </cols>
  <sheetData>
    <row r="1" spans="1:11" ht="13.5" x14ac:dyDescent="0.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</row>
    <row r="2" spans="1:11" ht="13.5" x14ac:dyDescent="0.25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</row>
    <row r="3" spans="1:11" ht="13.5" x14ac:dyDescent="0.25">
      <c r="A3" s="13"/>
      <c r="B3" s="13" t="s">
        <v>172</v>
      </c>
      <c r="C3" s="13"/>
      <c r="D3" s="13"/>
      <c r="E3" s="13"/>
      <c r="F3" s="13"/>
      <c r="G3" s="13"/>
      <c r="H3" s="13"/>
      <c r="I3" s="13"/>
      <c r="J3" s="13"/>
      <c r="K3" s="13"/>
    </row>
    <row r="4" spans="1:11" ht="13.5" x14ac:dyDescent="0.25">
      <c r="A4" s="27" t="s">
        <v>51</v>
      </c>
      <c r="B4" s="551" t="s">
        <v>52</v>
      </c>
      <c r="C4" s="551"/>
      <c r="D4" s="551"/>
      <c r="E4" s="551"/>
      <c r="F4" s="551"/>
      <c r="G4" s="551"/>
      <c r="H4" s="13"/>
      <c r="I4" s="13"/>
      <c r="J4" s="13"/>
      <c r="K4" s="13"/>
    </row>
    <row r="5" spans="1:11" ht="13.5" x14ac:dyDescent="0.25">
      <c r="A5" s="15"/>
      <c r="B5" s="552">
        <v>1000</v>
      </c>
      <c r="C5" s="552"/>
      <c r="D5" s="552">
        <v>1500</v>
      </c>
      <c r="E5" s="552"/>
      <c r="F5" s="555">
        <v>9999</v>
      </c>
      <c r="G5" s="555"/>
      <c r="H5" s="13"/>
      <c r="I5" s="13"/>
      <c r="J5" s="13"/>
      <c r="K5" s="13"/>
    </row>
    <row r="6" spans="1:11" ht="13.5" x14ac:dyDescent="0.25">
      <c r="A6" s="15"/>
      <c r="B6" s="17" t="s">
        <v>53</v>
      </c>
      <c r="C6" s="17" t="s">
        <v>54</v>
      </c>
      <c r="D6" s="17" t="s">
        <v>53</v>
      </c>
      <c r="E6" s="17" t="s">
        <v>54</v>
      </c>
      <c r="F6" s="17" t="s">
        <v>53</v>
      </c>
      <c r="G6" s="18" t="s">
        <v>54</v>
      </c>
      <c r="H6" s="13"/>
      <c r="I6" s="13"/>
      <c r="J6" s="13"/>
      <c r="K6" s="13"/>
    </row>
    <row r="7" spans="1:11" ht="13.5" x14ac:dyDescent="0.25">
      <c r="A7" s="15">
        <v>0</v>
      </c>
      <c r="B7" s="19">
        <v>3.2839999999999998</v>
      </c>
      <c r="C7" s="19">
        <v>3.1909999999999998</v>
      </c>
      <c r="D7" s="19">
        <v>3.448</v>
      </c>
      <c r="E7" s="19">
        <v>3.351</v>
      </c>
      <c r="F7" s="19">
        <v>3.6120000000000001</v>
      </c>
      <c r="G7" s="20">
        <v>3.51</v>
      </c>
      <c r="H7" s="13"/>
      <c r="I7" s="13"/>
      <c r="J7" s="13"/>
      <c r="K7" s="13"/>
    </row>
    <row r="8" spans="1:11" ht="13.5" x14ac:dyDescent="0.25">
      <c r="A8" s="15">
        <v>6</v>
      </c>
      <c r="B8" s="19">
        <v>3.3660000000000001</v>
      </c>
      <c r="C8" s="19">
        <v>3.2709999999999999</v>
      </c>
      <c r="D8" s="19">
        <v>3.5339999999999998</v>
      </c>
      <c r="E8" s="19">
        <v>3.4350000000000001</v>
      </c>
      <c r="F8" s="19">
        <v>3.7029999999999998</v>
      </c>
      <c r="G8" s="20">
        <v>3.5979999999999999</v>
      </c>
      <c r="H8" s="13"/>
      <c r="I8" s="13"/>
      <c r="J8" s="13"/>
      <c r="K8" s="13"/>
    </row>
    <row r="9" spans="1:11" ht="13.5" x14ac:dyDescent="0.25">
      <c r="A9" s="15">
        <v>11</v>
      </c>
      <c r="B9" s="19">
        <v>3.448</v>
      </c>
      <c r="C9" s="19">
        <v>3.351</v>
      </c>
      <c r="D9" s="19">
        <v>3.62</v>
      </c>
      <c r="E9" s="19">
        <v>3.5190000000000001</v>
      </c>
      <c r="F9" s="19">
        <v>3.7930000000000001</v>
      </c>
      <c r="G9" s="20">
        <v>3.6859999999999999</v>
      </c>
      <c r="H9" s="13"/>
      <c r="I9" s="13"/>
      <c r="J9" s="13"/>
      <c r="K9" s="13"/>
    </row>
    <row r="10" spans="1:11" ht="13.5" x14ac:dyDescent="0.25">
      <c r="A10" s="15"/>
      <c r="B10" s="555" t="s">
        <v>55</v>
      </c>
      <c r="C10" s="555"/>
      <c r="D10" s="555"/>
      <c r="E10" s="555"/>
      <c r="F10" s="555"/>
      <c r="G10" s="555"/>
      <c r="H10" s="13"/>
      <c r="I10" s="13"/>
      <c r="J10" s="13"/>
      <c r="K10" s="13"/>
    </row>
    <row r="11" spans="1:11" ht="13.5" x14ac:dyDescent="0.25">
      <c r="A11" s="15"/>
      <c r="B11" s="552">
        <v>1000</v>
      </c>
      <c r="C11" s="552"/>
      <c r="D11" s="552">
        <v>1500</v>
      </c>
      <c r="E11" s="552"/>
      <c r="F11" s="555">
        <v>9999</v>
      </c>
      <c r="G11" s="555"/>
      <c r="H11" s="13"/>
      <c r="I11" s="13"/>
      <c r="J11" s="13"/>
      <c r="K11" s="13"/>
    </row>
    <row r="12" spans="1:11" ht="13.5" x14ac:dyDescent="0.25">
      <c r="A12" s="15"/>
      <c r="B12" s="17" t="s">
        <v>53</v>
      </c>
      <c r="C12" s="17" t="s">
        <v>54</v>
      </c>
      <c r="D12" s="17" t="s">
        <v>53</v>
      </c>
      <c r="E12" s="17" t="s">
        <v>54</v>
      </c>
      <c r="F12" s="17" t="s">
        <v>53</v>
      </c>
      <c r="G12" s="18" t="s">
        <v>54</v>
      </c>
      <c r="H12" s="13"/>
      <c r="I12" s="13"/>
      <c r="J12" s="13"/>
      <c r="K12" s="13"/>
    </row>
    <row r="13" spans="1:11" ht="13.5" x14ac:dyDescent="0.25">
      <c r="A13" s="15">
        <v>0</v>
      </c>
      <c r="B13" s="33">
        <v>6396</v>
      </c>
      <c r="C13" s="33">
        <v>6396</v>
      </c>
      <c r="D13" s="33">
        <v>8408</v>
      </c>
      <c r="E13" s="33">
        <v>8408</v>
      </c>
      <c r="F13" s="33">
        <v>11144</v>
      </c>
      <c r="G13" s="33">
        <v>11144</v>
      </c>
      <c r="H13" s="13"/>
      <c r="I13" s="13"/>
      <c r="J13" s="13"/>
      <c r="K13" s="13"/>
    </row>
    <row r="14" spans="1:11" ht="13.5" x14ac:dyDescent="0.25">
      <c r="A14" s="15">
        <v>6</v>
      </c>
      <c r="B14" s="33">
        <v>6396</v>
      </c>
      <c r="C14" s="33">
        <v>6396</v>
      </c>
      <c r="D14" s="33">
        <v>8408</v>
      </c>
      <c r="E14" s="33">
        <v>8408</v>
      </c>
      <c r="F14" s="33">
        <v>11144</v>
      </c>
      <c r="G14" s="33">
        <v>11144</v>
      </c>
      <c r="H14" s="13"/>
      <c r="I14" s="13"/>
      <c r="J14" s="13"/>
      <c r="K14" s="13"/>
    </row>
    <row r="15" spans="1:11" ht="13.5" x14ac:dyDescent="0.25">
      <c r="A15" s="30">
        <v>11</v>
      </c>
      <c r="B15" s="33">
        <v>6396</v>
      </c>
      <c r="C15" s="33">
        <v>6396</v>
      </c>
      <c r="D15" s="33">
        <v>8408</v>
      </c>
      <c r="E15" s="33">
        <v>8408</v>
      </c>
      <c r="F15" s="33">
        <v>11144</v>
      </c>
      <c r="G15" s="33">
        <v>11144</v>
      </c>
      <c r="H15" s="13"/>
      <c r="I15" s="13"/>
      <c r="J15" s="13"/>
      <c r="K15" s="13"/>
    </row>
    <row r="16" spans="1:11" ht="13.5" x14ac:dyDescent="0.25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</row>
    <row r="17" spans="1:11" ht="13.5" x14ac:dyDescent="0.25">
      <c r="A17" s="27" t="s">
        <v>56</v>
      </c>
      <c r="B17" s="550" t="s">
        <v>52</v>
      </c>
      <c r="C17" s="550"/>
      <c r="D17" s="551" t="s">
        <v>55</v>
      </c>
      <c r="E17" s="551"/>
      <c r="F17" s="13"/>
      <c r="G17" s="13"/>
      <c r="H17" s="13"/>
      <c r="I17" s="13"/>
      <c r="J17" s="13"/>
      <c r="K17" s="13"/>
    </row>
    <row r="18" spans="1:11" ht="13.5" x14ac:dyDescent="0.25">
      <c r="A18" s="15"/>
      <c r="B18" s="17" t="s">
        <v>57</v>
      </c>
      <c r="C18" s="17" t="s">
        <v>58</v>
      </c>
      <c r="D18" s="17" t="s">
        <v>57</v>
      </c>
      <c r="E18" s="18" t="s">
        <v>58</v>
      </c>
      <c r="F18" s="13"/>
      <c r="G18" s="13"/>
      <c r="H18" s="13"/>
      <c r="I18" s="13" t="s">
        <v>62</v>
      </c>
      <c r="J18" s="13"/>
      <c r="K18" s="13"/>
    </row>
    <row r="19" spans="1:11" ht="13.5" x14ac:dyDescent="0.25">
      <c r="A19" s="15" t="s">
        <v>59</v>
      </c>
      <c r="B19" s="28">
        <v>0.04</v>
      </c>
      <c r="C19" s="17"/>
      <c r="D19" s="17"/>
      <c r="E19" s="18"/>
      <c r="F19" s="13"/>
      <c r="G19" s="13"/>
      <c r="H19" s="13"/>
      <c r="I19" s="13">
        <v>0</v>
      </c>
      <c r="J19" s="13">
        <v>0</v>
      </c>
      <c r="K19" s="13"/>
    </row>
    <row r="20" spans="1:11" ht="13.5" x14ac:dyDescent="0.25">
      <c r="A20" s="15" t="s">
        <v>60</v>
      </c>
      <c r="B20" s="28">
        <v>0.04</v>
      </c>
      <c r="C20" s="17"/>
      <c r="D20" s="17"/>
      <c r="E20" s="18">
        <v>60</v>
      </c>
      <c r="F20" s="13"/>
      <c r="G20" s="13"/>
      <c r="H20" s="13"/>
      <c r="I20" s="13">
        <v>2500</v>
      </c>
      <c r="J20" s="13">
        <f ca="1">MIN(750,20%*'PCCV 4W Up To 6 P'!$C$13)</f>
        <v>750</v>
      </c>
      <c r="K20" s="13"/>
    </row>
    <row r="21" spans="1:11" ht="13.5" x14ac:dyDescent="0.25">
      <c r="A21" s="15" t="s">
        <v>61</v>
      </c>
      <c r="B21" s="29">
        <v>5.0000000000000001E-3</v>
      </c>
      <c r="C21" s="17">
        <v>50</v>
      </c>
      <c r="D21" s="17"/>
      <c r="E21" s="18"/>
      <c r="F21" s="13"/>
      <c r="G21" s="13"/>
      <c r="H21" s="13"/>
      <c r="I21" s="13">
        <v>5000</v>
      </c>
      <c r="J21" s="13">
        <f ca="1">MIN(1500,25%*'PCCV 4W Up To 6 P'!$C$13)</f>
        <v>1500</v>
      </c>
      <c r="K21" s="13"/>
    </row>
    <row r="22" spans="1:11" ht="13.5" x14ac:dyDescent="0.25">
      <c r="A22" s="15"/>
      <c r="B22" s="17"/>
      <c r="C22" s="17"/>
      <c r="D22" s="17"/>
      <c r="E22" s="18"/>
      <c r="F22" s="13"/>
      <c r="G22" s="13"/>
      <c r="H22" s="13"/>
      <c r="I22" s="13">
        <v>7500</v>
      </c>
      <c r="J22" s="13">
        <f ca="1">MIN(2000,30%*'PCCV 4W Up To 6 P'!$C$13)</f>
        <v>2000</v>
      </c>
      <c r="K22" s="13"/>
    </row>
    <row r="23" spans="1:11" ht="13.5" x14ac:dyDescent="0.25">
      <c r="A23" s="15" t="s">
        <v>63</v>
      </c>
      <c r="B23" s="17"/>
      <c r="C23" s="17">
        <v>400</v>
      </c>
      <c r="D23" s="17"/>
      <c r="E23" s="18">
        <v>100</v>
      </c>
      <c r="F23" s="13"/>
      <c r="G23" s="13"/>
      <c r="H23" s="13"/>
      <c r="I23" s="13">
        <v>15000</v>
      </c>
      <c r="J23" s="13">
        <f ca="1">MIN(2500,35%*'PCCV 4W Up To 6 P'!$C$13)</f>
        <v>2500</v>
      </c>
      <c r="K23" s="13"/>
    </row>
    <row r="24" spans="1:11" ht="13.5" x14ac:dyDescent="0.25">
      <c r="A24" s="15" t="s">
        <v>64</v>
      </c>
      <c r="B24" s="28">
        <v>0.3</v>
      </c>
      <c r="C24" s="17"/>
      <c r="D24" s="17"/>
      <c r="E24" s="18"/>
      <c r="F24" s="13"/>
      <c r="G24" s="13"/>
      <c r="H24" s="13"/>
      <c r="I24" s="13"/>
      <c r="J24" s="13"/>
      <c r="K24" s="13"/>
    </row>
    <row r="25" spans="1:11" ht="13.5" x14ac:dyDescent="0.25">
      <c r="A25" s="15" t="s">
        <v>65</v>
      </c>
      <c r="B25" s="29">
        <v>0.05</v>
      </c>
      <c r="C25" s="17">
        <v>50</v>
      </c>
      <c r="D25" s="17"/>
      <c r="E25" s="18"/>
      <c r="F25" s="13"/>
      <c r="G25" s="13"/>
      <c r="H25" s="13"/>
      <c r="I25" s="13"/>
      <c r="J25" s="13"/>
      <c r="K25" s="13"/>
    </row>
    <row r="26" spans="1:11" ht="13.5" x14ac:dyDescent="0.25">
      <c r="A26" s="15" t="s">
        <v>66</v>
      </c>
      <c r="B26" s="17"/>
      <c r="C26" s="17"/>
      <c r="D26" s="17"/>
      <c r="E26" s="18">
        <v>100</v>
      </c>
      <c r="F26" s="13"/>
      <c r="G26" s="13"/>
      <c r="H26" s="13"/>
      <c r="I26" s="13"/>
      <c r="J26" s="13"/>
      <c r="K26" s="13"/>
    </row>
    <row r="27" spans="1:11" ht="13.5" x14ac:dyDescent="0.25">
      <c r="A27" s="15" t="s">
        <v>67</v>
      </c>
      <c r="B27" s="17"/>
      <c r="C27" s="17"/>
      <c r="D27" s="17"/>
      <c r="E27" s="18">
        <v>50</v>
      </c>
      <c r="F27" s="13"/>
      <c r="G27" s="13"/>
      <c r="H27" s="13"/>
      <c r="I27" s="13"/>
      <c r="J27" s="13"/>
      <c r="K27" s="13"/>
    </row>
    <row r="28" spans="1:11" ht="13.5" x14ac:dyDescent="0.25">
      <c r="A28" s="15" t="s">
        <v>68</v>
      </c>
      <c r="B28" s="17"/>
      <c r="C28" s="17"/>
      <c r="D28" s="17"/>
      <c r="E28" s="18">
        <v>50</v>
      </c>
      <c r="F28" s="13"/>
      <c r="G28" s="13"/>
      <c r="H28" s="13"/>
      <c r="I28" s="13"/>
      <c r="J28" s="13"/>
      <c r="K28" s="13"/>
    </row>
    <row r="29" spans="1:11" ht="13.5" x14ac:dyDescent="0.25">
      <c r="A29" s="15"/>
      <c r="B29" s="17"/>
      <c r="C29" s="17"/>
      <c r="D29" s="17"/>
      <c r="E29" s="18"/>
      <c r="F29" s="13"/>
      <c r="G29" s="13"/>
      <c r="H29" s="13"/>
      <c r="I29" s="13"/>
      <c r="J29" s="13"/>
      <c r="K29" s="13"/>
    </row>
    <row r="30" spans="1:11" ht="13.5" x14ac:dyDescent="0.25">
      <c r="A30" s="15"/>
      <c r="B30" s="17"/>
      <c r="C30" s="17"/>
      <c r="D30" s="17"/>
      <c r="E30" s="18"/>
      <c r="F30" s="13"/>
      <c r="G30" s="13"/>
      <c r="H30" s="13"/>
      <c r="I30" s="13"/>
      <c r="J30" s="13"/>
      <c r="K30" s="13"/>
    </row>
    <row r="31" spans="1:11" ht="13.5" x14ac:dyDescent="0.25">
      <c r="A31" s="15"/>
      <c r="B31" s="17"/>
      <c r="C31" s="17"/>
      <c r="D31" s="17"/>
      <c r="E31" s="18"/>
      <c r="F31" s="13"/>
      <c r="G31" s="13"/>
      <c r="H31" s="13"/>
      <c r="I31" s="13"/>
      <c r="J31" s="13"/>
      <c r="K31" s="13"/>
    </row>
    <row r="32" spans="1:11" ht="13.5" x14ac:dyDescent="0.25">
      <c r="A32" s="15" t="s">
        <v>69</v>
      </c>
      <c r="B32" s="17"/>
      <c r="C32" s="17"/>
      <c r="D32" s="17"/>
      <c r="E32" s="18"/>
      <c r="F32" s="13"/>
      <c r="G32" s="13"/>
      <c r="H32" s="13"/>
      <c r="I32" s="13"/>
      <c r="J32" s="13"/>
      <c r="K32" s="13"/>
    </row>
    <row r="33" spans="1:11" ht="13.5" x14ac:dyDescent="0.25">
      <c r="A33" s="15" t="s">
        <v>70</v>
      </c>
      <c r="B33" s="17">
        <v>2.5</v>
      </c>
      <c r="C33" s="17">
        <v>500</v>
      </c>
      <c r="D33" s="17"/>
      <c r="E33" s="18"/>
      <c r="F33" s="13"/>
      <c r="G33" s="13"/>
      <c r="H33" s="13"/>
      <c r="I33" s="13"/>
      <c r="J33" s="13"/>
      <c r="K33" s="13"/>
    </row>
    <row r="34" spans="1:11" ht="13.5" x14ac:dyDescent="0.25">
      <c r="A34" s="15" t="s">
        <v>71</v>
      </c>
      <c r="B34" s="17"/>
      <c r="C34" s="17"/>
      <c r="D34" s="17"/>
      <c r="E34" s="18">
        <v>100</v>
      </c>
      <c r="F34" s="13"/>
      <c r="G34" s="13"/>
      <c r="H34" s="13"/>
      <c r="I34" s="13"/>
      <c r="J34" s="13"/>
      <c r="K34" s="13"/>
    </row>
    <row r="35" spans="1:11" ht="13.5" x14ac:dyDescent="0.25">
      <c r="A35" s="15" t="s">
        <v>72</v>
      </c>
      <c r="B35" s="28">
        <v>0.5</v>
      </c>
      <c r="C35" s="17"/>
      <c r="D35" s="17"/>
      <c r="E35" s="18"/>
      <c r="F35" s="13"/>
      <c r="G35" s="13"/>
      <c r="H35" s="13"/>
      <c r="I35" s="13"/>
      <c r="J35" s="13"/>
      <c r="K35" s="13"/>
    </row>
    <row r="36" spans="1:11" ht="13.5" x14ac:dyDescent="0.25">
      <c r="A36" s="15" t="s">
        <v>73</v>
      </c>
      <c r="B36" s="29">
        <v>0.33329999999999999</v>
      </c>
      <c r="C36" s="17"/>
      <c r="D36" s="17"/>
      <c r="E36" s="18"/>
      <c r="F36" s="13"/>
      <c r="G36" s="13"/>
      <c r="H36" s="13"/>
      <c r="I36" s="13"/>
      <c r="J36" s="13"/>
      <c r="K36" s="13"/>
    </row>
    <row r="37" spans="1:11" ht="13.5" x14ac:dyDescent="0.25">
      <c r="A37" s="15" t="s">
        <v>74</v>
      </c>
      <c r="B37" s="17" t="s">
        <v>58</v>
      </c>
      <c r="C37" s="17" t="s">
        <v>57</v>
      </c>
      <c r="D37" s="17" t="s">
        <v>75</v>
      </c>
      <c r="E37" s="18"/>
      <c r="F37" s="13"/>
      <c r="G37" s="13"/>
      <c r="H37" s="13"/>
      <c r="I37" s="13"/>
      <c r="J37" s="13"/>
      <c r="K37" s="13"/>
    </row>
    <row r="38" spans="1:11" ht="13.5" x14ac:dyDescent="0.25">
      <c r="A38" s="15"/>
      <c r="B38" s="17">
        <v>2500</v>
      </c>
      <c r="C38" s="17">
        <v>20</v>
      </c>
      <c r="D38" s="17">
        <v>750</v>
      </c>
      <c r="E38" s="18"/>
      <c r="F38" s="13"/>
      <c r="G38" s="13"/>
      <c r="H38" s="13"/>
      <c r="I38" s="13"/>
      <c r="J38" s="13"/>
      <c r="K38" s="13"/>
    </row>
    <row r="39" spans="1:11" ht="13.5" x14ac:dyDescent="0.25">
      <c r="A39" s="15"/>
      <c r="B39" s="17">
        <v>5000</v>
      </c>
      <c r="C39" s="17">
        <v>25</v>
      </c>
      <c r="D39" s="17">
        <v>1500</v>
      </c>
      <c r="E39" s="18"/>
      <c r="F39" s="13"/>
      <c r="G39" s="13"/>
      <c r="H39" s="13"/>
      <c r="I39" s="13"/>
      <c r="J39" s="13"/>
      <c r="K39" s="13"/>
    </row>
    <row r="40" spans="1:11" ht="13.5" x14ac:dyDescent="0.25">
      <c r="A40" s="15"/>
      <c r="B40" s="17">
        <v>7500</v>
      </c>
      <c r="C40" s="17">
        <v>30</v>
      </c>
      <c r="D40" s="17">
        <v>2000</v>
      </c>
      <c r="E40" s="18"/>
      <c r="F40" s="13"/>
      <c r="G40" s="13"/>
      <c r="H40" s="13"/>
      <c r="I40" s="13"/>
      <c r="J40" s="13"/>
      <c r="K40" s="13"/>
    </row>
    <row r="41" spans="1:11" ht="13.5" x14ac:dyDescent="0.25">
      <c r="A41" s="15"/>
      <c r="B41" s="17">
        <v>15000</v>
      </c>
      <c r="C41" s="17">
        <v>35</v>
      </c>
      <c r="D41" s="17">
        <v>2500</v>
      </c>
      <c r="E41" s="18"/>
      <c r="F41" s="13"/>
      <c r="G41" s="13"/>
      <c r="H41" s="13"/>
      <c r="I41" s="13"/>
      <c r="J41" s="13"/>
      <c r="K41" s="13"/>
    </row>
    <row r="42" spans="1:11" ht="13.5" x14ac:dyDescent="0.25">
      <c r="A42" s="15"/>
      <c r="B42" s="17"/>
      <c r="C42" s="17"/>
      <c r="D42" s="17"/>
      <c r="E42" s="18"/>
      <c r="F42" s="13"/>
      <c r="G42" s="13"/>
      <c r="H42" s="13"/>
      <c r="I42" s="13"/>
      <c r="J42" s="13"/>
      <c r="K42" s="13"/>
    </row>
    <row r="43" spans="1:11" ht="13.5" x14ac:dyDescent="0.25">
      <c r="A43" s="15"/>
      <c r="B43" s="17"/>
      <c r="C43" s="17"/>
      <c r="D43" s="17"/>
      <c r="E43" s="18"/>
      <c r="F43" s="13"/>
      <c r="G43" s="13"/>
      <c r="H43" s="13"/>
      <c r="I43" s="13"/>
      <c r="J43" s="13"/>
      <c r="K43" s="13"/>
    </row>
    <row r="44" spans="1:11" ht="13.5" x14ac:dyDescent="0.25">
      <c r="A44" s="30"/>
      <c r="B44" s="31"/>
      <c r="C44" s="31"/>
      <c r="D44" s="31"/>
      <c r="E44" s="32"/>
      <c r="F44" s="13"/>
      <c r="G44" s="13"/>
      <c r="H44" s="13"/>
      <c r="I44" s="13"/>
      <c r="J44" s="13"/>
      <c r="K44" s="13"/>
    </row>
    <row r="45" spans="1:11" ht="13.5" x14ac:dyDescent="0.25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</row>
    <row r="46" spans="1:11" ht="13.5" x14ac:dyDescent="0.25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</row>
    <row r="47" spans="1:11" ht="13.5" x14ac:dyDescent="0.25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</row>
    <row r="48" spans="1:11" ht="13.5" x14ac:dyDescent="0.25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</row>
    <row r="49" spans="1:11" ht="13.5" x14ac:dyDescent="0.25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</row>
    <row r="50" spans="1:11" ht="13.5" x14ac:dyDescent="0.25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</row>
    <row r="51" spans="1:11" ht="13.5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</row>
  </sheetData>
  <sheetProtection password="CEED" sheet="1" selectLockedCells="1" selectUnlockedCells="1"/>
  <mergeCells count="10">
    <mergeCell ref="B17:C17"/>
    <mergeCell ref="D17:E17"/>
    <mergeCell ref="B4:G4"/>
    <mergeCell ref="B5:C5"/>
    <mergeCell ref="D5:E5"/>
    <mergeCell ref="F5:G5"/>
    <mergeCell ref="B10:G10"/>
    <mergeCell ref="B11:C11"/>
    <mergeCell ref="D11:E11"/>
    <mergeCell ref="F11:G11"/>
  </mergeCells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1"/>
  <sheetViews>
    <sheetView zoomScale="115" zoomScaleNormal="115" workbookViewId="0">
      <selection activeCell="I16" sqref="I16"/>
    </sheetView>
  </sheetViews>
  <sheetFormatPr defaultRowHeight="12.75" x14ac:dyDescent="0.2"/>
  <cols>
    <col min="1" max="16384" width="9.140625" style="10"/>
  </cols>
  <sheetData>
    <row r="1" spans="1:11" ht="13.5" x14ac:dyDescent="0.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</row>
    <row r="2" spans="1:11" ht="13.5" x14ac:dyDescent="0.25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</row>
    <row r="3" spans="1:11" ht="13.5" x14ac:dyDescent="0.25">
      <c r="A3" s="13"/>
      <c r="B3" s="13" t="s">
        <v>173</v>
      </c>
      <c r="C3" s="13"/>
      <c r="D3" s="13"/>
      <c r="E3" s="13"/>
      <c r="F3" s="13"/>
      <c r="G3" s="13"/>
      <c r="H3" s="13"/>
      <c r="I3" s="13"/>
      <c r="J3" s="13"/>
      <c r="K3" s="13"/>
    </row>
    <row r="4" spans="1:11" ht="13.5" x14ac:dyDescent="0.25">
      <c r="A4" s="27" t="s">
        <v>51</v>
      </c>
      <c r="B4" s="551" t="s">
        <v>52</v>
      </c>
      <c r="C4" s="551"/>
      <c r="D4" s="551"/>
      <c r="E4" s="551"/>
      <c r="F4" s="551"/>
      <c r="G4" s="551"/>
      <c r="H4" s="13"/>
      <c r="I4" s="13"/>
      <c r="J4" s="13"/>
      <c r="K4" s="13"/>
    </row>
    <row r="5" spans="1:11" ht="13.5" x14ac:dyDescent="0.25">
      <c r="A5" s="15"/>
      <c r="B5" s="552">
        <v>1000</v>
      </c>
      <c r="C5" s="552"/>
      <c r="D5" s="552">
        <v>1500</v>
      </c>
      <c r="E5" s="552"/>
      <c r="F5" s="555">
        <v>9999</v>
      </c>
      <c r="G5" s="555"/>
      <c r="H5" s="13"/>
      <c r="I5" s="13"/>
      <c r="J5" s="13"/>
      <c r="K5" s="13"/>
    </row>
    <row r="6" spans="1:11" ht="13.5" x14ac:dyDescent="0.25">
      <c r="A6" s="15"/>
      <c r="B6" s="17" t="s">
        <v>53</v>
      </c>
      <c r="C6" s="17" t="s">
        <v>54</v>
      </c>
      <c r="D6" s="17" t="s">
        <v>53</v>
      </c>
      <c r="E6" s="17" t="s">
        <v>54</v>
      </c>
      <c r="F6" s="17" t="s">
        <v>53</v>
      </c>
      <c r="G6" s="18" t="s">
        <v>54</v>
      </c>
      <c r="H6" s="13"/>
      <c r="I6" s="13"/>
      <c r="J6" s="13"/>
      <c r="K6" s="13"/>
    </row>
    <row r="7" spans="1:11" ht="13.5" x14ac:dyDescent="0.25">
      <c r="A7" s="15">
        <v>0</v>
      </c>
      <c r="B7" s="19">
        <v>3.1269999999999998</v>
      </c>
      <c r="C7" s="19">
        <v>3.0390000000000001</v>
      </c>
      <c r="D7" s="19">
        <v>3.2829999999999999</v>
      </c>
      <c r="E7" s="19">
        <v>3.1909999999999998</v>
      </c>
      <c r="F7" s="19">
        <v>3.44</v>
      </c>
      <c r="G7" s="20">
        <v>3.343</v>
      </c>
      <c r="H7" s="13"/>
      <c r="I7" s="13"/>
      <c r="J7" s="13"/>
      <c r="K7" s="13"/>
    </row>
    <row r="8" spans="1:11" ht="13.5" x14ac:dyDescent="0.25">
      <c r="A8" s="15">
        <v>6</v>
      </c>
      <c r="B8" s="19">
        <v>3.2829999999999999</v>
      </c>
      <c r="C8" s="19">
        <v>3.1909999999999998</v>
      </c>
      <c r="D8" s="19">
        <v>3.4470000000000001</v>
      </c>
      <c r="E8" s="19">
        <v>3.351</v>
      </c>
      <c r="F8" s="19">
        <v>3.6120000000000001</v>
      </c>
      <c r="G8" s="20">
        <v>3.51</v>
      </c>
      <c r="H8" s="13"/>
      <c r="I8" s="13"/>
      <c r="J8" s="13"/>
      <c r="K8" s="13"/>
    </row>
    <row r="9" spans="1:11" ht="13.5" x14ac:dyDescent="0.25">
      <c r="A9" s="15">
        <v>11</v>
      </c>
      <c r="B9" s="19">
        <v>3.3620000000000001</v>
      </c>
      <c r="C9" s="19">
        <v>3.2669999999999999</v>
      </c>
      <c r="D9" s="19">
        <v>3.5289999999999999</v>
      </c>
      <c r="E9" s="19">
        <v>3.43</v>
      </c>
      <c r="F9" s="19">
        <v>3.698</v>
      </c>
      <c r="G9" s="20">
        <v>3.5939999999999999</v>
      </c>
      <c r="H9" s="13"/>
      <c r="I9" s="13"/>
      <c r="J9" s="13"/>
      <c r="K9" s="13"/>
    </row>
    <row r="10" spans="1:11" ht="13.5" x14ac:dyDescent="0.25">
      <c r="A10" s="15"/>
      <c r="B10" s="555" t="s">
        <v>55</v>
      </c>
      <c r="C10" s="555"/>
      <c r="D10" s="555"/>
      <c r="E10" s="555"/>
      <c r="F10" s="555"/>
      <c r="G10" s="555"/>
      <c r="H10" s="13"/>
      <c r="I10" s="13"/>
      <c r="J10" s="13"/>
      <c r="K10" s="13"/>
    </row>
    <row r="11" spans="1:11" ht="13.5" x14ac:dyDescent="0.25">
      <c r="A11" s="15"/>
      <c r="B11" s="552">
        <v>1000</v>
      </c>
      <c r="C11" s="552"/>
      <c r="D11" s="552">
        <v>1500</v>
      </c>
      <c r="E11" s="552"/>
      <c r="F11" s="555">
        <v>9999</v>
      </c>
      <c r="G11" s="555"/>
      <c r="H11" s="13"/>
      <c r="I11" s="13"/>
      <c r="J11" s="13"/>
      <c r="K11" s="13"/>
    </row>
    <row r="12" spans="1:11" ht="13.5" x14ac:dyDescent="0.25">
      <c r="A12" s="15"/>
      <c r="B12" s="17" t="s">
        <v>53</v>
      </c>
      <c r="C12" s="17" t="s">
        <v>54</v>
      </c>
      <c r="D12" s="17" t="s">
        <v>53</v>
      </c>
      <c r="E12" s="17" t="s">
        <v>54</v>
      </c>
      <c r="F12" s="17" t="s">
        <v>53</v>
      </c>
      <c r="G12" s="18" t="s">
        <v>54</v>
      </c>
      <c r="H12" s="13"/>
      <c r="I12" s="13"/>
      <c r="J12" s="13"/>
      <c r="K12" s="13"/>
    </row>
    <row r="13" spans="1:11" ht="13.5" x14ac:dyDescent="0.25">
      <c r="A13" s="15">
        <v>0</v>
      </c>
      <c r="B13" s="34">
        <v>2055</v>
      </c>
      <c r="C13" s="34">
        <v>2055</v>
      </c>
      <c r="D13" s="34">
        <v>2863</v>
      </c>
      <c r="E13" s="34">
        <v>2863</v>
      </c>
      <c r="F13" s="34">
        <v>7890</v>
      </c>
      <c r="G13" s="34">
        <v>7890</v>
      </c>
      <c r="H13" s="13"/>
      <c r="I13" s="13"/>
      <c r="J13" s="13"/>
      <c r="K13" s="13"/>
    </row>
    <row r="14" spans="1:11" ht="13.5" x14ac:dyDescent="0.25">
      <c r="A14" s="15">
        <v>6</v>
      </c>
      <c r="B14" s="34">
        <v>2055</v>
      </c>
      <c r="C14" s="34">
        <v>2055</v>
      </c>
      <c r="D14" s="34">
        <v>2863</v>
      </c>
      <c r="E14" s="34">
        <v>2863</v>
      </c>
      <c r="F14" s="34">
        <v>7890</v>
      </c>
      <c r="G14" s="34">
        <v>7890</v>
      </c>
      <c r="H14" s="13"/>
      <c r="I14" s="13"/>
      <c r="J14" s="13"/>
      <c r="K14" s="13"/>
    </row>
    <row r="15" spans="1:11" ht="13.5" x14ac:dyDescent="0.25">
      <c r="A15" s="30">
        <v>11</v>
      </c>
      <c r="B15" s="34">
        <v>2055</v>
      </c>
      <c r="C15" s="34">
        <v>2055</v>
      </c>
      <c r="D15" s="34">
        <v>2863</v>
      </c>
      <c r="E15" s="34">
        <v>2863</v>
      </c>
      <c r="F15" s="34">
        <v>7890</v>
      </c>
      <c r="G15" s="34">
        <v>7890</v>
      </c>
      <c r="H15" s="13"/>
      <c r="I15" s="13"/>
      <c r="J15" s="13"/>
      <c r="K15" s="13"/>
    </row>
    <row r="16" spans="1:11" ht="13.5" x14ac:dyDescent="0.25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</row>
    <row r="17" spans="1:11" ht="13.5" x14ac:dyDescent="0.25">
      <c r="A17" s="27" t="s">
        <v>56</v>
      </c>
      <c r="B17" s="550" t="s">
        <v>52</v>
      </c>
      <c r="C17" s="550"/>
      <c r="D17" s="551" t="s">
        <v>55</v>
      </c>
      <c r="E17" s="551"/>
      <c r="F17" s="13"/>
      <c r="G17" s="13"/>
      <c r="H17" s="13"/>
      <c r="I17" s="13"/>
      <c r="J17" s="13"/>
      <c r="K17" s="13"/>
    </row>
    <row r="18" spans="1:11" ht="13.5" x14ac:dyDescent="0.25">
      <c r="A18" s="15"/>
      <c r="B18" s="17" t="s">
        <v>57</v>
      </c>
      <c r="C18" s="17" t="s">
        <v>58</v>
      </c>
      <c r="D18" s="17" t="s">
        <v>57</v>
      </c>
      <c r="E18" s="18" t="s">
        <v>58</v>
      </c>
      <c r="F18" s="13"/>
      <c r="G18" s="13"/>
      <c r="H18" s="13"/>
      <c r="I18" s="13" t="s">
        <v>62</v>
      </c>
      <c r="J18" s="13"/>
      <c r="K18" s="13"/>
    </row>
    <row r="19" spans="1:11" ht="13.5" x14ac:dyDescent="0.25">
      <c r="A19" s="15" t="s">
        <v>59</v>
      </c>
      <c r="B19" s="28">
        <v>0.04</v>
      </c>
      <c r="C19" s="17"/>
      <c r="D19" s="17"/>
      <c r="E19" s="18"/>
      <c r="F19" s="13"/>
      <c r="G19" s="13"/>
      <c r="H19" s="13"/>
      <c r="I19" s="13">
        <v>0</v>
      </c>
      <c r="J19" s="13">
        <v>0</v>
      </c>
      <c r="K19" s="13"/>
    </row>
    <row r="20" spans="1:11" ht="13.5" x14ac:dyDescent="0.25">
      <c r="A20" s="15" t="s">
        <v>60</v>
      </c>
      <c r="B20" s="28">
        <v>0.04</v>
      </c>
      <c r="C20" s="17"/>
      <c r="D20" s="17"/>
      <c r="E20" s="18">
        <v>60</v>
      </c>
      <c r="F20" s="13"/>
      <c r="G20" s="13"/>
      <c r="H20" s="13"/>
      <c r="I20" s="13">
        <v>2500</v>
      </c>
      <c r="J20" s="13">
        <f ca="1">MIN(750,20%*Pvt.Car!$C$13)</f>
        <v>750</v>
      </c>
      <c r="K20" s="13"/>
    </row>
    <row r="21" spans="1:11" ht="13.5" x14ac:dyDescent="0.25">
      <c r="A21" s="15" t="s">
        <v>61</v>
      </c>
      <c r="B21" s="29">
        <v>5.0000000000000001E-3</v>
      </c>
      <c r="C21" s="17">
        <v>50</v>
      </c>
      <c r="D21" s="17"/>
      <c r="E21" s="18"/>
      <c r="F21" s="13"/>
      <c r="G21" s="13"/>
      <c r="H21" s="13"/>
      <c r="I21" s="13">
        <v>5000</v>
      </c>
      <c r="J21" s="13">
        <f ca="1">MIN(1500,25%*Pvt.Car!$C$13)</f>
        <v>1500</v>
      </c>
      <c r="K21" s="13"/>
    </row>
    <row r="22" spans="1:11" ht="13.5" x14ac:dyDescent="0.25">
      <c r="A22" s="15"/>
      <c r="B22" s="17"/>
      <c r="C22" s="17"/>
      <c r="D22" s="17"/>
      <c r="E22" s="18"/>
      <c r="F22" s="13"/>
      <c r="G22" s="13"/>
      <c r="H22" s="13"/>
      <c r="I22" s="13">
        <v>7500</v>
      </c>
      <c r="J22" s="13">
        <f ca="1">MIN(2000,30%*Pvt.Car!$C$13)</f>
        <v>2000</v>
      </c>
      <c r="K22" s="13"/>
    </row>
    <row r="23" spans="1:11" ht="13.5" x14ac:dyDescent="0.25">
      <c r="A23" s="15" t="s">
        <v>63</v>
      </c>
      <c r="B23" s="17"/>
      <c r="C23" s="17">
        <v>400</v>
      </c>
      <c r="D23" s="17"/>
      <c r="E23" s="18">
        <v>100</v>
      </c>
      <c r="F23" s="13"/>
      <c r="G23" s="13"/>
      <c r="H23" s="13"/>
      <c r="I23" s="13">
        <v>15000</v>
      </c>
      <c r="J23" s="13">
        <f ca="1">MIN(2500,35%*Pvt.Car!$C$13)</f>
        <v>2500</v>
      </c>
      <c r="K23" s="13"/>
    </row>
    <row r="24" spans="1:11" ht="13.5" x14ac:dyDescent="0.25">
      <c r="A24" s="15" t="s">
        <v>64</v>
      </c>
      <c r="B24" s="28">
        <v>0.3</v>
      </c>
      <c r="C24" s="17"/>
      <c r="D24" s="17"/>
      <c r="E24" s="18"/>
      <c r="F24" s="13"/>
      <c r="G24" s="13"/>
      <c r="H24" s="13"/>
      <c r="I24" s="13"/>
      <c r="J24" s="13"/>
      <c r="K24" s="13"/>
    </row>
    <row r="25" spans="1:11" ht="13.5" x14ac:dyDescent="0.25">
      <c r="A25" s="15" t="s">
        <v>65</v>
      </c>
      <c r="B25" s="29">
        <v>0.05</v>
      </c>
      <c r="C25" s="17">
        <v>50</v>
      </c>
      <c r="D25" s="17"/>
      <c r="E25" s="18"/>
      <c r="F25" s="13"/>
      <c r="G25" s="13"/>
      <c r="H25" s="13"/>
      <c r="I25" s="13"/>
      <c r="J25" s="13"/>
      <c r="K25" s="13"/>
    </row>
    <row r="26" spans="1:11" ht="13.5" x14ac:dyDescent="0.25">
      <c r="A26" s="15" t="s">
        <v>66</v>
      </c>
      <c r="B26" s="17"/>
      <c r="C26" s="17"/>
      <c r="D26" s="17"/>
      <c r="E26" s="18">
        <v>100</v>
      </c>
      <c r="F26" s="13"/>
      <c r="G26" s="13"/>
      <c r="H26" s="13"/>
      <c r="I26" s="13"/>
      <c r="J26" s="13"/>
      <c r="K26" s="13"/>
    </row>
    <row r="27" spans="1:11" ht="13.5" x14ac:dyDescent="0.25">
      <c r="A27" s="15" t="s">
        <v>67</v>
      </c>
      <c r="B27" s="17"/>
      <c r="C27" s="17"/>
      <c r="D27" s="17"/>
      <c r="E27" s="18">
        <v>50</v>
      </c>
      <c r="F27" s="13"/>
      <c r="G27" s="13"/>
      <c r="H27" s="13"/>
      <c r="I27" s="13"/>
      <c r="J27" s="13"/>
      <c r="K27" s="13"/>
    </row>
    <row r="28" spans="1:11" ht="13.5" x14ac:dyDescent="0.25">
      <c r="A28" s="15" t="s">
        <v>68</v>
      </c>
      <c r="B28" s="17"/>
      <c r="C28" s="17"/>
      <c r="D28" s="17"/>
      <c r="E28" s="18">
        <v>50</v>
      </c>
      <c r="F28" s="13"/>
      <c r="G28" s="13"/>
      <c r="H28" s="13"/>
      <c r="I28" s="13"/>
      <c r="J28" s="13"/>
      <c r="K28" s="13"/>
    </row>
    <row r="29" spans="1:11" ht="13.5" x14ac:dyDescent="0.25">
      <c r="A29" s="15"/>
      <c r="B29" s="17"/>
      <c r="C29" s="17"/>
      <c r="D29" s="17"/>
      <c r="E29" s="18"/>
      <c r="F29" s="13"/>
      <c r="G29" s="13"/>
      <c r="H29" s="13"/>
      <c r="I29" s="13"/>
      <c r="J29" s="13"/>
      <c r="K29" s="13"/>
    </row>
    <row r="30" spans="1:11" ht="13.5" x14ac:dyDescent="0.25">
      <c r="A30" s="15"/>
      <c r="B30" s="17"/>
      <c r="C30" s="17"/>
      <c r="D30" s="17"/>
      <c r="E30" s="18"/>
      <c r="F30" s="13"/>
      <c r="G30" s="13"/>
      <c r="H30" s="13"/>
      <c r="I30" s="13"/>
      <c r="J30" s="13"/>
      <c r="K30" s="13"/>
    </row>
    <row r="31" spans="1:11" ht="13.5" x14ac:dyDescent="0.25">
      <c r="A31" s="15"/>
      <c r="B31" s="17"/>
      <c r="C31" s="17"/>
      <c r="D31" s="17"/>
      <c r="E31" s="18"/>
      <c r="F31" s="13"/>
      <c r="G31" s="13"/>
      <c r="H31" s="13"/>
      <c r="I31" s="13"/>
      <c r="J31" s="13"/>
      <c r="K31" s="13"/>
    </row>
    <row r="32" spans="1:11" ht="13.5" x14ac:dyDescent="0.25">
      <c r="A32" s="15" t="s">
        <v>69</v>
      </c>
      <c r="B32" s="17"/>
      <c r="C32" s="17"/>
      <c r="D32" s="17"/>
      <c r="E32" s="18"/>
      <c r="F32" s="13"/>
      <c r="G32" s="13"/>
      <c r="H32" s="13"/>
      <c r="I32" s="13"/>
      <c r="J32" s="13"/>
      <c r="K32" s="13"/>
    </row>
    <row r="33" spans="1:11" ht="13.5" x14ac:dyDescent="0.25">
      <c r="A33" s="15" t="s">
        <v>70</v>
      </c>
      <c r="B33" s="17">
        <v>2.5</v>
      </c>
      <c r="C33" s="17">
        <v>500</v>
      </c>
      <c r="D33" s="17"/>
      <c r="E33" s="18"/>
      <c r="F33" s="13"/>
      <c r="G33" s="13"/>
      <c r="H33" s="13"/>
      <c r="I33" s="13"/>
      <c r="J33" s="13"/>
      <c r="K33" s="13"/>
    </row>
    <row r="34" spans="1:11" ht="13.5" x14ac:dyDescent="0.25">
      <c r="A34" s="15" t="s">
        <v>71</v>
      </c>
      <c r="B34" s="17"/>
      <c r="C34" s="17"/>
      <c r="D34" s="17"/>
      <c r="E34" s="18">
        <v>100</v>
      </c>
      <c r="F34" s="13"/>
      <c r="G34" s="13"/>
      <c r="H34" s="13"/>
      <c r="I34" s="13"/>
      <c r="J34" s="13"/>
      <c r="K34" s="13"/>
    </row>
    <row r="35" spans="1:11" ht="13.5" x14ac:dyDescent="0.25">
      <c r="A35" s="15" t="s">
        <v>72</v>
      </c>
      <c r="B35" s="28">
        <v>0.5</v>
      </c>
      <c r="C35" s="17"/>
      <c r="D35" s="17"/>
      <c r="E35" s="18"/>
      <c r="F35" s="13"/>
      <c r="G35" s="13"/>
      <c r="H35" s="13"/>
      <c r="I35" s="13"/>
      <c r="J35" s="13"/>
      <c r="K35" s="13"/>
    </row>
    <row r="36" spans="1:11" ht="13.5" x14ac:dyDescent="0.25">
      <c r="A36" s="15" t="s">
        <v>73</v>
      </c>
      <c r="B36" s="29">
        <v>0.33329999999999999</v>
      </c>
      <c r="C36" s="17"/>
      <c r="D36" s="17"/>
      <c r="E36" s="18"/>
      <c r="F36" s="13"/>
      <c r="G36" s="13"/>
      <c r="H36" s="13"/>
      <c r="I36" s="13"/>
      <c r="J36" s="13"/>
      <c r="K36" s="13"/>
    </row>
    <row r="37" spans="1:11" ht="13.5" x14ac:dyDescent="0.25">
      <c r="A37" s="15" t="s">
        <v>74</v>
      </c>
      <c r="B37" s="17" t="s">
        <v>58</v>
      </c>
      <c r="C37" s="17" t="s">
        <v>57</v>
      </c>
      <c r="D37" s="17" t="s">
        <v>75</v>
      </c>
      <c r="E37" s="18"/>
      <c r="F37" s="13"/>
      <c r="G37" s="13"/>
      <c r="H37" s="13"/>
      <c r="I37" s="13"/>
      <c r="J37" s="13"/>
      <c r="K37" s="13"/>
    </row>
    <row r="38" spans="1:11" ht="13.5" x14ac:dyDescent="0.25">
      <c r="A38" s="15"/>
      <c r="B38" s="17">
        <v>2500</v>
      </c>
      <c r="C38" s="17">
        <v>20</v>
      </c>
      <c r="D38" s="17">
        <v>750</v>
      </c>
      <c r="E38" s="18"/>
      <c r="F38" s="13"/>
      <c r="G38" s="13"/>
      <c r="H38" s="13"/>
      <c r="I38" s="13"/>
      <c r="J38" s="13"/>
      <c r="K38" s="13"/>
    </row>
    <row r="39" spans="1:11" ht="13.5" x14ac:dyDescent="0.25">
      <c r="A39" s="15"/>
      <c r="B39" s="17">
        <v>5000</v>
      </c>
      <c r="C39" s="17">
        <v>25</v>
      </c>
      <c r="D39" s="17">
        <v>1500</v>
      </c>
      <c r="E39" s="18"/>
      <c r="F39" s="13"/>
      <c r="G39" s="13"/>
      <c r="H39" s="13"/>
      <c r="I39" s="13"/>
      <c r="J39" s="13"/>
      <c r="K39" s="13"/>
    </row>
    <row r="40" spans="1:11" ht="13.5" x14ac:dyDescent="0.25">
      <c r="A40" s="15"/>
      <c r="B40" s="17">
        <v>7500</v>
      </c>
      <c r="C40" s="17">
        <v>30</v>
      </c>
      <c r="D40" s="17">
        <v>2000</v>
      </c>
      <c r="E40" s="18"/>
      <c r="F40" s="13"/>
      <c r="G40" s="13"/>
      <c r="H40" s="13"/>
      <c r="I40" s="13"/>
      <c r="J40" s="13"/>
      <c r="K40" s="13"/>
    </row>
    <row r="41" spans="1:11" ht="13.5" x14ac:dyDescent="0.25">
      <c r="A41" s="15"/>
      <c r="B41" s="17">
        <v>15000</v>
      </c>
      <c r="C41" s="17">
        <v>35</v>
      </c>
      <c r="D41" s="17">
        <v>2500</v>
      </c>
      <c r="E41" s="18"/>
      <c r="F41" s="13"/>
      <c r="G41" s="13"/>
      <c r="H41" s="13"/>
      <c r="I41" s="13"/>
      <c r="J41" s="13"/>
      <c r="K41" s="13"/>
    </row>
    <row r="42" spans="1:11" ht="13.5" x14ac:dyDescent="0.25">
      <c r="A42" s="15"/>
      <c r="B42" s="17"/>
      <c r="C42" s="17"/>
      <c r="D42" s="17"/>
      <c r="E42" s="18"/>
      <c r="F42" s="13"/>
      <c r="G42" s="13"/>
      <c r="H42" s="13"/>
      <c r="I42" s="13"/>
      <c r="J42" s="13"/>
      <c r="K42" s="13"/>
    </row>
    <row r="43" spans="1:11" ht="13.5" x14ac:dyDescent="0.25">
      <c r="A43" s="15"/>
      <c r="B43" s="17"/>
      <c r="C43" s="17"/>
      <c r="D43" s="17"/>
      <c r="E43" s="18"/>
      <c r="F43" s="13"/>
      <c r="G43" s="13"/>
      <c r="H43" s="13"/>
      <c r="I43" s="13"/>
      <c r="J43" s="13"/>
      <c r="K43" s="13"/>
    </row>
    <row r="44" spans="1:11" ht="13.5" x14ac:dyDescent="0.25">
      <c r="A44" s="30"/>
      <c r="B44" s="31"/>
      <c r="C44" s="31"/>
      <c r="D44" s="31"/>
      <c r="E44" s="32"/>
      <c r="F44" s="13"/>
      <c r="G44" s="13"/>
      <c r="H44" s="13"/>
      <c r="I44" s="13"/>
      <c r="J44" s="13"/>
      <c r="K44" s="13"/>
    </row>
    <row r="45" spans="1:11" ht="13.5" x14ac:dyDescent="0.25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</row>
    <row r="46" spans="1:11" ht="13.5" x14ac:dyDescent="0.25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</row>
    <row r="47" spans="1:11" ht="13.5" x14ac:dyDescent="0.25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</row>
    <row r="48" spans="1:11" ht="13.5" x14ac:dyDescent="0.25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</row>
    <row r="49" spans="1:11" ht="13.5" x14ac:dyDescent="0.25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</row>
    <row r="50" spans="1:11" ht="13.5" x14ac:dyDescent="0.25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</row>
    <row r="51" spans="1:11" ht="13.5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</row>
  </sheetData>
  <sheetProtection selectLockedCells="1" selectUnlockedCells="1"/>
  <mergeCells count="10">
    <mergeCell ref="B17:C17"/>
    <mergeCell ref="D17:E17"/>
    <mergeCell ref="B4:G4"/>
    <mergeCell ref="B5:C5"/>
    <mergeCell ref="D5:E5"/>
    <mergeCell ref="F5:G5"/>
    <mergeCell ref="B10:G10"/>
    <mergeCell ref="B11:C11"/>
    <mergeCell ref="D11:E11"/>
    <mergeCell ref="F11:G11"/>
  </mergeCells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zoomScale="90" zoomScaleNormal="90" workbookViewId="0">
      <selection activeCell="E17" sqref="E17"/>
    </sheetView>
  </sheetViews>
  <sheetFormatPr defaultRowHeight="12.75" x14ac:dyDescent="0.2"/>
  <cols>
    <col min="1" max="1" width="27.7109375" style="10" customWidth="1"/>
    <col min="2" max="2" width="6.7109375" style="10" customWidth="1"/>
    <col min="3" max="16384" width="9.140625" style="10"/>
  </cols>
  <sheetData>
    <row r="1" spans="1:3" ht="13.5" x14ac:dyDescent="0.25">
      <c r="A1" s="11"/>
      <c r="B1" s="11"/>
      <c r="C1" s="11"/>
    </row>
    <row r="2" spans="1:3" ht="13.5" x14ac:dyDescent="0.25">
      <c r="A2" s="12" t="s">
        <v>42</v>
      </c>
      <c r="B2" s="11"/>
      <c r="C2" s="11"/>
    </row>
    <row r="3" spans="1:3" ht="13.5" x14ac:dyDescent="0.25">
      <c r="A3" s="11"/>
      <c r="B3" s="11"/>
      <c r="C3" s="11"/>
    </row>
    <row r="4" spans="1:3" ht="13.5" x14ac:dyDescent="0.25">
      <c r="A4" s="11" t="s">
        <v>43</v>
      </c>
      <c r="B4" s="11" t="str">
        <f>+'PCCV 4W Up To 6 P'!G5</f>
        <v>B</v>
      </c>
      <c r="C4" s="11"/>
    </row>
    <row r="5" spans="1:3" ht="13.5" x14ac:dyDescent="0.25">
      <c r="A5" s="11" t="s">
        <v>44</v>
      </c>
      <c r="B5" s="11">
        <f>+'PCCV 4W Up To 6 P'!G6</f>
        <v>800</v>
      </c>
      <c r="C5" s="11"/>
    </row>
    <row r="6" spans="1:3" ht="13.5" x14ac:dyDescent="0.25">
      <c r="A6" s="11" t="s">
        <v>45</v>
      </c>
      <c r="B6" s="11">
        <f ca="1">IF((YEAR(TODAY())-'PCCV 4W Up To 6 P'!G4+1)&lt;1,0,(YEAR(TODAY())-'PCCV 4W Up To 6 P'!G4+1))</f>
        <v>4</v>
      </c>
      <c r="C6" s="11"/>
    </row>
    <row r="7" spans="1:3" ht="13.5" x14ac:dyDescent="0.25">
      <c r="A7" s="11" t="s">
        <v>46</v>
      </c>
      <c r="B7" s="11">
        <f>(IF(B4="A",IF(B5&lt;1001,1,IF(B5&lt;1501,3,5)),IF(B5&lt;1001,2,IF(B5&lt;1501,4,6)))+1)</f>
        <v>3</v>
      </c>
      <c r="C7" s="11"/>
    </row>
    <row r="8" spans="1:3" ht="13.5" x14ac:dyDescent="0.25">
      <c r="A8" s="11" t="s">
        <v>47</v>
      </c>
      <c r="B8" s="11">
        <f ca="1">VLOOKUP(B6,PCCVT!A7:G9,PCCVCAL!B7)</f>
        <v>3.1909999999999998</v>
      </c>
      <c r="C8" s="11"/>
    </row>
    <row r="9" spans="1:3" ht="13.5" x14ac:dyDescent="0.25">
      <c r="A9" s="11"/>
      <c r="B9" s="11"/>
      <c r="C9" s="11"/>
    </row>
    <row r="10" spans="1:3" ht="13.5" x14ac:dyDescent="0.25">
      <c r="A10" s="12" t="s">
        <v>48</v>
      </c>
      <c r="B10" s="11"/>
      <c r="C10" s="11"/>
    </row>
    <row r="11" spans="1:3" ht="13.5" x14ac:dyDescent="0.25">
      <c r="A11" s="11" t="s">
        <v>49</v>
      </c>
      <c r="B11" s="11">
        <f ca="1">VLOOKUP(B6,PCCVT!A13:G15,PCCVCAL!B7)</f>
        <v>6396</v>
      </c>
      <c r="C11" s="11"/>
    </row>
    <row r="12" spans="1:3" ht="13.5" x14ac:dyDescent="0.25">
      <c r="A12" s="11"/>
      <c r="B12" s="11"/>
      <c r="C12" s="11"/>
    </row>
    <row r="13" spans="1:3" ht="13.5" x14ac:dyDescent="0.25">
      <c r="A13" s="11"/>
      <c r="B13" s="11"/>
      <c r="C13" s="11"/>
    </row>
    <row r="14" spans="1:3" ht="13.5" x14ac:dyDescent="0.25">
      <c r="A14" s="11"/>
      <c r="B14" s="11"/>
      <c r="C14" s="11"/>
    </row>
    <row r="15" spans="1:3" ht="13.5" x14ac:dyDescent="0.25">
      <c r="A15" s="11"/>
      <c r="B15" s="11"/>
      <c r="C15" s="11"/>
    </row>
    <row r="16" spans="1:3" ht="13.5" x14ac:dyDescent="0.25">
      <c r="A16" s="11"/>
      <c r="B16" s="11"/>
      <c r="C16" s="11"/>
    </row>
    <row r="17" spans="1:3" ht="13.5" x14ac:dyDescent="0.25">
      <c r="A17" s="11"/>
      <c r="B17" s="11"/>
      <c r="C17" s="11"/>
    </row>
    <row r="18" spans="1:3" ht="13.5" x14ac:dyDescent="0.25">
      <c r="A18" s="11"/>
      <c r="B18" s="11"/>
      <c r="C18" s="11"/>
    </row>
  </sheetData>
  <sheetProtection password="CEED" sheet="1" selectLockedCells="1" selectUnlockedCells="1"/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zoomScale="90" zoomScaleNormal="90" workbookViewId="0"/>
  </sheetViews>
  <sheetFormatPr defaultRowHeight="12.75" x14ac:dyDescent="0.2"/>
  <cols>
    <col min="1" max="1" width="27.85546875" style="10" customWidth="1"/>
    <col min="2" max="16384" width="9.140625" style="10"/>
  </cols>
  <sheetData>
    <row r="1" spans="1:4" ht="13.5" x14ac:dyDescent="0.25">
      <c r="A1" s="11"/>
      <c r="B1" s="11"/>
      <c r="C1" s="11"/>
      <c r="D1" s="11"/>
    </row>
    <row r="2" spans="1:4" ht="13.5" x14ac:dyDescent="0.25">
      <c r="A2" s="12" t="s">
        <v>42</v>
      </c>
      <c r="B2" s="11"/>
      <c r="C2" s="11"/>
      <c r="D2" s="11"/>
    </row>
    <row r="3" spans="1:4" ht="13.5" x14ac:dyDescent="0.25">
      <c r="A3" s="11"/>
      <c r="B3" s="11"/>
      <c r="C3" s="11"/>
      <c r="D3" s="11"/>
    </row>
    <row r="4" spans="1:4" ht="13.5" x14ac:dyDescent="0.25">
      <c r="A4" s="11" t="s">
        <v>43</v>
      </c>
      <c r="B4" s="11" t="str">
        <f>+Pvt.Car!G5</f>
        <v>B</v>
      </c>
      <c r="C4" s="11"/>
      <c r="D4" s="11"/>
    </row>
    <row r="5" spans="1:4" ht="13.5" x14ac:dyDescent="0.25">
      <c r="A5" s="11" t="s">
        <v>44</v>
      </c>
      <c r="B5" s="11">
        <f>+Pvt.Car!G6</f>
        <v>1197</v>
      </c>
      <c r="C5" s="11"/>
      <c r="D5" s="11"/>
    </row>
    <row r="6" spans="1:4" ht="13.5" x14ac:dyDescent="0.25">
      <c r="A6" s="11" t="s">
        <v>45</v>
      </c>
      <c r="B6" s="11">
        <f ca="1">IF((YEAR(TODAY())-Pvt.Car!G4+1)&lt;1,0,(YEAR(TODAY())-Pvt.Car!G4+1))</f>
        <v>4</v>
      </c>
      <c r="C6" s="11"/>
      <c r="D6" s="11"/>
    </row>
    <row r="7" spans="1:4" ht="13.5" x14ac:dyDescent="0.25">
      <c r="A7" s="11" t="s">
        <v>46</v>
      </c>
      <c r="B7" s="11">
        <f>(IF(B4="A",IF(B5&lt;1001,1,IF(B5&lt;1501,3,5)),IF(B5&lt;1001,2,IF(B5&lt;1501,4,6)))+1)</f>
        <v>5</v>
      </c>
      <c r="C7" s="11"/>
      <c r="D7" s="11"/>
    </row>
    <row r="8" spans="1:4" ht="13.5" x14ac:dyDescent="0.25">
      <c r="A8" s="11" t="s">
        <v>47</v>
      </c>
      <c r="B8" s="11">
        <f ca="1">VLOOKUP(B6,CART!A7:G9,CARCAL!B7)</f>
        <v>3.1909999999999998</v>
      </c>
      <c r="C8" s="11"/>
      <c r="D8" s="11"/>
    </row>
    <row r="9" spans="1:4" ht="13.5" x14ac:dyDescent="0.25">
      <c r="A9" s="11"/>
      <c r="B9" s="11"/>
      <c r="C9" s="11"/>
      <c r="D9" s="11"/>
    </row>
    <row r="10" spans="1:4" ht="13.5" x14ac:dyDescent="0.25">
      <c r="A10" s="12" t="s">
        <v>48</v>
      </c>
      <c r="B10" s="11"/>
      <c r="C10" s="11"/>
      <c r="D10" s="11"/>
    </row>
    <row r="11" spans="1:4" ht="13.5" x14ac:dyDescent="0.25">
      <c r="A11" s="11" t="s">
        <v>49</v>
      </c>
      <c r="B11" s="11">
        <f ca="1">VLOOKUP(B6,CART!A13:G15,CARCAL!B7)</f>
        <v>2863</v>
      </c>
      <c r="C11" s="11"/>
      <c r="D11" s="11"/>
    </row>
    <row r="12" spans="1:4" ht="13.5" x14ac:dyDescent="0.25">
      <c r="A12" s="11"/>
      <c r="B12" s="11"/>
      <c r="C12" s="11"/>
      <c r="D12" s="11"/>
    </row>
    <row r="13" spans="1:4" ht="13.5" x14ac:dyDescent="0.25">
      <c r="A13" s="11"/>
      <c r="B13" s="11"/>
      <c r="C13" s="11"/>
      <c r="D13" s="11"/>
    </row>
    <row r="14" spans="1:4" ht="13.5" x14ac:dyDescent="0.25">
      <c r="A14" s="11"/>
      <c r="B14" s="11"/>
      <c r="C14" s="11"/>
      <c r="D14" s="11"/>
    </row>
    <row r="15" spans="1:4" ht="13.5" x14ac:dyDescent="0.25">
      <c r="A15" s="11"/>
      <c r="B15" s="11"/>
      <c r="C15" s="11"/>
      <c r="D15" s="11"/>
    </row>
    <row r="16" spans="1:4" ht="13.5" x14ac:dyDescent="0.25">
      <c r="A16" s="11"/>
      <c r="B16" s="11"/>
      <c r="C16" s="11"/>
      <c r="D16" s="11"/>
    </row>
    <row r="17" spans="1:4" ht="13.5" x14ac:dyDescent="0.25">
      <c r="A17" s="11"/>
      <c r="B17" s="11"/>
      <c r="C17" s="11"/>
      <c r="D17" s="11"/>
    </row>
    <row r="18" spans="1:4" ht="13.5" x14ac:dyDescent="0.25">
      <c r="A18" s="11"/>
      <c r="B18" s="11"/>
      <c r="C18" s="11"/>
      <c r="D18" s="11"/>
    </row>
    <row r="19" spans="1:4" ht="13.5" x14ac:dyDescent="0.25">
      <c r="A19" s="11"/>
      <c r="B19" s="11"/>
      <c r="C19" s="11"/>
      <c r="D19" s="11"/>
    </row>
  </sheetData>
  <sheetProtection password="CEED" sheet="1" selectLockedCells="1" selectUnlockedCells="1"/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A12" sqref="A12"/>
    </sheetView>
  </sheetViews>
  <sheetFormatPr defaultColWidth="22.42578125" defaultRowHeight="21" customHeight="1" x14ac:dyDescent="0.25"/>
  <cols>
    <col min="1" max="1" width="61.85546875" style="1" customWidth="1"/>
    <col min="2" max="2" width="10.7109375" style="1" customWidth="1"/>
    <col min="3" max="3" width="15.85546875" style="1" customWidth="1"/>
    <col min="4" max="4" width="9.28515625" style="1" customWidth="1"/>
    <col min="5" max="5" width="5.85546875" style="1" customWidth="1"/>
    <col min="6" max="6" width="5.28515625" style="1" customWidth="1"/>
    <col min="7" max="16384" width="22.42578125" style="1"/>
  </cols>
  <sheetData>
    <row r="1" spans="1:6" ht="21" customHeight="1" x14ac:dyDescent="0.25">
      <c r="A1" s="530" t="s">
        <v>27</v>
      </c>
      <c r="B1" s="530"/>
      <c r="C1" s="530"/>
    </row>
    <row r="2" spans="1:6" ht="21" customHeight="1" x14ac:dyDescent="0.25">
      <c r="A2" s="531" t="s">
        <v>28</v>
      </c>
      <c r="B2" s="531"/>
      <c r="C2" s="531"/>
      <c r="E2" s="532" t="s">
        <v>29</v>
      </c>
      <c r="F2" s="532"/>
    </row>
    <row r="3" spans="1:6" ht="21" customHeight="1" x14ac:dyDescent="0.25">
      <c r="A3" s="533" t="s">
        <v>30</v>
      </c>
      <c r="B3" s="533"/>
      <c r="C3" s="533"/>
      <c r="E3" s="532"/>
      <c r="F3" s="532"/>
    </row>
    <row r="4" spans="1:6" ht="21" customHeight="1" x14ac:dyDescent="0.25">
      <c r="A4" s="504" t="s">
        <v>217</v>
      </c>
      <c r="B4" s="2"/>
      <c r="C4" s="491">
        <v>1000</v>
      </c>
    </row>
    <row r="5" spans="1:6" ht="21" customHeight="1" x14ac:dyDescent="0.25">
      <c r="A5" s="505" t="s">
        <v>31</v>
      </c>
      <c r="B5" s="2"/>
      <c r="C5" s="492">
        <v>43076</v>
      </c>
    </row>
    <row r="6" spans="1:6" ht="21" customHeight="1" x14ac:dyDescent="0.25">
      <c r="A6" s="3" t="s">
        <v>32</v>
      </c>
      <c r="B6" s="2"/>
      <c r="C6" s="306">
        <f ca="1">TODAY()</f>
        <v>43010</v>
      </c>
    </row>
    <row r="7" spans="1:6" ht="21" customHeight="1" x14ac:dyDescent="0.25">
      <c r="A7" s="3" t="s">
        <v>33</v>
      </c>
      <c r="B7" s="2"/>
      <c r="C7" s="4">
        <f ca="1">C5-C6</f>
        <v>66</v>
      </c>
    </row>
    <row r="8" spans="1:6" ht="21" customHeight="1" x14ac:dyDescent="0.25">
      <c r="A8" s="3" t="s">
        <v>34</v>
      </c>
      <c r="B8" s="2"/>
      <c r="C8" s="5">
        <f ca="1">C4/365*C7</f>
        <v>180.82191780821915</v>
      </c>
    </row>
    <row r="9" spans="1:6" ht="21" customHeight="1" x14ac:dyDescent="0.25">
      <c r="A9" s="3" t="s">
        <v>35</v>
      </c>
      <c r="B9" s="2"/>
      <c r="C9" s="5">
        <v>50</v>
      </c>
    </row>
    <row r="10" spans="1:6" ht="21" customHeight="1" x14ac:dyDescent="0.25">
      <c r="A10" s="3" t="s">
        <v>36</v>
      </c>
      <c r="B10" s="6" t="s">
        <v>37</v>
      </c>
      <c r="C10" s="7">
        <f>IF(B10="Yes",50,0)</f>
        <v>0</v>
      </c>
    </row>
    <row r="11" spans="1:6" ht="21" customHeight="1" x14ac:dyDescent="0.25">
      <c r="A11" s="3" t="s">
        <v>38</v>
      </c>
      <c r="B11" s="2"/>
      <c r="C11" s="5">
        <f ca="1">SUM(C8:C10)</f>
        <v>230.82191780821915</v>
      </c>
    </row>
    <row r="12" spans="1:6" ht="21" customHeight="1" x14ac:dyDescent="0.25">
      <c r="A12" s="503" t="s">
        <v>226</v>
      </c>
      <c r="B12" s="8"/>
      <c r="C12" s="5">
        <f ca="1">C11*HyperLink!B21</f>
        <v>41.547945205479444</v>
      </c>
    </row>
    <row r="13" spans="1:6" ht="21" customHeight="1" x14ac:dyDescent="0.25">
      <c r="A13" s="3" t="s">
        <v>39</v>
      </c>
      <c r="B13" s="2"/>
      <c r="C13" s="9">
        <f ca="1">SUM(C11:C12)</f>
        <v>272.36986301369859</v>
      </c>
    </row>
    <row r="14" spans="1:6" ht="39" customHeight="1" x14ac:dyDescent="0.25">
      <c r="A14" s="534" t="s">
        <v>40</v>
      </c>
      <c r="B14" s="534"/>
      <c r="C14" s="534"/>
    </row>
    <row r="15" spans="1:6" ht="27" customHeight="1" x14ac:dyDescent="0.25">
      <c r="A15" s="529" t="s">
        <v>41</v>
      </c>
      <c r="B15" s="529"/>
      <c r="C15" s="529"/>
    </row>
  </sheetData>
  <sheetProtection password="CEED" sheet="1"/>
  <mergeCells count="6">
    <mergeCell ref="A15:C15"/>
    <mergeCell ref="A1:C1"/>
    <mergeCell ref="A2:C2"/>
    <mergeCell ref="E2:F3"/>
    <mergeCell ref="A3:C3"/>
    <mergeCell ref="A14:C14"/>
  </mergeCells>
  <dataValidations count="1">
    <dataValidation type="list" allowBlank="1" showErrorMessage="1" sqref="B10">
      <formula1>"Yes,No"</formula1>
      <formula2>0</formula2>
    </dataValidation>
  </dataValidations>
  <hyperlinks>
    <hyperlink ref="E2" location="HyperLink!A1" display="BACK"/>
  </hyperlinks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topLeftCell="A8" zoomScale="124" zoomScaleNormal="124" workbookViewId="0">
      <selection activeCell="J27" sqref="J27"/>
    </sheetView>
  </sheetViews>
  <sheetFormatPr defaultRowHeight="12.75" x14ac:dyDescent="0.2"/>
  <cols>
    <col min="1" max="1" width="13.140625" style="10" customWidth="1"/>
    <col min="2" max="5" width="9.140625" style="10"/>
    <col min="6" max="6" width="17.85546875" style="10" customWidth="1"/>
    <col min="7" max="7" width="12.28515625" style="10" customWidth="1"/>
    <col min="8" max="8" width="9.140625" style="10"/>
    <col min="9" max="9" width="12.5703125" style="10" customWidth="1"/>
    <col min="10" max="10" width="18.85546875" style="10" customWidth="1"/>
    <col min="11" max="16384" width="9.140625" style="10"/>
  </cols>
  <sheetData>
    <row r="1" spans="1:13" x14ac:dyDescent="0.2">
      <c r="A1" s="10" t="s">
        <v>174</v>
      </c>
    </row>
    <row r="2" spans="1:13" x14ac:dyDescent="0.2">
      <c r="A2" s="35" t="s">
        <v>52</v>
      </c>
      <c r="B2" s="36"/>
      <c r="C2" s="36"/>
      <c r="D2" s="37"/>
      <c r="E2" s="38"/>
      <c r="F2" s="35" t="s">
        <v>55</v>
      </c>
      <c r="G2" s="37" t="s">
        <v>175</v>
      </c>
      <c r="I2" s="39" t="s">
        <v>176</v>
      </c>
      <c r="J2" s="40">
        <f>GCCV_Public!C4</f>
        <v>500000</v>
      </c>
      <c r="L2" s="10" t="s">
        <v>55</v>
      </c>
      <c r="M2" s="41">
        <f>IF(J3&lt;=F4,G4,IF(J3&lt;=F5,G5,IF(J3&lt;=F6,G6,IF(J3&lt;=F7,G7,G8))))</f>
        <v>19667</v>
      </c>
    </row>
    <row r="3" spans="1:13" x14ac:dyDescent="0.2">
      <c r="A3" s="42" t="s">
        <v>45</v>
      </c>
      <c r="B3" s="43" t="s">
        <v>177</v>
      </c>
      <c r="C3" s="43" t="s">
        <v>178</v>
      </c>
      <c r="D3" s="44" t="s">
        <v>179</v>
      </c>
      <c r="E3" s="45"/>
      <c r="F3" s="42" t="s">
        <v>180</v>
      </c>
      <c r="G3" s="44" t="s">
        <v>181</v>
      </c>
      <c r="I3" s="46" t="s">
        <v>180</v>
      </c>
      <c r="J3" s="47">
        <f>GCCV_Public!G5</f>
        <v>10500</v>
      </c>
    </row>
    <row r="4" spans="1:13" x14ac:dyDescent="0.2">
      <c r="A4" s="46">
        <v>0</v>
      </c>
      <c r="B4" s="48">
        <v>1.7260000000000001E-2</v>
      </c>
      <c r="C4" s="48">
        <v>1.7430000000000001E-2</v>
      </c>
      <c r="D4" s="49">
        <v>1.7510000000000001E-2</v>
      </c>
      <c r="E4" s="50"/>
      <c r="F4" s="51">
        <v>7500</v>
      </c>
      <c r="G4" s="52">
        <v>14390</v>
      </c>
      <c r="I4" s="46" t="s">
        <v>122</v>
      </c>
      <c r="J4" s="47">
        <f ca="1">YEAR(TODAY())-GCCV_Public!G4+1</f>
        <v>6</v>
      </c>
    </row>
    <row r="5" spans="1:13" x14ac:dyDescent="0.2">
      <c r="A5" s="53">
        <v>6</v>
      </c>
      <c r="B5" s="48">
        <v>1.77E-2</v>
      </c>
      <c r="C5" s="48">
        <v>1.787E-2</v>
      </c>
      <c r="D5" s="49">
        <v>1.7950000000000001E-2</v>
      </c>
      <c r="E5" s="50"/>
      <c r="F5" s="51">
        <v>12000</v>
      </c>
      <c r="G5" s="52">
        <v>19667</v>
      </c>
      <c r="I5" s="46" t="s">
        <v>182</v>
      </c>
      <c r="J5" s="47">
        <f>IF(GCCV_Public!G6="c",2,IF(GCCV_Public!G6="B",3,4))</f>
        <v>2</v>
      </c>
    </row>
    <row r="6" spans="1:13" x14ac:dyDescent="0.2">
      <c r="A6" s="46">
        <v>8</v>
      </c>
      <c r="B6" s="48">
        <v>1.8120000000000001E-2</v>
      </c>
      <c r="C6" s="48">
        <v>1.83E-2</v>
      </c>
      <c r="D6" s="49">
        <v>1.839E-2</v>
      </c>
      <c r="E6" s="50"/>
      <c r="F6" s="51">
        <v>20000</v>
      </c>
      <c r="G6" s="52">
        <v>28899</v>
      </c>
      <c r="I6" s="46" t="s">
        <v>183</v>
      </c>
      <c r="J6" s="54">
        <f ca="1">IF(J4&gt;A6,VLOOKUP(A6,A4:D6,J5),IF(J4&gt;A5,VLOOKUP(A5,A4:D6,J5),VLOOKUP(A4,A4:D6,J5)))</f>
        <v>1.7260000000000001E-2</v>
      </c>
    </row>
    <row r="7" spans="1:13" x14ac:dyDescent="0.2">
      <c r="A7" s="46"/>
      <c r="B7" s="55"/>
      <c r="C7" s="55"/>
      <c r="D7" s="47"/>
      <c r="E7" s="50"/>
      <c r="F7" s="51">
        <v>40000</v>
      </c>
      <c r="G7" s="52">
        <v>31626</v>
      </c>
      <c r="I7" s="46" t="s">
        <v>47</v>
      </c>
      <c r="J7" s="56">
        <f ca="1">J6*J2</f>
        <v>8630</v>
      </c>
    </row>
    <row r="8" spans="1:13" x14ac:dyDescent="0.2">
      <c r="A8" s="57" t="s">
        <v>145</v>
      </c>
      <c r="B8" s="58">
        <f>27/100</f>
        <v>0.27</v>
      </c>
      <c r="C8" s="58"/>
      <c r="D8" s="59"/>
      <c r="E8" s="60"/>
      <c r="F8" s="57"/>
      <c r="G8" s="61">
        <v>33024</v>
      </c>
      <c r="I8" s="57" t="s">
        <v>145</v>
      </c>
      <c r="J8" s="62">
        <f>IF(J3&gt;12000,(J3-12000)*B8,0)</f>
        <v>0</v>
      </c>
    </row>
    <row r="9" spans="1:13" x14ac:dyDescent="0.2">
      <c r="G9" s="63"/>
    </row>
    <row r="10" spans="1:13" x14ac:dyDescent="0.2">
      <c r="A10" s="10" t="s">
        <v>184</v>
      </c>
    </row>
    <row r="11" spans="1:13" x14ac:dyDescent="0.2">
      <c r="A11" s="35" t="s">
        <v>52</v>
      </c>
      <c r="B11" s="36"/>
      <c r="C11" s="36"/>
      <c r="D11" s="37"/>
      <c r="E11" s="38"/>
      <c r="F11" s="35" t="s">
        <v>55</v>
      </c>
      <c r="G11" s="37" t="s">
        <v>185</v>
      </c>
      <c r="I11" s="39" t="s">
        <v>176</v>
      </c>
      <c r="J11" s="40">
        <f>SUM(GCCV_Private!C4)</f>
        <v>500000</v>
      </c>
      <c r="L11" s="10" t="s">
        <v>55</v>
      </c>
      <c r="M11" s="41">
        <f>IF(J12&lt;=F13,G13,IF(J12&lt;=F14,G14,IF(J12&lt;=F15,G15,IF(J12&lt;=F16,G16,G17))))</f>
        <v>21318</v>
      </c>
    </row>
    <row r="12" spans="1:13" x14ac:dyDescent="0.2">
      <c r="A12" s="42" t="s">
        <v>45</v>
      </c>
      <c r="B12" s="43" t="s">
        <v>177</v>
      </c>
      <c r="C12" s="43" t="s">
        <v>178</v>
      </c>
      <c r="D12" s="44" t="s">
        <v>179</v>
      </c>
      <c r="E12" s="45"/>
      <c r="F12" s="42" t="s">
        <v>180</v>
      </c>
      <c r="G12" s="44" t="s">
        <v>181</v>
      </c>
      <c r="I12" s="46" t="s">
        <v>180</v>
      </c>
      <c r="J12" s="47">
        <f>SUM(GCCV_Private!G5)</f>
        <v>42000</v>
      </c>
    </row>
    <row r="13" spans="1:13" x14ac:dyDescent="0.2">
      <c r="A13" s="46">
        <v>0</v>
      </c>
      <c r="B13" s="48">
        <v>1.208E-2</v>
      </c>
      <c r="C13" s="48">
        <v>1.2200000000000001E-2</v>
      </c>
      <c r="D13" s="49">
        <v>1.226E-2</v>
      </c>
      <c r="E13" s="50"/>
      <c r="F13" s="51">
        <v>7500</v>
      </c>
      <c r="G13" s="52">
        <v>7938</v>
      </c>
      <c r="I13" s="46" t="s">
        <v>122</v>
      </c>
      <c r="J13" s="47">
        <f ca="1">YEAR(TODAY())-GCCV_Private!G4+1</f>
        <v>14</v>
      </c>
    </row>
    <row r="14" spans="1:13" x14ac:dyDescent="0.2">
      <c r="A14" s="53">
        <v>6</v>
      </c>
      <c r="B14" s="48">
        <v>1.239E-2</v>
      </c>
      <c r="C14" s="48">
        <v>1.251E-2</v>
      </c>
      <c r="D14" s="49">
        <v>1.257E-2</v>
      </c>
      <c r="E14" s="50"/>
      <c r="F14" s="51">
        <v>12000</v>
      </c>
      <c r="G14" s="52">
        <v>14330</v>
      </c>
      <c r="I14" s="46" t="s">
        <v>182</v>
      </c>
      <c r="J14" s="47">
        <f>IF(GCCV_Private!G6="c",2,IF(GCCV_Private!G6="B",3,4))</f>
        <v>2</v>
      </c>
    </row>
    <row r="15" spans="1:13" x14ac:dyDescent="0.2">
      <c r="A15" s="46">
        <v>8</v>
      </c>
      <c r="B15" s="48">
        <v>1.268E-2</v>
      </c>
      <c r="C15" s="48">
        <v>1.281E-2</v>
      </c>
      <c r="D15" s="49">
        <v>1.2869999999999999E-2</v>
      </c>
      <c r="E15" s="50"/>
      <c r="F15" s="51">
        <v>20000</v>
      </c>
      <c r="G15" s="52">
        <v>9871</v>
      </c>
      <c r="I15" s="46" t="s">
        <v>183</v>
      </c>
      <c r="J15" s="54">
        <f ca="1">IF(J13&gt;A15,VLOOKUP(A15,A13:D15,J14),IF(J13&gt;A14,VLOOKUP(A14,A13:D15,J14),VLOOKUP(A13,A13:D15,J14)))</f>
        <v>1.268E-2</v>
      </c>
    </row>
    <row r="16" spans="1:13" x14ac:dyDescent="0.2">
      <c r="A16" s="46"/>
      <c r="B16" s="55"/>
      <c r="C16" s="55"/>
      <c r="D16" s="47"/>
      <c r="E16" s="50"/>
      <c r="F16" s="51">
        <v>40000</v>
      </c>
      <c r="G16" s="52">
        <v>14805</v>
      </c>
      <c r="I16" s="46" t="s">
        <v>47</v>
      </c>
      <c r="J16" s="56">
        <f ca="1">J15*J11</f>
        <v>6340</v>
      </c>
    </row>
    <row r="17" spans="1:10" x14ac:dyDescent="0.2">
      <c r="A17" s="57" t="s">
        <v>145</v>
      </c>
      <c r="B17" s="58">
        <f>27/100</f>
        <v>0.27</v>
      </c>
      <c r="C17" s="58"/>
      <c r="D17" s="59"/>
      <c r="E17" s="60"/>
      <c r="F17" s="57"/>
      <c r="G17" s="61">
        <v>21318</v>
      </c>
      <c r="I17" s="57" t="s">
        <v>145</v>
      </c>
      <c r="J17" s="62">
        <f>IF(J12&gt;12000,(J12-12000)*B17,0)</f>
        <v>8100.0000000000009</v>
      </c>
    </row>
    <row r="22" spans="1:10" x14ac:dyDescent="0.2">
      <c r="A22" s="10" t="s">
        <v>186</v>
      </c>
    </row>
    <row r="23" spans="1:10" x14ac:dyDescent="0.2">
      <c r="A23" s="35" t="s">
        <v>52</v>
      </c>
      <c r="B23" s="36"/>
      <c r="C23" s="36"/>
      <c r="D23" s="37"/>
      <c r="E23" s="38"/>
      <c r="F23" s="35" t="s">
        <v>55</v>
      </c>
      <c r="G23" s="37" t="s">
        <v>187</v>
      </c>
      <c r="I23" s="39" t="s">
        <v>176</v>
      </c>
      <c r="J23" s="64">
        <f>'Misc  Class D'!C4</f>
        <v>400000</v>
      </c>
    </row>
    <row r="24" spans="1:10" x14ac:dyDescent="0.2">
      <c r="A24" s="42" t="s">
        <v>45</v>
      </c>
      <c r="B24" s="43" t="s">
        <v>177</v>
      </c>
      <c r="C24" s="43" t="s">
        <v>178</v>
      </c>
      <c r="D24" s="44" t="s">
        <v>179</v>
      </c>
      <c r="E24" s="45"/>
      <c r="F24" s="42" t="s">
        <v>188</v>
      </c>
      <c r="G24" s="44" t="s">
        <v>181</v>
      </c>
      <c r="I24" s="42" t="s">
        <v>122</v>
      </c>
      <c r="J24" s="497">
        <f>'Misc  Class D'!G4</f>
        <v>2016</v>
      </c>
    </row>
    <row r="25" spans="1:10" x14ac:dyDescent="0.2">
      <c r="A25" s="65">
        <v>0</v>
      </c>
      <c r="B25" s="48">
        <v>1.2500000000000001E-2</v>
      </c>
      <c r="C25" s="48">
        <v>1.2619999999999999E-2</v>
      </c>
      <c r="D25" s="49">
        <v>1.268E-2</v>
      </c>
      <c r="E25" s="50"/>
      <c r="F25" s="51" t="s">
        <v>167</v>
      </c>
      <c r="G25" s="52">
        <v>4892</v>
      </c>
      <c r="I25" s="65" t="s">
        <v>182</v>
      </c>
      <c r="J25" s="47">
        <f>IF('Misc  Class D'!G6="c",2,IF('Misc  Class D'!G6="B",3,4))</f>
        <v>2</v>
      </c>
    </row>
    <row r="26" spans="1:10" x14ac:dyDescent="0.2">
      <c r="A26" s="53">
        <v>6</v>
      </c>
      <c r="B26" s="48">
        <v>1.2200000000000001E-2</v>
      </c>
      <c r="C26" s="48">
        <v>1.2319999999999999E-2</v>
      </c>
      <c r="D26" s="49">
        <v>1.238E-2</v>
      </c>
      <c r="E26" s="50"/>
      <c r="F26" s="51" t="s">
        <v>189</v>
      </c>
      <c r="G26" s="52">
        <v>653</v>
      </c>
      <c r="I26" s="65" t="s">
        <v>188</v>
      </c>
      <c r="J26" s="47" t="str">
        <f>'Misc  Class D'!G5</f>
        <v>Others</v>
      </c>
    </row>
    <row r="27" spans="1:10" x14ac:dyDescent="0.2">
      <c r="A27" s="498">
        <v>8</v>
      </c>
      <c r="B27" s="67">
        <v>1.1900000000000001E-2</v>
      </c>
      <c r="C27" s="67">
        <v>1.2019999999999999E-2</v>
      </c>
      <c r="D27" s="499">
        <v>1.208E-2</v>
      </c>
      <c r="E27" s="60"/>
      <c r="F27" s="68" t="s">
        <v>190</v>
      </c>
      <c r="G27" s="61">
        <v>1673</v>
      </c>
      <c r="I27" s="65" t="s">
        <v>183</v>
      </c>
      <c r="J27" s="54">
        <f>IF(J24&gt;A27,VLOOKUP(A27,A25:D27,J25),IF(J24&gt;A26,VLOOKUP(A26,A25:D27,J25),VLOOKUP(A25,A25:D27,J25)))</f>
        <v>1.1900000000000001E-2</v>
      </c>
    </row>
    <row r="28" spans="1:10" x14ac:dyDescent="0.2">
      <c r="G28" s="69"/>
      <c r="I28" s="65" t="s">
        <v>47</v>
      </c>
      <c r="J28" s="47">
        <f>J23*J27</f>
        <v>4760</v>
      </c>
    </row>
    <row r="29" spans="1:10" x14ac:dyDescent="0.2">
      <c r="I29" s="66" t="s">
        <v>49</v>
      </c>
      <c r="J29" s="59">
        <f>VLOOKUP(J26,F25:G27,2)</f>
        <v>4892</v>
      </c>
    </row>
  </sheetData>
  <sheetProtection selectLockedCells="1" selectUnlockedCells="1"/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30"/>
  <sheetViews>
    <sheetView topLeftCell="A14" zoomScale="145" zoomScaleNormal="145" workbookViewId="0">
      <selection activeCell="G33" sqref="G33"/>
    </sheetView>
  </sheetViews>
  <sheetFormatPr defaultRowHeight="12.75" x14ac:dyDescent="0.2"/>
  <cols>
    <col min="1" max="4" width="9.140625" style="70"/>
    <col min="5" max="5" width="5.42578125" style="70" customWidth="1"/>
    <col min="6" max="6" width="10.42578125" style="70" customWidth="1"/>
    <col min="7" max="7" width="14.7109375" style="70" customWidth="1"/>
    <col min="8" max="16384" width="9.140625" style="70"/>
  </cols>
  <sheetData>
    <row r="2" spans="1:7" x14ac:dyDescent="0.2">
      <c r="A2" s="70" t="s">
        <v>191</v>
      </c>
      <c r="C2" s="70" t="s">
        <v>175</v>
      </c>
    </row>
    <row r="3" spans="1:7" x14ac:dyDescent="0.2">
      <c r="A3" s="35" t="s">
        <v>52</v>
      </c>
      <c r="B3" s="36"/>
      <c r="C3" s="36"/>
      <c r="D3" s="37"/>
      <c r="F3" s="39" t="s">
        <v>176</v>
      </c>
      <c r="G3" s="40">
        <v>50000</v>
      </c>
    </row>
    <row r="4" spans="1:7" x14ac:dyDescent="0.2">
      <c r="A4" s="42" t="s">
        <v>45</v>
      </c>
      <c r="B4" s="43" t="s">
        <v>177</v>
      </c>
      <c r="C4" s="43" t="s">
        <v>178</v>
      </c>
      <c r="D4" s="44" t="s">
        <v>179</v>
      </c>
      <c r="F4" s="46" t="s">
        <v>180</v>
      </c>
      <c r="G4" s="71">
        <f>'GCCV 3W Public'!G5</f>
        <v>450</v>
      </c>
    </row>
    <row r="5" spans="1:7" x14ac:dyDescent="0.2">
      <c r="A5" s="46">
        <v>0</v>
      </c>
      <c r="B5" s="72">
        <v>1.6400000000000001E-2</v>
      </c>
      <c r="C5" s="72">
        <v>1.6559999999999998E-2</v>
      </c>
      <c r="D5" s="73">
        <v>1.6639999999999999E-2</v>
      </c>
      <c r="F5" s="46" t="s">
        <v>122</v>
      </c>
      <c r="G5" s="71">
        <f ca="1">YEAR(TODAY())-'GCCV 3W Public'!G4+1</f>
        <v>4</v>
      </c>
    </row>
    <row r="6" spans="1:7" x14ac:dyDescent="0.2">
      <c r="A6" s="75">
        <v>6</v>
      </c>
      <c r="B6" s="72">
        <v>1.6809999999999999E-2</v>
      </c>
      <c r="C6" s="72">
        <v>1.6969999999999999E-2</v>
      </c>
      <c r="D6" s="73">
        <v>1.7059999999999999E-2</v>
      </c>
      <c r="F6" s="46" t="s">
        <v>182</v>
      </c>
      <c r="G6" s="71">
        <f>IF('GCCV 3W Public'!G6="c",2,IF('GCCV 3W Public'!G6="B",3,4))</f>
        <v>2</v>
      </c>
    </row>
    <row r="7" spans="1:7" x14ac:dyDescent="0.2">
      <c r="A7" s="46">
        <v>8</v>
      </c>
      <c r="B7" s="72">
        <v>1.7219999999999999E-2</v>
      </c>
      <c r="C7" s="72">
        <v>1.7389999999999999E-2</v>
      </c>
      <c r="D7" s="73">
        <v>1.7469999999999999E-2</v>
      </c>
      <c r="F7" s="46" t="s">
        <v>183</v>
      </c>
      <c r="G7" s="54">
        <f ca="1">IF(G5&gt;A7,VLOOKUP(A7,A5:D7,G6),IF(G5&gt;A6,VLOOKUP(A6,A5:D7,G6),VLOOKUP(A5,A5:D7,G6)))</f>
        <v>1.6400000000000001E-2</v>
      </c>
    </row>
    <row r="8" spans="1:7" x14ac:dyDescent="0.2">
      <c r="A8" s="46"/>
      <c r="B8" s="72"/>
      <c r="C8" s="72"/>
      <c r="D8" s="73"/>
      <c r="F8" s="46" t="s">
        <v>47</v>
      </c>
      <c r="G8" s="56">
        <f ca="1">G7*G3</f>
        <v>820.00000000000011</v>
      </c>
    </row>
    <row r="9" spans="1:7" x14ac:dyDescent="0.2">
      <c r="A9" s="57"/>
      <c r="B9" s="76"/>
      <c r="C9" s="76"/>
      <c r="D9" s="77"/>
      <c r="F9" s="57" t="s">
        <v>49</v>
      </c>
      <c r="G9" s="308">
        <v>5680</v>
      </c>
    </row>
    <row r="12" spans="1:7" x14ac:dyDescent="0.2">
      <c r="A12" s="70" t="s">
        <v>192</v>
      </c>
    </row>
    <row r="13" spans="1:7" x14ac:dyDescent="0.2">
      <c r="A13" s="35" t="s">
        <v>52</v>
      </c>
      <c r="B13" s="36"/>
      <c r="C13" s="36"/>
      <c r="D13" s="37"/>
      <c r="F13" s="39" t="s">
        <v>176</v>
      </c>
      <c r="G13" s="40">
        <f>SUM('PCCV 3W up to 6 P'!C4)</f>
        <v>0</v>
      </c>
    </row>
    <row r="14" spans="1:7" x14ac:dyDescent="0.2">
      <c r="A14" s="42" t="s">
        <v>45</v>
      </c>
      <c r="B14" s="43" t="s">
        <v>177</v>
      </c>
      <c r="C14" s="43" t="s">
        <v>178</v>
      </c>
      <c r="D14" s="44" t="s">
        <v>179</v>
      </c>
      <c r="F14" s="46" t="s">
        <v>161</v>
      </c>
      <c r="G14" s="71">
        <f>SUM('PCCV 3W up to 6 P'!G5)</f>
        <v>3</v>
      </c>
    </row>
    <row r="15" spans="1:7" x14ac:dyDescent="0.2">
      <c r="A15" s="46">
        <v>0</v>
      </c>
      <c r="B15" s="72">
        <v>1.26E-2</v>
      </c>
      <c r="C15" s="72">
        <v>1.272E-2</v>
      </c>
      <c r="D15" s="73">
        <v>1.278E-2</v>
      </c>
      <c r="F15" s="46" t="s">
        <v>122</v>
      </c>
      <c r="G15" s="71">
        <f ca="1">YEAR(TODAY())-'PCCV 3W up to 6 P'!G4+1</f>
        <v>4</v>
      </c>
    </row>
    <row r="16" spans="1:7" x14ac:dyDescent="0.2">
      <c r="A16" s="75">
        <v>6</v>
      </c>
      <c r="B16" s="72">
        <v>1.2919999999999999E-2</v>
      </c>
      <c r="C16" s="72">
        <v>1.304E-2</v>
      </c>
      <c r="D16" s="73">
        <v>1.3100000000000001E-2</v>
      </c>
      <c r="F16" s="46" t="s">
        <v>182</v>
      </c>
      <c r="G16" s="71">
        <f>IF('PCCV 3W up to 6 P'!G6="c",2,IF('PCCV 3W up to 6 P'!G6="B",3,4))</f>
        <v>2</v>
      </c>
    </row>
    <row r="17" spans="1:7" x14ac:dyDescent="0.2">
      <c r="A17" s="46">
        <v>8</v>
      </c>
      <c r="B17" s="78">
        <v>1.323E-2</v>
      </c>
      <c r="C17" s="72">
        <v>1.336E-2</v>
      </c>
      <c r="D17" s="73">
        <v>1.342E-2</v>
      </c>
      <c r="F17" s="46" t="s">
        <v>183</v>
      </c>
      <c r="G17" s="54">
        <f ca="1">IF(G15&gt;A17,VLOOKUP(A17,A15:D17,G16),IF(G15&gt;A16,VLOOKUP(A16,A15:D17,G16),VLOOKUP(A15,A15:D17,G16)))</f>
        <v>1.26E-2</v>
      </c>
    </row>
    <row r="18" spans="1:7" x14ac:dyDescent="0.2">
      <c r="A18" s="46"/>
      <c r="B18" s="79"/>
      <c r="C18" s="79"/>
      <c r="D18" s="71"/>
      <c r="F18" s="46" t="s">
        <v>47</v>
      </c>
      <c r="G18" s="56">
        <f ca="1">G17*G13</f>
        <v>0</v>
      </c>
    </row>
    <row r="19" spans="1:7" x14ac:dyDescent="0.2">
      <c r="A19" s="57"/>
      <c r="B19" s="76"/>
      <c r="C19" s="76"/>
      <c r="D19" s="77"/>
      <c r="F19" s="57" t="s">
        <v>49</v>
      </c>
      <c r="G19" s="308">
        <v>2218</v>
      </c>
    </row>
    <row r="23" spans="1:7" x14ac:dyDescent="0.2">
      <c r="A23" s="10" t="s">
        <v>193</v>
      </c>
    </row>
    <row r="24" spans="1:7" x14ac:dyDescent="0.2">
      <c r="A24" s="35" t="s">
        <v>52</v>
      </c>
      <c r="B24" s="36"/>
      <c r="C24" s="36"/>
      <c r="D24" s="37"/>
      <c r="F24" s="39" t="s">
        <v>176</v>
      </c>
      <c r="G24" s="40">
        <f>SUM('PCCV 3W 7 TO 18 P'!C4)</f>
        <v>200000</v>
      </c>
    </row>
    <row r="25" spans="1:7" x14ac:dyDescent="0.2">
      <c r="A25" s="42" t="s">
        <v>45</v>
      </c>
      <c r="B25" s="43" t="s">
        <v>177</v>
      </c>
      <c r="C25" s="43" t="s">
        <v>178</v>
      </c>
      <c r="D25" s="44" t="s">
        <v>179</v>
      </c>
      <c r="F25" s="46" t="s">
        <v>161</v>
      </c>
      <c r="G25" s="71">
        <f>SUM('PCCV 3W 7 TO 18 P'!G5)</f>
        <v>8</v>
      </c>
    </row>
    <row r="26" spans="1:7" x14ac:dyDescent="0.2">
      <c r="A26" s="46">
        <v>0</v>
      </c>
      <c r="B26" s="72">
        <v>1.7590000000000001E-2</v>
      </c>
      <c r="C26" s="72">
        <v>1.7770000000000001E-2</v>
      </c>
      <c r="D26" s="73">
        <v>1.7850000000000001E-2</v>
      </c>
      <c r="F26" s="46" t="s">
        <v>122</v>
      </c>
      <c r="G26" s="71">
        <f ca="1">YEAR(TODAY())-'PCCV 3W 7 TO 18 P'!G4+1</f>
        <v>2</v>
      </c>
    </row>
    <row r="27" spans="1:7" x14ac:dyDescent="0.2">
      <c r="A27" s="75">
        <v>6</v>
      </c>
      <c r="B27" s="72">
        <v>1.8030000000000001E-2</v>
      </c>
      <c r="C27" s="72">
        <v>1.821E-2</v>
      </c>
      <c r="D27" s="73">
        <v>1.83E-2</v>
      </c>
      <c r="F27" s="46" t="s">
        <v>182</v>
      </c>
      <c r="G27" s="71">
        <f>IF('PCCV 3W 7 TO 18 P'!G6="c",2,IF('PCCV 3W 7 TO 18 P'!G6="B",3,4))</f>
        <v>2</v>
      </c>
    </row>
    <row r="28" spans="1:7" x14ac:dyDescent="0.2">
      <c r="A28" s="46">
        <v>8</v>
      </c>
      <c r="B28" s="72">
        <v>1.847E-2</v>
      </c>
      <c r="C28" s="72">
        <v>1.866E-2</v>
      </c>
      <c r="D28" s="73">
        <v>1.874E-2</v>
      </c>
      <c r="F28" s="46" t="s">
        <v>183</v>
      </c>
      <c r="G28" s="54">
        <f ca="1">IF(G26&gt;A28,VLOOKUP(A28,A26:D28,G27),IF(G26&gt;A27,VLOOKUP(A27,A26:D28,G27),VLOOKUP(A26,A26:D28,G27)))</f>
        <v>1.7590000000000001E-2</v>
      </c>
    </row>
    <row r="29" spans="1:7" x14ac:dyDescent="0.2">
      <c r="A29" s="46"/>
      <c r="B29" s="79"/>
      <c r="C29" s="79"/>
      <c r="D29" s="71"/>
      <c r="F29" s="46" t="s">
        <v>47</v>
      </c>
      <c r="G29" s="56">
        <f ca="1">G28*G24</f>
        <v>3518.0000000000005</v>
      </c>
    </row>
    <row r="30" spans="1:7" x14ac:dyDescent="0.2">
      <c r="A30" s="57"/>
      <c r="B30" s="76"/>
      <c r="C30" s="76"/>
      <c r="D30" s="77"/>
      <c r="F30" s="57" t="s">
        <v>49</v>
      </c>
      <c r="G30" s="309">
        <v>5318</v>
      </c>
    </row>
  </sheetData>
  <sheetProtection selectLockedCells="1" selectUnlockedCells="1"/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9"/>
  <sheetViews>
    <sheetView zoomScale="130" zoomScaleNormal="130" workbookViewId="0">
      <selection activeCell="G19" sqref="G19"/>
    </sheetView>
  </sheetViews>
  <sheetFormatPr defaultRowHeight="12.75" x14ac:dyDescent="0.2"/>
  <cols>
    <col min="1" max="4" width="9.140625" style="70"/>
    <col min="5" max="5" width="5.42578125" style="70" customWidth="1"/>
    <col min="6" max="6" width="10.42578125" style="70" customWidth="1"/>
    <col min="7" max="7" width="14.7109375" style="70" customWidth="1"/>
    <col min="8" max="16384" width="9.140625" style="70"/>
  </cols>
  <sheetData>
    <row r="2" spans="1:7" s="74" customFormat="1" x14ac:dyDescent="0.2"/>
    <row r="3" spans="1:7" s="74" customFormat="1" x14ac:dyDescent="0.2">
      <c r="A3" s="45"/>
      <c r="B3" s="45"/>
      <c r="C3" s="45"/>
      <c r="D3" s="45"/>
      <c r="G3" s="80"/>
    </row>
    <row r="4" spans="1:7" s="74" customFormat="1" x14ac:dyDescent="0.2">
      <c r="A4" s="45"/>
      <c r="B4" s="45"/>
      <c r="C4" s="45"/>
      <c r="D4" s="45"/>
    </row>
    <row r="5" spans="1:7" s="74" customFormat="1" x14ac:dyDescent="0.2">
      <c r="B5" s="81"/>
      <c r="C5" s="81"/>
      <c r="D5" s="81"/>
    </row>
    <row r="6" spans="1:7" s="74" customFormat="1" x14ac:dyDescent="0.2">
      <c r="A6" s="82"/>
      <c r="B6" s="81"/>
      <c r="C6" s="81"/>
      <c r="D6" s="81"/>
    </row>
    <row r="7" spans="1:7" s="74" customFormat="1" x14ac:dyDescent="0.2">
      <c r="B7" s="81"/>
      <c r="C7" s="81"/>
      <c r="D7" s="81"/>
      <c r="G7" s="83"/>
    </row>
    <row r="8" spans="1:7" s="74" customFormat="1" x14ac:dyDescent="0.2">
      <c r="G8" s="80"/>
    </row>
    <row r="9" spans="1:7" s="74" customFormat="1" x14ac:dyDescent="0.2">
      <c r="G9" s="80"/>
    </row>
    <row r="10" spans="1:7" s="74" customFormat="1" x14ac:dyDescent="0.2"/>
    <row r="12" spans="1:7" ht="13.5" thickBot="1" x14ac:dyDescent="0.25">
      <c r="A12" s="10" t="s">
        <v>207</v>
      </c>
    </row>
    <row r="13" spans="1:7" x14ac:dyDescent="0.2">
      <c r="A13" s="35" t="s">
        <v>52</v>
      </c>
      <c r="B13" s="36"/>
      <c r="C13" s="36"/>
      <c r="D13" s="37"/>
      <c r="F13" s="39" t="s">
        <v>176</v>
      </c>
      <c r="G13" s="40">
        <f>SUM('PCCV Maxi &amp; Bus'!C4)</f>
        <v>500000</v>
      </c>
    </row>
    <row r="14" spans="1:7" x14ac:dyDescent="0.2">
      <c r="A14" s="42" t="s">
        <v>45</v>
      </c>
      <c r="B14" s="43" t="s">
        <v>177</v>
      </c>
      <c r="C14" s="43" t="s">
        <v>178</v>
      </c>
      <c r="D14" s="44" t="s">
        <v>179</v>
      </c>
      <c r="F14" s="46" t="s">
        <v>161</v>
      </c>
      <c r="G14" s="71">
        <f>SUM('PCCV Maxi &amp; Bus'!G5)</f>
        <v>4</v>
      </c>
    </row>
    <row r="15" spans="1:7" x14ac:dyDescent="0.2">
      <c r="A15" s="46">
        <v>0</v>
      </c>
      <c r="B15" s="84">
        <v>1.6559999999999998E-2</v>
      </c>
      <c r="C15" s="72">
        <v>1.6719999999999999E-2</v>
      </c>
      <c r="D15" s="73">
        <v>1.6799999999999999E-2</v>
      </c>
      <c r="F15" s="46" t="s">
        <v>122</v>
      </c>
      <c r="G15" s="71">
        <f ca="1">YEAR(TODAY())-'PCCV Maxi &amp; Bus'!G4+1</f>
        <v>5</v>
      </c>
    </row>
    <row r="16" spans="1:7" x14ac:dyDescent="0.2">
      <c r="A16" s="75">
        <v>6</v>
      </c>
      <c r="B16" s="84">
        <v>1.6969999999999999E-2</v>
      </c>
      <c r="C16" s="72">
        <v>1.7139999999999999E-2</v>
      </c>
      <c r="D16" s="73">
        <v>1.7219999999999999E-2</v>
      </c>
      <c r="F16" s="46" t="s">
        <v>182</v>
      </c>
      <c r="G16" s="71">
        <f>IF('PCCV Maxi &amp; Bus'!G6="c",2,IF('PCCV Maxi &amp; Bus'!G6="B",3,4))</f>
        <v>2</v>
      </c>
    </row>
    <row r="17" spans="1:7" x14ac:dyDescent="0.2">
      <c r="A17" s="46">
        <v>8</v>
      </c>
      <c r="B17" s="84">
        <v>1.7389999999999999E-2</v>
      </c>
      <c r="C17" s="72">
        <v>1.7559999999999999E-2</v>
      </c>
      <c r="D17" s="73">
        <v>1.7639999999999999E-2</v>
      </c>
      <c r="F17" s="46" t="s">
        <v>183</v>
      </c>
      <c r="G17" s="54">
        <f ca="1">IF(G15&gt;A17,VLOOKUP(A17,A15:D17,G16),IF(G15&gt;A16,VLOOKUP(A16,A15:D17,G16),VLOOKUP(A15,A15:D17,G16)))</f>
        <v>1.6559999999999998E-2</v>
      </c>
    </row>
    <row r="18" spans="1:7" x14ac:dyDescent="0.2">
      <c r="A18" s="46"/>
      <c r="B18" s="79"/>
      <c r="C18" s="79"/>
      <c r="D18" s="71"/>
      <c r="F18" s="46" t="s">
        <v>47</v>
      </c>
      <c r="G18" s="56">
        <f ca="1">G17*G13</f>
        <v>8280</v>
      </c>
    </row>
    <row r="19" spans="1:7" ht="13.5" thickBot="1" x14ac:dyDescent="0.25">
      <c r="A19" s="57"/>
      <c r="B19" s="76"/>
      <c r="C19" s="76"/>
      <c r="D19" s="77"/>
      <c r="F19" s="57" t="s">
        <v>49</v>
      </c>
      <c r="G19" s="307">
        <v>13176</v>
      </c>
    </row>
  </sheetData>
  <sheetProtection selectLockedCells="1" selectUnlockedCells="1"/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9"/>
  <sheetViews>
    <sheetView zoomScale="115" zoomScaleNormal="115" workbookViewId="0">
      <selection activeCell="G2" sqref="G2"/>
    </sheetView>
  </sheetViews>
  <sheetFormatPr defaultRowHeight="12.75" x14ac:dyDescent="0.2"/>
  <cols>
    <col min="1" max="4" width="9.140625" style="70"/>
    <col min="5" max="5" width="5.42578125" style="70" customWidth="1"/>
    <col min="6" max="6" width="10.42578125" style="70" customWidth="1"/>
    <col min="7" max="7" width="14.7109375" style="70" customWidth="1"/>
    <col min="8" max="16384" width="9.140625" style="70"/>
  </cols>
  <sheetData>
    <row r="2" spans="1:7" ht="13.5" thickBot="1" x14ac:dyDescent="0.25">
      <c r="A2" s="70" t="s">
        <v>191</v>
      </c>
      <c r="C2" s="70" t="s">
        <v>185</v>
      </c>
    </row>
    <row r="3" spans="1:7" x14ac:dyDescent="0.2">
      <c r="A3" s="35" t="s">
        <v>52</v>
      </c>
      <c r="B3" s="36"/>
      <c r="C3" s="36"/>
      <c r="D3" s="37"/>
      <c r="F3" s="39" t="s">
        <v>176</v>
      </c>
      <c r="G3" s="40">
        <v>50000</v>
      </c>
    </row>
    <row r="4" spans="1:7" x14ac:dyDescent="0.2">
      <c r="A4" s="42" t="s">
        <v>45</v>
      </c>
      <c r="B4" s="43" t="s">
        <v>177</v>
      </c>
      <c r="C4" s="43" t="s">
        <v>178</v>
      </c>
      <c r="D4" s="44" t="s">
        <v>179</v>
      </c>
      <c r="F4" s="46" t="s">
        <v>180</v>
      </c>
      <c r="G4" s="71">
        <f>'GCCV 3W Private'!G14</f>
        <v>0</v>
      </c>
    </row>
    <row r="5" spans="1:7" x14ac:dyDescent="0.2">
      <c r="A5" s="46">
        <v>0</v>
      </c>
      <c r="B5" s="72">
        <v>1.1480000000000001E-2</v>
      </c>
      <c r="C5" s="72">
        <v>1.1591999999999998E-2</v>
      </c>
      <c r="D5" s="72">
        <v>1.1650000000000001E-2</v>
      </c>
      <c r="F5" s="46" t="s">
        <v>122</v>
      </c>
      <c r="G5" s="71">
        <f ca="1">YEAR(TODAY())-'GCCV 3W Private'!G4+1</f>
        <v>2</v>
      </c>
    </row>
    <row r="6" spans="1:7" x14ac:dyDescent="0.2">
      <c r="A6" s="75">
        <v>6</v>
      </c>
      <c r="B6" s="72">
        <v>1.1766999999999998E-2</v>
      </c>
      <c r="C6" s="72">
        <v>1.1878999999999999E-2</v>
      </c>
      <c r="D6" s="72">
        <v>1.1941999999999998E-2</v>
      </c>
      <c r="F6" s="46" t="s">
        <v>182</v>
      </c>
      <c r="G6" s="71">
        <f>IF('GCCV 3W Private'!G6="c",2,IF('GCCV 3W Private'!G6="B",3,4))</f>
        <v>2</v>
      </c>
    </row>
    <row r="7" spans="1:7" x14ac:dyDescent="0.2">
      <c r="A7" s="46">
        <v>8</v>
      </c>
      <c r="B7" s="72">
        <v>1.2053999999999999E-2</v>
      </c>
      <c r="C7" s="72">
        <v>1.2172999999999998E-2</v>
      </c>
      <c r="D7" s="72">
        <v>1.2228999999999999E-2</v>
      </c>
      <c r="F7" s="46" t="s">
        <v>183</v>
      </c>
      <c r="G7" s="54">
        <f ca="1">IF(G5&gt;A7,VLOOKUP(A7,A5:D7,G6),IF(G5&gt;A6,VLOOKUP(A6,A5:D7,G6),VLOOKUP(A5,A5:D7,G6)))</f>
        <v>1.1480000000000001E-2</v>
      </c>
    </row>
    <row r="8" spans="1:7" x14ac:dyDescent="0.2">
      <c r="A8" s="46"/>
      <c r="B8" s="79"/>
      <c r="C8" s="79"/>
      <c r="D8" s="71"/>
      <c r="F8" s="46" t="s">
        <v>47</v>
      </c>
      <c r="G8" s="56">
        <f ca="1">G7*G3</f>
        <v>574</v>
      </c>
    </row>
    <row r="9" spans="1:7" ht="13.5" thickBot="1" x14ac:dyDescent="0.25">
      <c r="A9" s="57"/>
      <c r="B9" s="76"/>
      <c r="C9" s="76"/>
      <c r="D9" s="77"/>
      <c r="F9" s="57" t="s">
        <v>49</v>
      </c>
      <c r="G9" s="307">
        <v>4200</v>
      </c>
    </row>
  </sheetData>
  <sheetProtection sheet="1" selectLockedCells="1" selectUnlockedCells="1"/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46"/>
  <sheetViews>
    <sheetView topLeftCell="A25" zoomScale="118" zoomScaleNormal="118" workbookViewId="0">
      <selection activeCell="E44" sqref="E44"/>
    </sheetView>
  </sheetViews>
  <sheetFormatPr defaultRowHeight="15.75" customHeight="1" x14ac:dyDescent="0.2"/>
  <cols>
    <col min="1" max="1" width="29.7109375" style="121" bestFit="1" customWidth="1"/>
    <col min="2" max="2" width="6.85546875" style="151" customWidth="1"/>
    <col min="3" max="3" width="9.28515625" style="121" customWidth="1"/>
    <col min="4" max="4" width="3.28515625" style="121" customWidth="1"/>
    <col min="5" max="5" width="31.42578125" style="121" bestFit="1" customWidth="1"/>
    <col min="6" max="6" width="9.140625" style="121" customWidth="1"/>
    <col min="7" max="7" width="10.28515625" style="121" customWidth="1"/>
    <col min="8" max="8" width="7.28515625" style="121" customWidth="1"/>
    <col min="9" max="9" width="8.5703125" style="121" customWidth="1"/>
    <col min="10" max="11" width="7.85546875" style="120" customWidth="1"/>
    <col min="12" max="12" width="24.42578125" style="121" customWidth="1"/>
    <col min="13" max="13" width="5.42578125" style="121" bestFit="1" customWidth="1"/>
    <col min="14" max="14" width="6" style="121" bestFit="1" customWidth="1"/>
    <col min="15" max="16384" width="9.140625" style="121"/>
  </cols>
  <sheetData>
    <row r="1" spans="1:15" ht="18" customHeight="1" x14ac:dyDescent="0.25">
      <c r="A1" s="547" t="s">
        <v>0</v>
      </c>
      <c r="B1" s="547"/>
      <c r="C1" s="547"/>
      <c r="D1" s="547"/>
      <c r="E1" s="547"/>
      <c r="F1" s="547"/>
      <c r="G1" s="547"/>
      <c r="H1" s="448"/>
    </row>
    <row r="2" spans="1:15" ht="15.75" customHeight="1" x14ac:dyDescent="0.2">
      <c r="A2" s="548" t="s">
        <v>203</v>
      </c>
      <c r="B2" s="548"/>
      <c r="C2" s="548"/>
      <c r="D2" s="548"/>
      <c r="E2" s="548"/>
      <c r="F2" s="548"/>
      <c r="G2" s="548"/>
      <c r="H2" s="448"/>
      <c r="J2" s="542" t="s">
        <v>78</v>
      </c>
      <c r="K2" s="542"/>
      <c r="M2" s="151"/>
      <c r="N2" s="151"/>
    </row>
    <row r="3" spans="1:15" ht="15.75" customHeight="1" x14ac:dyDescent="0.25">
      <c r="A3" s="543" t="s">
        <v>79</v>
      </c>
      <c r="B3" s="543"/>
      <c r="C3" s="543"/>
      <c r="D3" s="543"/>
      <c r="E3" s="543"/>
      <c r="F3" s="543"/>
      <c r="G3" s="543"/>
      <c r="H3" s="448"/>
      <c r="J3" s="542"/>
      <c r="K3" s="542"/>
      <c r="M3" s="449"/>
      <c r="N3" s="449"/>
    </row>
    <row r="4" spans="1:15" ht="15.75" customHeight="1" x14ac:dyDescent="0.2">
      <c r="A4" s="544" t="s">
        <v>80</v>
      </c>
      <c r="B4" s="544"/>
      <c r="C4" s="205">
        <v>39000</v>
      </c>
      <c r="D4" s="545"/>
      <c r="E4" s="546" t="s">
        <v>43</v>
      </c>
      <c r="F4" s="546"/>
      <c r="G4" s="207" t="s">
        <v>54</v>
      </c>
      <c r="H4" s="448"/>
    </row>
    <row r="5" spans="1:15" ht="15.75" customHeight="1" x14ac:dyDescent="0.2">
      <c r="A5" s="544" t="s">
        <v>81</v>
      </c>
      <c r="B5" s="544"/>
      <c r="C5" s="205">
        <v>0</v>
      </c>
      <c r="D5" s="545"/>
      <c r="E5" s="544" t="s">
        <v>44</v>
      </c>
      <c r="F5" s="544"/>
      <c r="G5" s="207">
        <v>100</v>
      </c>
      <c r="H5" s="448"/>
    </row>
    <row r="6" spans="1:15" ht="15.75" customHeight="1" x14ac:dyDescent="0.2">
      <c r="A6" s="544" t="s">
        <v>82</v>
      </c>
      <c r="B6" s="544"/>
      <c r="C6" s="205">
        <v>0</v>
      </c>
      <c r="D6" s="545"/>
      <c r="E6" s="544" t="s">
        <v>83</v>
      </c>
      <c r="F6" s="544"/>
      <c r="G6" s="206">
        <v>2016</v>
      </c>
      <c r="H6" s="450"/>
    </row>
    <row r="7" spans="1:15" ht="15.75" customHeight="1" x14ac:dyDescent="0.2">
      <c r="A7" s="544" t="s">
        <v>84</v>
      </c>
      <c r="B7" s="544"/>
      <c r="C7" s="205">
        <v>0</v>
      </c>
      <c r="D7" s="545"/>
      <c r="E7" s="549"/>
      <c r="F7" s="549"/>
      <c r="G7" s="459"/>
      <c r="H7" s="451"/>
    </row>
    <row r="8" spans="1:15" ht="15.75" customHeight="1" x14ac:dyDescent="0.25">
      <c r="A8" s="540" t="s">
        <v>85</v>
      </c>
      <c r="B8" s="540"/>
      <c r="C8" s="540"/>
      <c r="D8" s="540"/>
      <c r="E8" s="540"/>
      <c r="F8" s="540"/>
      <c r="G8" s="540"/>
      <c r="H8" s="451"/>
    </row>
    <row r="9" spans="1:15" s="127" customFormat="1" ht="15.75" customHeight="1" x14ac:dyDescent="0.25">
      <c r="A9" s="536" t="s">
        <v>86</v>
      </c>
      <c r="B9" s="536"/>
      <c r="C9" s="536"/>
      <c r="D9" s="541"/>
      <c r="E9" s="536" t="s">
        <v>87</v>
      </c>
      <c r="F9" s="536"/>
      <c r="G9" s="536"/>
      <c r="H9" s="451"/>
      <c r="J9" s="130"/>
      <c r="K9" s="452"/>
      <c r="O9" s="121"/>
    </row>
    <row r="10" spans="1:15" ht="15.75" customHeight="1" x14ac:dyDescent="0.25">
      <c r="A10" s="178" t="s">
        <v>88</v>
      </c>
      <c r="B10" s="207"/>
      <c r="C10" s="187">
        <f ca="1">+C4*MCCAL!B8/100</f>
        <v>653.64</v>
      </c>
      <c r="D10" s="541"/>
      <c r="E10" s="178" t="s">
        <v>89</v>
      </c>
      <c r="F10" s="208"/>
      <c r="G10" s="187">
        <f ca="1">MCCAL!B11</f>
        <v>720</v>
      </c>
      <c r="H10" s="451"/>
      <c r="I10" s="127"/>
      <c r="J10" s="130"/>
      <c r="K10" s="452"/>
      <c r="L10" s="127"/>
      <c r="M10" s="127"/>
      <c r="N10" s="127"/>
    </row>
    <row r="11" spans="1:15" ht="15.75" customHeight="1" x14ac:dyDescent="0.25">
      <c r="A11" s="178" t="s">
        <v>90</v>
      </c>
      <c r="B11" s="207"/>
      <c r="C11" s="187">
        <f>IF(C5&gt;0,4%*C5,0)</f>
        <v>0</v>
      </c>
      <c r="D11" s="541"/>
      <c r="E11" s="178" t="s">
        <v>196</v>
      </c>
      <c r="F11" s="207" t="s">
        <v>91</v>
      </c>
      <c r="G11" s="187">
        <f>IF(F11="Yes",50,0)</f>
        <v>50</v>
      </c>
      <c r="H11" s="451"/>
      <c r="I11" s="127"/>
      <c r="J11" s="130"/>
      <c r="K11" s="452"/>
      <c r="L11" s="127"/>
    </row>
    <row r="12" spans="1:15" ht="15.75" customHeight="1" x14ac:dyDescent="0.25">
      <c r="A12" s="178" t="s">
        <v>92</v>
      </c>
      <c r="B12" s="460"/>
      <c r="C12" s="187">
        <f>IF(C6&gt;0,4%*C6,0)</f>
        <v>0</v>
      </c>
      <c r="D12" s="541"/>
      <c r="E12" s="178" t="s">
        <v>93</v>
      </c>
      <c r="F12" s="461"/>
      <c r="G12" s="187">
        <f>IF(C6&gt;0,60,0)</f>
        <v>0</v>
      </c>
      <c r="H12" s="451"/>
      <c r="I12" s="127"/>
      <c r="J12" s="130"/>
      <c r="K12" s="452"/>
      <c r="L12" s="127"/>
    </row>
    <row r="13" spans="1:15" ht="15.75" customHeight="1" x14ac:dyDescent="0.25">
      <c r="A13" s="178" t="s">
        <v>84</v>
      </c>
      <c r="B13" s="460"/>
      <c r="C13" s="187">
        <f>IF(C7&gt;0,3%*C7,0)</f>
        <v>0</v>
      </c>
      <c r="D13" s="541"/>
      <c r="E13" s="178"/>
      <c r="F13" s="178"/>
      <c r="G13" s="178"/>
      <c r="H13" s="451"/>
      <c r="I13" s="127"/>
      <c r="J13" s="130"/>
      <c r="K13" s="452"/>
      <c r="L13" s="127"/>
    </row>
    <row r="14" spans="1:15" ht="15.75" customHeight="1" x14ac:dyDescent="0.25">
      <c r="A14" s="215" t="s">
        <v>95</v>
      </c>
      <c r="B14" s="462"/>
      <c r="C14" s="213">
        <f ca="1">SUM(C10+C11+C12+C13)</f>
        <v>653.64</v>
      </c>
      <c r="D14" s="541"/>
      <c r="E14" s="215" t="s">
        <v>96</v>
      </c>
      <c r="F14" s="463"/>
      <c r="G14" s="213">
        <f ca="1">SUM(G10:G12)</f>
        <v>770</v>
      </c>
      <c r="H14" s="451"/>
      <c r="I14" s="127"/>
      <c r="J14" s="130"/>
      <c r="K14" s="452"/>
      <c r="L14" s="127"/>
      <c r="M14" s="129"/>
    </row>
    <row r="15" spans="1:15" ht="15.75" customHeight="1" x14ac:dyDescent="0.25">
      <c r="A15" s="178" t="s">
        <v>97</v>
      </c>
      <c r="B15" s="210">
        <v>0.25</v>
      </c>
      <c r="C15" s="187">
        <f ca="1">C14*B15</f>
        <v>163.41</v>
      </c>
      <c r="D15" s="541"/>
      <c r="E15" s="178" t="s">
        <v>197</v>
      </c>
      <c r="F15" s="207" t="s">
        <v>37</v>
      </c>
      <c r="G15" s="187">
        <f>IF(F15="Yes",0.7*F16*G16/1000,0)</f>
        <v>0</v>
      </c>
      <c r="H15" s="451"/>
      <c r="I15" s="127"/>
      <c r="J15" s="130"/>
      <c r="K15" s="452"/>
      <c r="L15" s="127"/>
      <c r="M15" s="129"/>
    </row>
    <row r="16" spans="1:15" ht="15.75" customHeight="1" x14ac:dyDescent="0.25">
      <c r="A16" s="178" t="s">
        <v>194</v>
      </c>
      <c r="B16" s="464" t="s">
        <v>37</v>
      </c>
      <c r="C16" s="187">
        <f>C4*A46/10</f>
        <v>0</v>
      </c>
      <c r="D16" s="541"/>
      <c r="E16" s="178" t="str">
        <f>IF(F15="Yes","No of Seats/PA Limit","")</f>
        <v/>
      </c>
      <c r="F16" s="208">
        <v>1</v>
      </c>
      <c r="G16" s="465">
        <v>50000</v>
      </c>
      <c r="H16" s="451"/>
      <c r="I16" s="127"/>
      <c r="J16" s="130"/>
      <c r="K16" s="452"/>
      <c r="L16" s="127"/>
      <c r="M16" s="129"/>
    </row>
    <row r="17" spans="1:14" ht="15.75" customHeight="1" x14ac:dyDescent="0.25">
      <c r="A17" s="178" t="s">
        <v>99</v>
      </c>
      <c r="B17" s="207" t="s">
        <v>37</v>
      </c>
      <c r="C17" s="187">
        <f>IF(B17="Yes",500,0)</f>
        <v>0</v>
      </c>
      <c r="D17" s="541"/>
      <c r="E17" s="178"/>
      <c r="F17" s="208"/>
      <c r="G17" s="465"/>
      <c r="H17" s="451"/>
      <c r="I17" s="127"/>
      <c r="J17" s="130"/>
      <c r="K17" s="452"/>
      <c r="L17" s="127"/>
      <c r="M17" s="129"/>
    </row>
    <row r="18" spans="1:14" ht="15.75" customHeight="1" x14ac:dyDescent="0.25">
      <c r="A18" s="178" t="s">
        <v>100</v>
      </c>
      <c r="B18" s="207">
        <v>0</v>
      </c>
      <c r="C18" s="187">
        <f>IF(B18&gt;0,20+(10*(B18-1)),0)</f>
        <v>0</v>
      </c>
      <c r="D18" s="541"/>
      <c r="E18" s="178" t="s">
        <v>101</v>
      </c>
      <c r="F18" s="208"/>
      <c r="G18" s="187">
        <f>IF(B18&gt;0,15+(10*(B18-1)),0)</f>
        <v>0</v>
      </c>
      <c r="H18" s="451"/>
      <c r="I18" s="127"/>
      <c r="J18" s="130"/>
      <c r="K18" s="452"/>
      <c r="L18" s="127"/>
    </row>
    <row r="19" spans="1:14" ht="15.75" customHeight="1" x14ac:dyDescent="0.25">
      <c r="A19" s="178" t="s">
        <v>102</v>
      </c>
      <c r="B19" s="207" t="s">
        <v>37</v>
      </c>
      <c r="C19" s="187">
        <f>IF(B19="Yes",50,0)</f>
        <v>0</v>
      </c>
      <c r="D19" s="541"/>
      <c r="E19" s="178"/>
      <c r="F19" s="208"/>
      <c r="G19" s="187"/>
      <c r="H19" s="451"/>
      <c r="I19" s="127"/>
      <c r="J19" s="130"/>
      <c r="K19" s="452"/>
      <c r="L19" s="127"/>
      <c r="M19" s="129"/>
    </row>
    <row r="20" spans="1:14" ht="15.75" customHeight="1" x14ac:dyDescent="0.25">
      <c r="A20" s="215" t="s">
        <v>104</v>
      </c>
      <c r="B20" s="462"/>
      <c r="C20" s="213">
        <f ca="1">SUM(C14:C19)</f>
        <v>817.05</v>
      </c>
      <c r="D20" s="541"/>
      <c r="E20" s="215" t="s">
        <v>105</v>
      </c>
      <c r="F20" s="214"/>
      <c r="G20" s="213">
        <f ca="1">G14+G15</f>
        <v>770</v>
      </c>
      <c r="H20" s="451"/>
      <c r="I20" s="127"/>
      <c r="J20" s="130"/>
      <c r="K20" s="452"/>
      <c r="L20" s="127"/>
      <c r="M20" s="130"/>
      <c r="N20" s="127"/>
    </row>
    <row r="21" spans="1:14" ht="15.75" customHeight="1" x14ac:dyDescent="0.25">
      <c r="A21" s="178" t="s">
        <v>103</v>
      </c>
      <c r="B21" s="207" t="s">
        <v>37</v>
      </c>
      <c r="C21" s="187">
        <f>IF(B21="Yes",MIN(500,2.5%*C14),0)</f>
        <v>0</v>
      </c>
      <c r="D21" s="541"/>
      <c r="E21" s="178" t="s">
        <v>106</v>
      </c>
      <c r="F21" s="466">
        <v>100000</v>
      </c>
      <c r="G21" s="187">
        <f>IF(F21=100000,0,50)</f>
        <v>0</v>
      </c>
      <c r="H21" s="451"/>
      <c r="I21" s="127"/>
      <c r="J21" s="130"/>
      <c r="K21" s="452"/>
      <c r="L21" s="127"/>
    </row>
    <row r="22" spans="1:14" ht="15.75" customHeight="1" x14ac:dyDescent="0.25">
      <c r="A22" s="178" t="s">
        <v>72</v>
      </c>
      <c r="B22" s="207" t="s">
        <v>37</v>
      </c>
      <c r="C22" s="187">
        <f>IF(B22="Yes",50%*C14,0)</f>
        <v>0</v>
      </c>
      <c r="D22" s="541"/>
      <c r="E22" s="178"/>
      <c r="F22" s="208"/>
      <c r="G22" s="187"/>
      <c r="H22" s="451"/>
      <c r="I22" s="127"/>
      <c r="J22" s="130"/>
      <c r="K22" s="452"/>
      <c r="L22" s="127"/>
    </row>
    <row r="23" spans="1:14" ht="15.75" customHeight="1" x14ac:dyDescent="0.25">
      <c r="A23" s="178" t="s">
        <v>65</v>
      </c>
      <c r="B23" s="207" t="s">
        <v>37</v>
      </c>
      <c r="C23" s="187">
        <f>IF(B23="Yes",MIN(50,5%*C14),0)</f>
        <v>0</v>
      </c>
      <c r="D23" s="541"/>
      <c r="E23" s="178"/>
      <c r="F23" s="178"/>
      <c r="G23" s="178"/>
      <c r="H23" s="451"/>
      <c r="I23" s="127"/>
      <c r="J23" s="130"/>
      <c r="K23" s="452"/>
      <c r="L23" s="127"/>
      <c r="M23" s="129"/>
    </row>
    <row r="24" spans="1:14" ht="15.75" customHeight="1" x14ac:dyDescent="0.25">
      <c r="A24" s="178" t="s">
        <v>195</v>
      </c>
      <c r="B24" s="207" t="s">
        <v>37</v>
      </c>
      <c r="C24" s="187">
        <f>IF(B24="Yes",33.33%*C14,0)</f>
        <v>0</v>
      </c>
      <c r="D24" s="541"/>
      <c r="E24" s="178"/>
      <c r="F24" s="178"/>
      <c r="G24" s="178"/>
      <c r="H24" s="451"/>
      <c r="I24" s="127"/>
      <c r="J24" s="130"/>
      <c r="K24" s="452"/>
      <c r="L24" s="127"/>
      <c r="M24" s="129"/>
    </row>
    <row r="25" spans="1:14" ht="15.75" customHeight="1" x14ac:dyDescent="0.25">
      <c r="A25" s="178" t="s">
        <v>107</v>
      </c>
      <c r="B25" s="467">
        <v>0</v>
      </c>
      <c r="C25" s="187">
        <f>VLOOKUP(B25,MCT!H22:I27,2)</f>
        <v>0</v>
      </c>
      <c r="D25" s="541"/>
      <c r="E25" s="178"/>
      <c r="F25" s="208"/>
      <c r="G25" s="187"/>
      <c r="H25" s="451"/>
      <c r="I25" s="127"/>
      <c r="J25" s="130"/>
      <c r="K25" s="452"/>
      <c r="L25" s="127"/>
      <c r="M25" s="129"/>
    </row>
    <row r="26" spans="1:14" ht="15.75" customHeight="1" x14ac:dyDescent="0.25">
      <c r="A26" s="468" t="s">
        <v>108</v>
      </c>
      <c r="B26" s="207"/>
      <c r="C26" s="187">
        <f ca="1">C20-SUM(C21:C25)</f>
        <v>817.05</v>
      </c>
      <c r="D26" s="541"/>
      <c r="E26" s="468" t="s">
        <v>109</v>
      </c>
      <c r="F26" s="208"/>
      <c r="G26" s="187"/>
      <c r="H26" s="451"/>
      <c r="L26" s="120"/>
      <c r="M26" s="129"/>
    </row>
    <row r="27" spans="1:14" ht="15.75" customHeight="1" x14ac:dyDescent="0.2">
      <c r="A27" s="178" t="s">
        <v>110</v>
      </c>
      <c r="B27" s="469">
        <v>0</v>
      </c>
      <c r="C27" s="187">
        <f ca="1">(C26-C28-C29)*B27</f>
        <v>0</v>
      </c>
      <c r="D27" s="541"/>
      <c r="E27" s="178"/>
      <c r="F27" s="217"/>
      <c r="G27" s="187"/>
      <c r="H27" s="451"/>
      <c r="K27" s="452"/>
      <c r="L27" s="120"/>
      <c r="M27" s="129"/>
    </row>
    <row r="28" spans="1:14" ht="15.75" customHeight="1" x14ac:dyDescent="0.25">
      <c r="A28" s="178" t="s">
        <v>111</v>
      </c>
      <c r="B28" s="210">
        <v>0</v>
      </c>
      <c r="C28" s="202">
        <f ca="1">C14*B28</f>
        <v>0</v>
      </c>
      <c r="D28" s="541"/>
      <c r="E28" s="178"/>
      <c r="F28" s="217"/>
      <c r="G28" s="187"/>
      <c r="H28" s="451"/>
      <c r="K28" s="452"/>
      <c r="L28" s="120"/>
      <c r="M28" s="453"/>
    </row>
    <row r="29" spans="1:14" ht="15.75" customHeight="1" x14ac:dyDescent="0.25">
      <c r="A29" s="178" t="s">
        <v>214</v>
      </c>
      <c r="B29" s="210">
        <v>0</v>
      </c>
      <c r="C29" s="202">
        <f ca="1">C15*B29</f>
        <v>0</v>
      </c>
      <c r="D29" s="541"/>
      <c r="E29" s="178"/>
      <c r="F29" s="217"/>
      <c r="G29" s="187"/>
      <c r="H29" s="451"/>
      <c r="K29" s="452"/>
      <c r="L29" s="120"/>
      <c r="M29" s="453"/>
    </row>
    <row r="30" spans="1:14" ht="15.75" customHeight="1" x14ac:dyDescent="0.25">
      <c r="A30" s="215" t="s">
        <v>112</v>
      </c>
      <c r="B30" s="462"/>
      <c r="C30" s="209">
        <f ca="1">C26-(C27+C28+C29)</f>
        <v>817.05</v>
      </c>
      <c r="D30" s="541"/>
      <c r="E30" s="215" t="s">
        <v>113</v>
      </c>
      <c r="F30" s="214"/>
      <c r="G30" s="209">
        <f ca="1">G20-G21</f>
        <v>770</v>
      </c>
      <c r="H30" s="451"/>
      <c r="K30" s="452"/>
      <c r="L30" s="120"/>
    </row>
    <row r="31" spans="1:14" ht="15.75" customHeight="1" x14ac:dyDescent="0.2">
      <c r="A31" s="120"/>
      <c r="B31" s="454"/>
      <c r="C31" s="455"/>
      <c r="D31" s="455"/>
      <c r="E31" s="120"/>
      <c r="F31" s="120"/>
      <c r="G31" s="451"/>
      <c r="H31" s="451"/>
      <c r="K31" s="452"/>
      <c r="L31" s="120"/>
    </row>
    <row r="32" spans="1:14" ht="15.75" customHeight="1" x14ac:dyDescent="0.25">
      <c r="A32" s="539" t="s">
        <v>215</v>
      </c>
      <c r="B32" s="493"/>
      <c r="C32" s="460"/>
      <c r="D32" s="460"/>
      <c r="E32" s="470" t="s">
        <v>114</v>
      </c>
      <c r="F32" s="199" t="s">
        <v>115</v>
      </c>
      <c r="G32" s="200" t="s">
        <v>38</v>
      </c>
      <c r="H32" s="451"/>
      <c r="K32" s="452"/>
      <c r="L32" s="452"/>
    </row>
    <row r="33" spans="1:11" ht="15.75" customHeight="1" x14ac:dyDescent="0.25">
      <c r="A33" s="539"/>
      <c r="B33" s="535" t="s">
        <v>116</v>
      </c>
      <c r="C33" s="536"/>
      <c r="D33" s="536"/>
      <c r="E33" s="201">
        <f ca="1">C30</f>
        <v>817.05</v>
      </c>
      <c r="F33" s="187">
        <f ca="1">G30</f>
        <v>770</v>
      </c>
      <c r="G33" s="202">
        <f ca="1">SUM(E33:F33)</f>
        <v>1587.05</v>
      </c>
      <c r="H33" s="456"/>
      <c r="I33" s="147"/>
      <c r="K33" s="452"/>
    </row>
    <row r="34" spans="1:11" ht="15.75" customHeight="1" x14ac:dyDescent="0.25">
      <c r="A34" s="539"/>
      <c r="B34" s="535" t="s">
        <v>225</v>
      </c>
      <c r="C34" s="536"/>
      <c r="D34" s="536"/>
      <c r="E34" s="201">
        <f ca="1">E33*HyperLink!B21</f>
        <v>147.06899999999999</v>
      </c>
      <c r="F34" s="201">
        <f ca="1">F33*HyperLink!B21</f>
        <v>138.6</v>
      </c>
      <c r="G34" s="201">
        <f ca="1">G33*HyperLink!B21</f>
        <v>285.66899999999998</v>
      </c>
      <c r="H34" s="457"/>
      <c r="K34" s="452"/>
    </row>
    <row r="35" spans="1:11" ht="15.75" customHeight="1" x14ac:dyDescent="0.25">
      <c r="A35" s="539"/>
      <c r="B35" s="537" t="s">
        <v>39</v>
      </c>
      <c r="C35" s="538"/>
      <c r="D35" s="538"/>
      <c r="E35" s="471">
        <f ca="1">SUM(E33:E34)</f>
        <v>964.11899999999991</v>
      </c>
      <c r="F35" s="472">
        <f ca="1">SUM(F33:F34)</f>
        <v>908.6</v>
      </c>
      <c r="G35" s="473">
        <f ca="1">SUM(G33:G34)</f>
        <v>1872.7190000000001</v>
      </c>
      <c r="H35" s="457"/>
      <c r="K35" s="452"/>
    </row>
    <row r="36" spans="1:11" ht="15.75" customHeight="1" x14ac:dyDescent="0.2">
      <c r="E36" s="458"/>
      <c r="F36" s="458"/>
      <c r="G36" s="458"/>
      <c r="H36" s="458"/>
      <c r="K36" s="452"/>
    </row>
    <row r="45" spans="1:11" ht="15.75" hidden="1" customHeight="1" x14ac:dyDescent="0.2">
      <c r="A45" s="114" t="s">
        <v>57</v>
      </c>
      <c r="B45" s="114" t="s">
        <v>122</v>
      </c>
    </row>
    <row r="46" spans="1:11" ht="15.75" hidden="1" customHeight="1" x14ac:dyDescent="0.2">
      <c r="A46" s="114" t="b">
        <f>IF(B16="Yes",IF(B46=0,3%,IF(B46=1,4%,IF(B46=2,6%,0))))</f>
        <v>0</v>
      </c>
      <c r="B46" s="116">
        <f ca="1">YEAR(TODAY())-(G6)</f>
        <v>1</v>
      </c>
    </row>
  </sheetData>
  <sheetProtection password="CEED" sheet="1"/>
  <mergeCells count="21">
    <mergeCell ref="A1:G1"/>
    <mergeCell ref="A2:G2"/>
    <mergeCell ref="A5:B5"/>
    <mergeCell ref="E5:F5"/>
    <mergeCell ref="E7:F7"/>
    <mergeCell ref="A6:B6"/>
    <mergeCell ref="E6:F6"/>
    <mergeCell ref="A7:B7"/>
    <mergeCell ref="J2:K3"/>
    <mergeCell ref="A3:G3"/>
    <mergeCell ref="A4:B4"/>
    <mergeCell ref="D4:D7"/>
    <mergeCell ref="E4:F4"/>
    <mergeCell ref="B33:D33"/>
    <mergeCell ref="B34:D34"/>
    <mergeCell ref="B35:D35"/>
    <mergeCell ref="A32:A35"/>
    <mergeCell ref="A8:G8"/>
    <mergeCell ref="E9:G9"/>
    <mergeCell ref="D9:D30"/>
    <mergeCell ref="A9:C9"/>
  </mergeCells>
  <dataValidations count="9">
    <dataValidation type="list" allowBlank="1" showErrorMessage="1" sqref="B6 B21:B24 B19 B16:B17 F15 F11">
      <formula1>"Yes,No"</formula1>
      <formula2>0</formula2>
    </dataValidation>
    <dataValidation type="list" allowBlank="1" showErrorMessage="1" sqref="B25">
      <formula1>"0,500,750,1000,1500,3000"</formula1>
      <formula2>0</formula2>
    </dataValidation>
    <dataValidation type="list" allowBlank="1" showErrorMessage="1" sqref="B27">
      <formula1>"0%,20%,25%,35%,45%,50%,"</formula1>
      <formula2>0</formula2>
    </dataValidation>
    <dataValidation type="list" allowBlank="1" showErrorMessage="1" sqref="B15">
      <formula1>"0,15%,25%,35%,"</formula1>
    </dataValidation>
    <dataValidation type="list" allowBlank="1" showErrorMessage="1" sqref="F21">
      <formula1>"6000,100000"</formula1>
      <formula2>0</formula2>
    </dataValidation>
    <dataValidation type="list" allowBlank="1" showErrorMessage="1" sqref="G16:G17">
      <formula1>"10000,20000,30000,40000,50000,60000,70000,80000,90000,100000,110000,120000,130000,140000,150000,160000,170000,180000,190000,200000"</formula1>
      <formula2>0</formula2>
    </dataValidation>
    <dataValidation type="list" allowBlank="1" showErrorMessage="1" sqref="F27:F29">
      <formula1>"0%,5%,15%"</formula1>
      <formula2>0</formula2>
    </dataValidation>
    <dataValidation type="list" allowBlank="1" showErrorMessage="1" sqref="G4">
      <formula1>"A,B"</formula1>
      <formula2>0</formula2>
    </dataValidation>
    <dataValidation allowBlank="1" showErrorMessage="1" sqref="B28:B29">
      <formula1>0</formula1>
      <formula2>0</formula2>
    </dataValidation>
  </dataValidations>
  <hyperlinks>
    <hyperlink ref="J2" location="HyperLink!A1" display="BACK TO HYPERLINK"/>
  </hyperlinks>
  <pageMargins left="0.31527777777777777" right="0" top="0.94513888888888886" bottom="0.74791666666666667" header="0.51180555555555551" footer="0.51180555555555551"/>
  <pageSetup paperSize="9" firstPageNumber="0" orientation="portrait" horizontalDpi="300" verticalDpi="300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zoomScale="90" zoomScaleNormal="90" workbookViewId="0">
      <selection activeCell="B11" sqref="B11"/>
    </sheetView>
  </sheetViews>
  <sheetFormatPr defaultRowHeight="12.75" x14ac:dyDescent="0.2"/>
  <cols>
    <col min="1" max="1" width="27.85546875" style="10" customWidth="1"/>
    <col min="2" max="2" width="6.7109375" style="10" customWidth="1"/>
    <col min="3" max="16384" width="9.140625" style="10"/>
  </cols>
  <sheetData>
    <row r="1" spans="1:3" ht="13.5" x14ac:dyDescent="0.25">
      <c r="A1" s="11"/>
      <c r="B1" s="11"/>
      <c r="C1" s="11"/>
    </row>
    <row r="2" spans="1:3" ht="13.5" x14ac:dyDescent="0.25">
      <c r="A2" s="12" t="s">
        <v>42</v>
      </c>
      <c r="B2" s="11"/>
      <c r="C2" s="11"/>
    </row>
    <row r="3" spans="1:3" ht="13.5" x14ac:dyDescent="0.25">
      <c r="A3" s="11"/>
      <c r="B3" s="11"/>
      <c r="C3" s="11"/>
    </row>
    <row r="4" spans="1:3" ht="13.5" x14ac:dyDescent="0.25">
      <c r="A4" s="11" t="s">
        <v>43</v>
      </c>
      <c r="B4" s="11" t="str">
        <f>+'2 Wheeler'!G4</f>
        <v>B</v>
      </c>
      <c r="C4" s="11"/>
    </row>
    <row r="5" spans="1:3" ht="13.5" x14ac:dyDescent="0.25">
      <c r="A5" s="11" t="s">
        <v>44</v>
      </c>
      <c r="B5" s="11">
        <f>+'2 Wheeler'!G5</f>
        <v>100</v>
      </c>
      <c r="C5" s="11"/>
    </row>
    <row r="6" spans="1:3" ht="13.5" x14ac:dyDescent="0.25">
      <c r="A6" s="11" t="s">
        <v>45</v>
      </c>
      <c r="B6" s="11">
        <f ca="1">YEAR(TODAY())-'2 Wheeler'!G6+1</f>
        <v>2</v>
      </c>
      <c r="C6" s="11"/>
    </row>
    <row r="7" spans="1:3" ht="13.5" x14ac:dyDescent="0.25">
      <c r="A7" s="11" t="s">
        <v>46</v>
      </c>
      <c r="B7" s="11">
        <f>(IF(B4="A",IF(B5&lt;76,1,IF(B5&lt;151,3,IF(B5&lt;351,5,7))),IF(B5&lt;76,2,IF(B5&lt;151,4,IF(B5&lt;351,6,8))))+1)</f>
        <v>5</v>
      </c>
      <c r="C7" s="11"/>
    </row>
    <row r="8" spans="1:3" ht="13.5" x14ac:dyDescent="0.25">
      <c r="A8" s="11" t="s">
        <v>47</v>
      </c>
      <c r="B8" s="11">
        <f ca="1">VLOOKUP(B6,MCT!A7:I9,MCCAL!B7)</f>
        <v>1.6759999999999999</v>
      </c>
      <c r="C8" s="11"/>
    </row>
    <row r="9" spans="1:3" ht="13.5" x14ac:dyDescent="0.25">
      <c r="A9" s="11"/>
      <c r="B9" s="11"/>
      <c r="C9" s="11"/>
    </row>
    <row r="10" spans="1:3" ht="13.5" x14ac:dyDescent="0.25">
      <c r="A10" s="12" t="s">
        <v>48</v>
      </c>
      <c r="B10" s="11"/>
      <c r="C10" s="11"/>
    </row>
    <row r="11" spans="1:3" ht="13.5" x14ac:dyDescent="0.25">
      <c r="A11" s="11" t="s">
        <v>49</v>
      </c>
      <c r="B11" s="11">
        <f ca="1">VLOOKUP(B6,MCT!A13:I15,MCCAL!B7)</f>
        <v>720</v>
      </c>
      <c r="C11" s="11"/>
    </row>
    <row r="12" spans="1:3" ht="13.5" x14ac:dyDescent="0.25">
      <c r="A12" s="11"/>
      <c r="B12" s="11"/>
      <c r="C12" s="11"/>
    </row>
    <row r="13" spans="1:3" ht="13.5" x14ac:dyDescent="0.25">
      <c r="A13" s="11"/>
      <c r="B13" s="11"/>
      <c r="C13" s="11"/>
    </row>
    <row r="14" spans="1:3" ht="13.5" x14ac:dyDescent="0.25">
      <c r="A14" s="11"/>
      <c r="B14" s="11"/>
      <c r="C14" s="11"/>
    </row>
    <row r="15" spans="1:3" ht="13.5" x14ac:dyDescent="0.25">
      <c r="A15" s="11"/>
      <c r="B15" s="11"/>
      <c r="C15" s="11"/>
    </row>
    <row r="16" spans="1:3" ht="13.5" x14ac:dyDescent="0.25">
      <c r="A16" s="12"/>
      <c r="B16" s="11"/>
      <c r="C16" s="11"/>
    </row>
    <row r="17" spans="1:3" ht="13.5" x14ac:dyDescent="0.25">
      <c r="A17" s="11"/>
      <c r="B17" s="11"/>
      <c r="C17" s="11"/>
    </row>
    <row r="18" spans="1:3" ht="13.5" x14ac:dyDescent="0.25">
      <c r="A18" s="11"/>
      <c r="B18" s="11"/>
      <c r="C18" s="11"/>
    </row>
    <row r="19" spans="1:3" ht="13.5" x14ac:dyDescent="0.25">
      <c r="A19" s="11"/>
      <c r="B19" s="11"/>
      <c r="C19" s="11"/>
    </row>
    <row r="20" spans="1:3" ht="13.5" x14ac:dyDescent="0.25">
      <c r="A20" s="11"/>
      <c r="C20" s="11"/>
    </row>
    <row r="21" spans="1:3" ht="13.5" x14ac:dyDescent="0.25">
      <c r="A21" s="11"/>
      <c r="B21" s="11"/>
      <c r="C21" s="11"/>
    </row>
    <row r="22" spans="1:3" ht="13.5" x14ac:dyDescent="0.25">
      <c r="A22" s="11"/>
      <c r="B22" s="11"/>
      <c r="C22" s="11"/>
    </row>
    <row r="23" spans="1:3" ht="13.5" x14ac:dyDescent="0.25">
      <c r="A23" s="11"/>
      <c r="B23" s="11"/>
      <c r="C23" s="11"/>
    </row>
    <row r="24" spans="1:3" ht="13.5" x14ac:dyDescent="0.25">
      <c r="A24" s="12"/>
      <c r="B24" s="11"/>
      <c r="C24" s="11"/>
    </row>
    <row r="25" spans="1:3" ht="13.5" x14ac:dyDescent="0.25">
      <c r="A25" s="11"/>
      <c r="B25" s="11"/>
      <c r="C25" s="11"/>
    </row>
  </sheetData>
  <sheetProtection sheet="1" selectLockedCells="1" selectUnlockedCells="1"/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"/>
  <sheetViews>
    <sheetView zoomScale="130" zoomScaleNormal="130" workbookViewId="0">
      <selection activeCell="J1" sqref="J1"/>
    </sheetView>
  </sheetViews>
  <sheetFormatPr defaultRowHeight="12.75" x14ac:dyDescent="0.2"/>
  <cols>
    <col min="1" max="16384" width="9.140625" style="10"/>
  </cols>
  <sheetData>
    <row r="1" spans="1:10" ht="13.5" x14ac:dyDescent="0.25">
      <c r="A1" s="13"/>
      <c r="B1" s="13"/>
      <c r="C1" s="13"/>
      <c r="D1" s="13"/>
      <c r="E1" s="13"/>
      <c r="F1" s="13"/>
      <c r="G1" s="13"/>
      <c r="H1" s="13"/>
      <c r="I1" s="13"/>
      <c r="J1" s="13"/>
    </row>
    <row r="2" spans="1:10" ht="13.5" x14ac:dyDescent="0.25">
      <c r="A2" s="13"/>
      <c r="B2" s="13"/>
      <c r="C2" s="13"/>
      <c r="D2" s="13"/>
      <c r="E2" s="13"/>
      <c r="F2" s="13"/>
      <c r="G2" s="13"/>
      <c r="H2" s="13"/>
      <c r="I2" s="13"/>
      <c r="J2" s="13"/>
    </row>
    <row r="3" spans="1:10" ht="13.5" x14ac:dyDescent="0.25">
      <c r="A3" s="13"/>
      <c r="B3" s="13" t="s">
        <v>50</v>
      </c>
      <c r="C3" s="13"/>
      <c r="D3" s="13"/>
      <c r="E3" s="13"/>
      <c r="F3" s="13"/>
      <c r="G3" s="13"/>
      <c r="H3" s="13"/>
      <c r="I3" s="13"/>
      <c r="J3" s="13"/>
    </row>
    <row r="4" spans="1:10" ht="13.5" x14ac:dyDescent="0.25">
      <c r="A4" s="14" t="s">
        <v>51</v>
      </c>
      <c r="B4" s="552" t="s">
        <v>52</v>
      </c>
      <c r="C4" s="552"/>
      <c r="D4" s="552"/>
      <c r="E4" s="552"/>
      <c r="F4" s="552"/>
      <c r="G4" s="552"/>
      <c r="H4" s="552"/>
      <c r="I4" s="552"/>
      <c r="J4" s="13"/>
    </row>
    <row r="5" spans="1:10" ht="13.5" x14ac:dyDescent="0.25">
      <c r="A5" s="15"/>
      <c r="B5" s="553">
        <v>75</v>
      </c>
      <c r="C5" s="553"/>
      <c r="D5" s="554">
        <v>150</v>
      </c>
      <c r="E5" s="554"/>
      <c r="F5" s="16">
        <v>350</v>
      </c>
      <c r="G5" s="16"/>
      <c r="H5" s="555">
        <v>9999</v>
      </c>
      <c r="I5" s="555"/>
    </row>
    <row r="6" spans="1:10" ht="13.5" x14ac:dyDescent="0.25">
      <c r="A6" s="15"/>
      <c r="B6" s="17" t="s">
        <v>53</v>
      </c>
      <c r="C6" s="17" t="s">
        <v>54</v>
      </c>
      <c r="D6" s="17" t="s">
        <v>53</v>
      </c>
      <c r="E6" s="17" t="s">
        <v>54</v>
      </c>
      <c r="F6" s="17" t="s">
        <v>53</v>
      </c>
      <c r="G6" s="17" t="s">
        <v>54</v>
      </c>
      <c r="H6" s="17" t="s">
        <v>53</v>
      </c>
      <c r="I6" s="18" t="s">
        <v>54</v>
      </c>
    </row>
    <row r="7" spans="1:10" ht="13.5" x14ac:dyDescent="0.25">
      <c r="A7" s="15">
        <v>0</v>
      </c>
      <c r="B7" s="19">
        <v>1.708</v>
      </c>
      <c r="C7" s="19">
        <v>1.6759999999999999</v>
      </c>
      <c r="D7" s="19">
        <v>1.708</v>
      </c>
      <c r="E7" s="19">
        <v>1.6759999999999999</v>
      </c>
      <c r="F7" s="19">
        <v>1.7929999999999999</v>
      </c>
      <c r="G7" s="19">
        <v>1.76</v>
      </c>
      <c r="H7" s="19">
        <v>1.879</v>
      </c>
      <c r="I7" s="20">
        <v>1.8440000000000001</v>
      </c>
    </row>
    <row r="8" spans="1:10" ht="13.5" x14ac:dyDescent="0.25">
      <c r="A8" s="15">
        <v>6</v>
      </c>
      <c r="B8" s="19">
        <v>1.7929999999999999</v>
      </c>
      <c r="C8" s="19">
        <v>1.76</v>
      </c>
      <c r="D8" s="19">
        <v>1.7929999999999999</v>
      </c>
      <c r="E8" s="19">
        <v>1.76</v>
      </c>
      <c r="F8" s="19">
        <v>1.883</v>
      </c>
      <c r="G8" s="19">
        <v>1.8480000000000001</v>
      </c>
      <c r="H8" s="19">
        <v>1.9730000000000001</v>
      </c>
      <c r="I8" s="20">
        <v>1.9359999999999999</v>
      </c>
    </row>
    <row r="9" spans="1:10" ht="13.5" x14ac:dyDescent="0.25">
      <c r="A9" s="15">
        <v>11</v>
      </c>
      <c r="B9" s="21">
        <v>1.8360000000000001</v>
      </c>
      <c r="C9" s="21">
        <v>1.802</v>
      </c>
      <c r="D9" s="21">
        <v>1.8360000000000001</v>
      </c>
      <c r="E9" s="21">
        <v>1.802</v>
      </c>
      <c r="F9" s="21">
        <v>1.9279999999999999</v>
      </c>
      <c r="G9" s="21">
        <v>1.8919999999999999</v>
      </c>
      <c r="H9" s="21">
        <v>2.02</v>
      </c>
      <c r="I9" s="22">
        <v>1.982</v>
      </c>
    </row>
    <row r="10" spans="1:10" ht="13.5" x14ac:dyDescent="0.25">
      <c r="A10" s="23"/>
      <c r="B10" s="552" t="s">
        <v>55</v>
      </c>
      <c r="C10" s="552"/>
      <c r="D10" s="552"/>
      <c r="E10" s="552"/>
      <c r="F10" s="552"/>
      <c r="G10" s="552"/>
      <c r="H10" s="552"/>
      <c r="I10" s="552"/>
      <c r="J10" s="13"/>
    </row>
    <row r="11" spans="1:10" ht="13.5" x14ac:dyDescent="0.25">
      <c r="A11" s="15"/>
      <c r="B11" s="552">
        <v>75</v>
      </c>
      <c r="C11" s="552"/>
      <c r="D11" s="554">
        <v>150</v>
      </c>
      <c r="E11" s="554"/>
      <c r="F11" s="24">
        <v>350</v>
      </c>
      <c r="G11" s="25"/>
      <c r="H11" s="555">
        <v>9999</v>
      </c>
      <c r="I11" s="555"/>
    </row>
    <row r="12" spans="1:10" ht="13.5" x14ac:dyDescent="0.25">
      <c r="A12" s="15"/>
      <c r="B12" s="17" t="s">
        <v>53</v>
      </c>
      <c r="C12" s="17" t="s">
        <v>54</v>
      </c>
      <c r="D12" s="17" t="s">
        <v>53</v>
      </c>
      <c r="E12" s="17" t="s">
        <v>54</v>
      </c>
      <c r="F12" s="17" t="s">
        <v>53</v>
      </c>
      <c r="G12" s="17" t="s">
        <v>54</v>
      </c>
      <c r="H12" s="17" t="s">
        <v>53</v>
      </c>
      <c r="I12" s="18" t="s">
        <v>54</v>
      </c>
    </row>
    <row r="13" spans="1:10" ht="13.5" x14ac:dyDescent="0.25">
      <c r="A13" s="15">
        <v>0</v>
      </c>
      <c r="B13" s="26">
        <v>569</v>
      </c>
      <c r="C13" s="26">
        <v>569</v>
      </c>
      <c r="D13" s="26">
        <v>720</v>
      </c>
      <c r="E13" s="26">
        <v>720</v>
      </c>
      <c r="F13" s="26">
        <v>887</v>
      </c>
      <c r="G13" s="26">
        <v>887</v>
      </c>
      <c r="H13" s="26">
        <v>1019</v>
      </c>
      <c r="I13" s="26">
        <v>1019</v>
      </c>
    </row>
    <row r="14" spans="1:10" ht="13.5" x14ac:dyDescent="0.25">
      <c r="A14" s="15">
        <v>6</v>
      </c>
      <c r="B14" s="26">
        <v>569</v>
      </c>
      <c r="C14" s="26">
        <v>569</v>
      </c>
      <c r="D14" s="26">
        <v>720</v>
      </c>
      <c r="E14" s="26">
        <v>720</v>
      </c>
      <c r="F14" s="26">
        <v>887</v>
      </c>
      <c r="G14" s="26">
        <v>887</v>
      </c>
      <c r="H14" s="26">
        <v>1019</v>
      </c>
      <c r="I14" s="26">
        <v>1019</v>
      </c>
    </row>
    <row r="15" spans="1:10" ht="13.5" x14ac:dyDescent="0.25">
      <c r="A15" s="15">
        <v>11</v>
      </c>
      <c r="B15" s="26">
        <v>569</v>
      </c>
      <c r="C15" s="26">
        <v>569</v>
      </c>
      <c r="D15" s="26">
        <v>720</v>
      </c>
      <c r="E15" s="26">
        <v>720</v>
      </c>
      <c r="F15" s="26">
        <v>887</v>
      </c>
      <c r="G15" s="26">
        <v>887</v>
      </c>
      <c r="H15" s="26">
        <v>1019</v>
      </c>
      <c r="I15" s="26">
        <v>1019</v>
      </c>
    </row>
    <row r="16" spans="1:10" ht="13.5" x14ac:dyDescent="0.25">
      <c r="A16" s="13"/>
      <c r="B16" s="13"/>
      <c r="C16" s="13"/>
      <c r="D16" s="13"/>
      <c r="E16" s="13"/>
      <c r="F16" s="13"/>
      <c r="G16" s="13"/>
      <c r="H16" s="13"/>
      <c r="I16" s="13"/>
      <c r="J16" s="13"/>
    </row>
    <row r="17" spans="1:10" ht="13.5" x14ac:dyDescent="0.25">
      <c r="A17" s="27" t="s">
        <v>56</v>
      </c>
      <c r="B17" s="550" t="s">
        <v>52</v>
      </c>
      <c r="C17" s="550"/>
      <c r="D17" s="551" t="s">
        <v>55</v>
      </c>
      <c r="E17" s="551"/>
      <c r="F17" s="13"/>
      <c r="G17" s="13"/>
      <c r="H17" s="13"/>
      <c r="I17" s="13"/>
      <c r="J17" s="13"/>
    </row>
    <row r="18" spans="1:10" ht="13.5" x14ac:dyDescent="0.25">
      <c r="A18" s="15"/>
      <c r="B18" s="17" t="s">
        <v>57</v>
      </c>
      <c r="C18" s="17" t="s">
        <v>58</v>
      </c>
      <c r="D18" s="17" t="s">
        <v>57</v>
      </c>
      <c r="E18" s="18" t="s">
        <v>58</v>
      </c>
      <c r="F18" s="13"/>
      <c r="G18" s="13"/>
      <c r="H18" s="13"/>
      <c r="I18" s="13"/>
      <c r="J18" s="13"/>
    </row>
    <row r="19" spans="1:10" ht="13.5" x14ac:dyDescent="0.25">
      <c r="A19" s="15" t="s">
        <v>59</v>
      </c>
      <c r="B19" s="28">
        <v>0.04</v>
      </c>
      <c r="C19" s="17"/>
      <c r="D19" s="17"/>
      <c r="E19" s="18"/>
      <c r="F19" s="13"/>
      <c r="G19" s="13"/>
      <c r="H19" s="13"/>
      <c r="I19" s="13"/>
      <c r="J19" s="13"/>
    </row>
    <row r="20" spans="1:10" ht="13.5" x14ac:dyDescent="0.25">
      <c r="A20" s="15" t="s">
        <v>60</v>
      </c>
      <c r="B20" s="28">
        <v>0.04</v>
      </c>
      <c r="C20" s="17"/>
      <c r="D20" s="17"/>
      <c r="E20" s="18">
        <v>60</v>
      </c>
      <c r="F20" s="13"/>
      <c r="G20" s="13"/>
      <c r="H20" s="13"/>
      <c r="I20" s="13"/>
      <c r="J20" s="13"/>
    </row>
    <row r="21" spans="1:10" ht="13.5" x14ac:dyDescent="0.25">
      <c r="A21" s="15" t="s">
        <v>61</v>
      </c>
      <c r="B21" s="29">
        <v>5.0000000000000001E-3</v>
      </c>
      <c r="C21" s="17">
        <v>50</v>
      </c>
      <c r="D21" s="17"/>
      <c r="E21" s="18"/>
      <c r="F21" s="13"/>
      <c r="G21" s="13"/>
      <c r="H21" s="13" t="s">
        <v>62</v>
      </c>
      <c r="I21" s="13"/>
      <c r="J21" s="13"/>
    </row>
    <row r="22" spans="1:10" ht="13.5" x14ac:dyDescent="0.25">
      <c r="A22" s="15"/>
      <c r="B22" s="17"/>
      <c r="C22" s="17"/>
      <c r="D22" s="17"/>
      <c r="E22" s="18"/>
      <c r="F22" s="13"/>
      <c r="G22" s="13"/>
      <c r="H22" s="13">
        <v>0</v>
      </c>
      <c r="I22" s="13">
        <v>0</v>
      </c>
      <c r="J22" s="13"/>
    </row>
    <row r="23" spans="1:10" ht="13.5" x14ac:dyDescent="0.25">
      <c r="A23" s="15" t="s">
        <v>63</v>
      </c>
      <c r="B23" s="17"/>
      <c r="C23" s="17">
        <v>400</v>
      </c>
      <c r="D23" s="17"/>
      <c r="E23" s="18">
        <v>100</v>
      </c>
      <c r="F23" s="13"/>
      <c r="G23" s="13"/>
      <c r="H23" s="13">
        <v>500</v>
      </c>
      <c r="I23" s="13">
        <f ca="1">MIN(50,5%*'2 Wheeler'!$C$14)</f>
        <v>32.682000000000002</v>
      </c>
      <c r="J23" s="13"/>
    </row>
    <row r="24" spans="1:10" ht="13.5" x14ac:dyDescent="0.25">
      <c r="A24" s="15" t="s">
        <v>64</v>
      </c>
      <c r="B24" s="28">
        <v>0.3</v>
      </c>
      <c r="C24" s="17"/>
      <c r="D24" s="17"/>
      <c r="E24" s="18"/>
      <c r="F24" s="13"/>
      <c r="G24" s="13"/>
      <c r="H24" s="13">
        <v>750</v>
      </c>
      <c r="I24" s="13">
        <f ca="1">MIN(75,10%*'2 Wheeler'!$C$14)</f>
        <v>65.364000000000004</v>
      </c>
      <c r="J24" s="13"/>
    </row>
    <row r="25" spans="1:10" ht="13.5" x14ac:dyDescent="0.25">
      <c r="A25" s="15" t="s">
        <v>65</v>
      </c>
      <c r="B25" s="29">
        <v>0.05</v>
      </c>
      <c r="C25" s="17">
        <v>50</v>
      </c>
      <c r="D25" s="17"/>
      <c r="E25" s="18"/>
      <c r="F25" s="13"/>
      <c r="G25" s="13"/>
      <c r="H25" s="13">
        <v>1000</v>
      </c>
      <c r="I25" s="13">
        <f ca="1">MIN(125,15%*'2 Wheeler'!$C$14)</f>
        <v>98.045999999999992</v>
      </c>
      <c r="J25" s="13"/>
    </row>
    <row r="26" spans="1:10" ht="13.5" x14ac:dyDescent="0.25">
      <c r="A26" s="15" t="s">
        <v>66</v>
      </c>
      <c r="B26" s="17"/>
      <c r="C26" s="17"/>
      <c r="D26" s="17"/>
      <c r="E26" s="18">
        <v>100</v>
      </c>
      <c r="F26" s="13"/>
      <c r="G26" s="13"/>
      <c r="H26" s="13">
        <v>1500</v>
      </c>
      <c r="I26" s="13">
        <f ca="1">MIN(200,20%*'2 Wheeler'!$C$14)</f>
        <v>130.72800000000001</v>
      </c>
      <c r="J26" s="13"/>
    </row>
    <row r="27" spans="1:10" ht="13.5" x14ac:dyDescent="0.25">
      <c r="A27" s="15" t="s">
        <v>67</v>
      </c>
      <c r="B27" s="17"/>
      <c r="C27" s="17"/>
      <c r="D27" s="17"/>
      <c r="E27" s="18">
        <v>50</v>
      </c>
      <c r="F27" s="13"/>
      <c r="G27" s="13"/>
      <c r="H27" s="13">
        <v>3000</v>
      </c>
      <c r="I27" s="13">
        <f ca="1">MIN(250,25%*'2 Wheeler'!$C$14)</f>
        <v>163.41</v>
      </c>
      <c r="J27" s="13"/>
    </row>
    <row r="28" spans="1:10" ht="13.5" x14ac:dyDescent="0.25">
      <c r="A28" s="15" t="s">
        <v>68</v>
      </c>
      <c r="B28" s="17"/>
      <c r="C28" s="17"/>
      <c r="D28" s="17"/>
      <c r="E28" s="18">
        <v>50</v>
      </c>
      <c r="F28" s="13"/>
      <c r="G28" s="13"/>
      <c r="H28" s="13"/>
      <c r="I28" s="13"/>
      <c r="J28" s="13"/>
    </row>
    <row r="29" spans="1:10" ht="13.5" x14ac:dyDescent="0.25">
      <c r="A29" s="15"/>
      <c r="B29" s="17"/>
      <c r="C29" s="17"/>
      <c r="D29" s="17"/>
      <c r="E29" s="18"/>
      <c r="F29" s="13"/>
      <c r="G29" s="13"/>
      <c r="H29" s="13"/>
      <c r="I29" s="13"/>
      <c r="J29" s="13"/>
    </row>
    <row r="30" spans="1:10" ht="13.5" x14ac:dyDescent="0.25">
      <c r="A30" s="15"/>
      <c r="B30" s="17"/>
      <c r="C30" s="17"/>
      <c r="D30" s="17"/>
      <c r="E30" s="18"/>
      <c r="F30" s="13"/>
      <c r="G30" s="13"/>
      <c r="H30" s="13"/>
      <c r="I30" s="13"/>
      <c r="J30" s="13"/>
    </row>
    <row r="31" spans="1:10" ht="13.5" x14ac:dyDescent="0.25">
      <c r="A31" s="15"/>
      <c r="B31" s="17"/>
      <c r="C31" s="17"/>
      <c r="D31" s="17"/>
      <c r="E31" s="18"/>
      <c r="F31" s="13"/>
      <c r="G31" s="13"/>
      <c r="H31" s="13"/>
      <c r="I31" s="13"/>
      <c r="J31" s="13"/>
    </row>
    <row r="32" spans="1:10" ht="13.5" x14ac:dyDescent="0.25">
      <c r="A32" s="15" t="s">
        <v>69</v>
      </c>
      <c r="B32" s="17"/>
      <c r="C32" s="17"/>
      <c r="D32" s="17"/>
      <c r="E32" s="18"/>
      <c r="F32" s="13"/>
      <c r="G32" s="13"/>
      <c r="H32" s="13"/>
      <c r="I32" s="13"/>
      <c r="J32" s="13"/>
    </row>
    <row r="33" spans="1:10" ht="13.5" x14ac:dyDescent="0.25">
      <c r="A33" s="15" t="s">
        <v>70</v>
      </c>
      <c r="B33" s="17">
        <v>2.5</v>
      </c>
      <c r="C33" s="17">
        <v>500</v>
      </c>
      <c r="D33" s="17"/>
      <c r="E33" s="18"/>
      <c r="F33" s="13"/>
      <c r="G33" s="13"/>
      <c r="H33" s="13"/>
      <c r="I33" s="13"/>
      <c r="J33" s="13"/>
    </row>
    <row r="34" spans="1:10" ht="13.5" x14ac:dyDescent="0.25">
      <c r="A34" s="15" t="s">
        <v>71</v>
      </c>
      <c r="B34" s="17"/>
      <c r="C34" s="17"/>
      <c r="D34" s="17"/>
      <c r="E34" s="18">
        <v>100</v>
      </c>
      <c r="F34" s="13"/>
      <c r="G34" s="13"/>
      <c r="H34" s="13"/>
      <c r="I34" s="13"/>
      <c r="J34" s="13"/>
    </row>
    <row r="35" spans="1:10" ht="13.5" x14ac:dyDescent="0.25">
      <c r="A35" s="15" t="s">
        <v>72</v>
      </c>
      <c r="B35" s="28">
        <v>0.5</v>
      </c>
      <c r="C35" s="17"/>
      <c r="D35" s="17"/>
      <c r="E35" s="18"/>
      <c r="F35" s="13"/>
      <c r="G35" s="13"/>
      <c r="H35" s="13"/>
      <c r="I35" s="13"/>
      <c r="J35" s="13"/>
    </row>
    <row r="36" spans="1:10" ht="13.5" x14ac:dyDescent="0.25">
      <c r="A36" s="15" t="s">
        <v>73</v>
      </c>
      <c r="B36" s="29">
        <v>0.33329999999999999</v>
      </c>
      <c r="C36" s="17"/>
      <c r="D36" s="17"/>
      <c r="E36" s="18"/>
      <c r="F36" s="13"/>
      <c r="G36" s="13"/>
      <c r="H36" s="13"/>
      <c r="I36" s="13"/>
      <c r="J36" s="13"/>
    </row>
    <row r="37" spans="1:10" ht="13.5" x14ac:dyDescent="0.25">
      <c r="A37" s="15" t="s">
        <v>74</v>
      </c>
      <c r="B37" s="17" t="s">
        <v>58</v>
      </c>
      <c r="C37" s="17" t="s">
        <v>57</v>
      </c>
      <c r="D37" s="17" t="s">
        <v>75</v>
      </c>
      <c r="E37" s="18"/>
      <c r="F37" s="13"/>
      <c r="G37" s="13"/>
      <c r="H37" s="13"/>
      <c r="I37" s="13"/>
      <c r="J37" s="13"/>
    </row>
    <row r="38" spans="1:10" ht="13.5" x14ac:dyDescent="0.25">
      <c r="A38" s="15"/>
      <c r="B38" s="17">
        <v>2500</v>
      </c>
      <c r="C38" s="17">
        <v>20</v>
      </c>
      <c r="D38" s="17">
        <v>750</v>
      </c>
      <c r="E38" s="18"/>
      <c r="F38" s="13"/>
      <c r="G38" s="13"/>
      <c r="H38" s="13"/>
      <c r="I38" s="13"/>
      <c r="J38" s="13"/>
    </row>
    <row r="39" spans="1:10" ht="13.5" x14ac:dyDescent="0.25">
      <c r="A39" s="15"/>
      <c r="B39" s="17">
        <v>5000</v>
      </c>
      <c r="C39" s="17">
        <v>25</v>
      </c>
      <c r="D39" s="17">
        <v>1500</v>
      </c>
      <c r="E39" s="18"/>
      <c r="F39" s="13"/>
      <c r="G39" s="13"/>
      <c r="H39" s="13"/>
      <c r="I39" s="13"/>
      <c r="J39" s="13"/>
    </row>
    <row r="40" spans="1:10" ht="13.5" x14ac:dyDescent="0.25">
      <c r="A40" s="15"/>
      <c r="B40" s="17">
        <v>7500</v>
      </c>
      <c r="C40" s="17">
        <v>30</v>
      </c>
      <c r="D40" s="17">
        <v>2000</v>
      </c>
      <c r="E40" s="18"/>
      <c r="F40" s="13"/>
      <c r="G40" s="13"/>
      <c r="H40" s="13"/>
      <c r="I40" s="13"/>
      <c r="J40" s="13"/>
    </row>
    <row r="41" spans="1:10" ht="13.5" x14ac:dyDescent="0.25">
      <c r="A41" s="15"/>
      <c r="B41" s="17">
        <v>15000</v>
      </c>
      <c r="C41" s="17">
        <v>35</v>
      </c>
      <c r="D41" s="17">
        <v>2500</v>
      </c>
      <c r="E41" s="18"/>
      <c r="F41" s="13"/>
      <c r="G41" s="13"/>
      <c r="H41" s="13"/>
      <c r="I41" s="13"/>
      <c r="J41" s="13"/>
    </row>
    <row r="42" spans="1:10" ht="13.5" x14ac:dyDescent="0.25">
      <c r="A42" s="15"/>
      <c r="B42" s="17"/>
      <c r="C42" s="17"/>
      <c r="D42" s="17"/>
      <c r="E42" s="18"/>
      <c r="F42" s="13"/>
      <c r="G42" s="13"/>
      <c r="H42" s="13"/>
      <c r="I42" s="13"/>
      <c r="J42" s="13"/>
    </row>
    <row r="43" spans="1:10" ht="13.5" x14ac:dyDescent="0.25">
      <c r="A43" s="15"/>
      <c r="B43" s="17"/>
      <c r="C43" s="17"/>
      <c r="D43" s="17"/>
      <c r="E43" s="18"/>
      <c r="F43" s="13"/>
      <c r="G43" s="13"/>
      <c r="H43" s="13"/>
      <c r="I43" s="13"/>
      <c r="J43" s="13"/>
    </row>
    <row r="44" spans="1:10" ht="13.5" x14ac:dyDescent="0.25">
      <c r="A44" s="30"/>
      <c r="B44" s="31"/>
      <c r="C44" s="31"/>
      <c r="D44" s="31"/>
      <c r="E44" s="32"/>
      <c r="F44" s="13"/>
      <c r="G44" s="13"/>
      <c r="H44" s="13"/>
      <c r="I44" s="13"/>
      <c r="J44" s="13"/>
    </row>
    <row r="45" spans="1:10" ht="13.5" x14ac:dyDescent="0.25">
      <c r="A45" s="13"/>
      <c r="B45" s="13"/>
      <c r="C45" s="13"/>
      <c r="D45" s="13"/>
      <c r="E45" s="13"/>
      <c r="F45" s="13"/>
      <c r="G45" s="13"/>
      <c r="H45" s="13"/>
      <c r="I45" s="13"/>
      <c r="J45" s="13"/>
    </row>
    <row r="46" spans="1:10" ht="13.5" x14ac:dyDescent="0.25">
      <c r="A46" s="13"/>
      <c r="B46" s="13"/>
      <c r="C46" s="13"/>
      <c r="D46" s="13"/>
      <c r="E46" s="13"/>
      <c r="F46" s="13"/>
      <c r="G46" s="13"/>
      <c r="H46" s="13"/>
      <c r="I46" s="13"/>
      <c r="J46" s="13"/>
    </row>
    <row r="47" spans="1:10" ht="13.5" x14ac:dyDescent="0.25">
      <c r="A47" s="13"/>
      <c r="B47" s="13"/>
      <c r="C47" s="13"/>
      <c r="D47" s="13"/>
      <c r="E47" s="13"/>
      <c r="F47" s="13"/>
      <c r="G47" s="13"/>
      <c r="H47" s="13"/>
      <c r="I47" s="13"/>
      <c r="J47" s="13"/>
    </row>
    <row r="48" spans="1:10" ht="13.5" x14ac:dyDescent="0.25">
      <c r="A48" s="13"/>
      <c r="B48" s="13"/>
      <c r="C48" s="13"/>
      <c r="D48" s="13"/>
      <c r="E48" s="13"/>
      <c r="F48" s="13"/>
      <c r="G48" s="13"/>
      <c r="H48" s="13"/>
      <c r="I48" s="13"/>
      <c r="J48" s="13"/>
    </row>
    <row r="49" spans="1:10" ht="13.5" x14ac:dyDescent="0.25">
      <c r="A49" s="13"/>
      <c r="B49" s="13"/>
      <c r="C49" s="13"/>
      <c r="D49" s="13"/>
      <c r="E49" s="13"/>
      <c r="F49" s="13"/>
      <c r="G49" s="13"/>
      <c r="H49" s="13"/>
      <c r="I49" s="13"/>
      <c r="J49" s="13"/>
    </row>
    <row r="50" spans="1:10" ht="13.5" x14ac:dyDescent="0.25">
      <c r="A50" s="13"/>
      <c r="B50" s="13"/>
      <c r="C50" s="13"/>
      <c r="D50" s="13"/>
      <c r="E50" s="13"/>
      <c r="F50" s="13"/>
      <c r="G50" s="13"/>
      <c r="H50" s="13"/>
      <c r="I50" s="13"/>
      <c r="J50" s="13"/>
    </row>
    <row r="51" spans="1:10" ht="13.5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</row>
    <row r="52" spans="1:10" ht="13.5" x14ac:dyDescent="0.25">
      <c r="A52" s="13"/>
      <c r="B52" s="13"/>
      <c r="C52" s="13"/>
      <c r="D52" s="13"/>
      <c r="E52" s="13"/>
      <c r="F52" s="13"/>
      <c r="G52" s="13"/>
      <c r="H52" s="13"/>
      <c r="I52" s="13"/>
      <c r="J52" s="13"/>
    </row>
    <row r="53" spans="1:10" ht="13.5" x14ac:dyDescent="0.25">
      <c r="A53" s="13"/>
      <c r="B53" s="13"/>
      <c r="C53" s="13"/>
      <c r="D53" s="13"/>
      <c r="E53" s="13"/>
      <c r="F53" s="13"/>
      <c r="G53" s="13"/>
      <c r="H53" s="13"/>
      <c r="I53" s="13"/>
      <c r="J53" s="13"/>
    </row>
  </sheetData>
  <sheetProtection selectLockedCells="1" selectUnlockedCells="1"/>
  <mergeCells count="10">
    <mergeCell ref="B17:C17"/>
    <mergeCell ref="D17:E17"/>
    <mergeCell ref="B4:I4"/>
    <mergeCell ref="B5:C5"/>
    <mergeCell ref="D5:E5"/>
    <mergeCell ref="H5:I5"/>
    <mergeCell ref="B10:I10"/>
    <mergeCell ref="B11:C11"/>
    <mergeCell ref="D11:E11"/>
    <mergeCell ref="H11:I11"/>
  </mergeCells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45"/>
  <sheetViews>
    <sheetView tabSelected="1" topLeftCell="A13" zoomScale="85" zoomScaleNormal="85" workbookViewId="0">
      <selection activeCell="B17" sqref="B17"/>
    </sheetView>
  </sheetViews>
  <sheetFormatPr defaultRowHeight="15.75" customHeight="1" x14ac:dyDescent="0.2"/>
  <cols>
    <col min="1" max="1" width="32.42578125" style="121" customWidth="1"/>
    <col min="2" max="2" width="6.140625" style="151" customWidth="1"/>
    <col min="3" max="3" width="10.85546875" style="121" customWidth="1"/>
    <col min="4" max="4" width="3.28515625" style="121" customWidth="1"/>
    <col min="5" max="5" width="23.7109375" style="121" customWidth="1"/>
    <col min="6" max="6" width="9" style="121" customWidth="1"/>
    <col min="7" max="7" width="11.140625" style="121" customWidth="1"/>
    <col min="8" max="8" width="9.85546875" style="121" customWidth="1"/>
    <col min="9" max="9" width="8.7109375" style="121" customWidth="1"/>
    <col min="10" max="10" width="8" style="121" customWidth="1"/>
    <col min="11" max="11" width="9" style="121" customWidth="1"/>
    <col min="12" max="12" width="20.85546875" style="121" customWidth="1"/>
    <col min="13" max="16384" width="9.140625" style="121"/>
  </cols>
  <sheetData>
    <row r="1" spans="1:15" ht="15.75" customHeight="1" x14ac:dyDescent="0.25">
      <c r="A1" s="565" t="s">
        <v>0</v>
      </c>
      <c r="B1" s="565"/>
      <c r="C1" s="565"/>
      <c r="D1" s="565"/>
      <c r="E1" s="565"/>
      <c r="F1" s="565"/>
      <c r="G1" s="565"/>
    </row>
    <row r="2" spans="1:15" ht="15.75" customHeight="1" x14ac:dyDescent="0.2">
      <c r="A2" s="566" t="s">
        <v>204</v>
      </c>
      <c r="B2" s="566"/>
      <c r="C2" s="566"/>
      <c r="D2" s="566"/>
      <c r="E2" s="566"/>
      <c r="F2" s="566"/>
      <c r="G2" s="566"/>
      <c r="I2" s="567" t="s">
        <v>123</v>
      </c>
      <c r="J2" s="567"/>
    </row>
    <row r="3" spans="1:15" ht="15.75" customHeight="1" x14ac:dyDescent="0.25">
      <c r="A3" s="561" t="s">
        <v>79</v>
      </c>
      <c r="B3" s="561"/>
      <c r="C3" s="561"/>
      <c r="D3" s="561"/>
      <c r="E3" s="561"/>
      <c r="F3" s="561"/>
      <c r="G3" s="561"/>
      <c r="I3" s="567"/>
      <c r="J3" s="567"/>
    </row>
    <row r="4" spans="1:15" ht="15.75" customHeight="1" x14ac:dyDescent="0.2">
      <c r="A4" s="544" t="s">
        <v>80</v>
      </c>
      <c r="B4" s="544"/>
      <c r="C4" s="205">
        <v>360000</v>
      </c>
      <c r="D4" s="545"/>
      <c r="E4" s="544" t="s">
        <v>83</v>
      </c>
      <c r="F4" s="544"/>
      <c r="G4" s="474">
        <v>2014</v>
      </c>
      <c r="I4" s="143"/>
    </row>
    <row r="5" spans="1:15" ht="15.75" customHeight="1" x14ac:dyDescent="0.2">
      <c r="A5" s="544" t="s">
        <v>81</v>
      </c>
      <c r="B5" s="544"/>
      <c r="C5" s="205">
        <v>0</v>
      </c>
      <c r="D5" s="545"/>
      <c r="E5" s="568" t="s">
        <v>43</v>
      </c>
      <c r="F5" s="568"/>
      <c r="G5" s="287" t="s">
        <v>54</v>
      </c>
    </row>
    <row r="6" spans="1:15" ht="15.75" customHeight="1" x14ac:dyDescent="0.2">
      <c r="A6" s="544" t="s">
        <v>82</v>
      </c>
      <c r="B6" s="544"/>
      <c r="C6" s="475">
        <v>0</v>
      </c>
      <c r="D6" s="545"/>
      <c r="E6" s="544" t="s">
        <v>124</v>
      </c>
      <c r="F6" s="544"/>
      <c r="G6" s="208">
        <v>1197</v>
      </c>
      <c r="I6" s="144"/>
    </row>
    <row r="7" spans="1:15" ht="15.75" customHeight="1" x14ac:dyDescent="0.2">
      <c r="A7" s="544" t="s">
        <v>61</v>
      </c>
      <c r="B7" s="544"/>
      <c r="C7" s="205">
        <v>0</v>
      </c>
      <c r="D7" s="545"/>
      <c r="E7" s="559"/>
      <c r="F7" s="559"/>
      <c r="G7" s="220"/>
    </row>
    <row r="8" spans="1:15" ht="15.75" customHeight="1" x14ac:dyDescent="0.25">
      <c r="A8" s="560" t="s">
        <v>85</v>
      </c>
      <c r="B8" s="560"/>
      <c r="C8" s="560"/>
      <c r="D8" s="560"/>
      <c r="E8" s="560"/>
      <c r="F8" s="560"/>
      <c r="G8" s="560"/>
      <c r="K8" s="145"/>
    </row>
    <row r="9" spans="1:15" ht="15.75" customHeight="1" x14ac:dyDescent="0.25">
      <c r="A9" s="549" t="s">
        <v>86</v>
      </c>
      <c r="B9" s="549"/>
      <c r="C9" s="549"/>
      <c r="D9" s="562"/>
      <c r="E9" s="549" t="s">
        <v>87</v>
      </c>
      <c r="F9" s="549"/>
      <c r="G9" s="549"/>
      <c r="K9" s="145"/>
      <c r="M9" s="127"/>
      <c r="N9" s="127"/>
      <c r="O9" s="127"/>
    </row>
    <row r="10" spans="1:15" ht="15.75" customHeight="1" x14ac:dyDescent="0.2">
      <c r="A10" s="178" t="s">
        <v>125</v>
      </c>
      <c r="B10" s="207"/>
      <c r="C10" s="187">
        <f ca="1">+C4*CARCAL!B8/100</f>
        <v>11487.6</v>
      </c>
      <c r="D10" s="563"/>
      <c r="E10" s="178" t="s">
        <v>49</v>
      </c>
      <c r="F10" s="208"/>
      <c r="G10" s="187">
        <f ca="1">+CARCAL!B11</f>
        <v>2863</v>
      </c>
      <c r="K10" s="145"/>
    </row>
    <row r="11" spans="1:15" ht="15.75" customHeight="1" x14ac:dyDescent="0.2">
      <c r="A11" s="178" t="s">
        <v>90</v>
      </c>
      <c r="B11" s="207"/>
      <c r="C11" s="187">
        <f>4%*C5</f>
        <v>0</v>
      </c>
      <c r="D11" s="563"/>
      <c r="E11" s="178" t="s">
        <v>61</v>
      </c>
      <c r="F11" s="208"/>
      <c r="G11" s="187">
        <f>IF(B14="Yes",125,0)</f>
        <v>0</v>
      </c>
      <c r="K11" s="145"/>
    </row>
    <row r="12" spans="1:15" ht="15.75" customHeight="1" x14ac:dyDescent="0.2">
      <c r="A12" s="178" t="s">
        <v>126</v>
      </c>
      <c r="B12" s="207"/>
      <c r="C12" s="187">
        <f>IF(C6&gt;0,4%*C6,0)</f>
        <v>0</v>
      </c>
      <c r="D12" s="563"/>
      <c r="E12" s="178" t="s">
        <v>127</v>
      </c>
      <c r="F12" s="208"/>
      <c r="G12" s="187">
        <f>IF(C6&gt;0,60,0)</f>
        <v>0</v>
      </c>
      <c r="K12" s="145"/>
    </row>
    <row r="13" spans="1:15" ht="15.75" customHeight="1" x14ac:dyDescent="0.25">
      <c r="A13" s="215" t="s">
        <v>95</v>
      </c>
      <c r="B13" s="476"/>
      <c r="C13" s="209">
        <f ca="1">ROUND((C10+C11+C12),0)</f>
        <v>11488</v>
      </c>
      <c r="D13" s="563"/>
      <c r="E13" s="215" t="s">
        <v>96</v>
      </c>
      <c r="F13" s="463"/>
      <c r="G13" s="209">
        <f ca="1">SUM(G10:G12)</f>
        <v>2863</v>
      </c>
      <c r="K13" s="145"/>
      <c r="M13" s="120"/>
      <c r="N13" s="129"/>
    </row>
    <row r="14" spans="1:15" ht="15.75" customHeight="1" x14ac:dyDescent="0.2">
      <c r="A14" s="178" t="s">
        <v>61</v>
      </c>
      <c r="B14" s="207" t="s">
        <v>37</v>
      </c>
      <c r="C14" s="187">
        <f>IF(B14="Yes",50+(0.5%*C7),0)</f>
        <v>0</v>
      </c>
      <c r="D14" s="563"/>
      <c r="E14" s="178" t="s">
        <v>128</v>
      </c>
      <c r="F14" s="207" t="s">
        <v>91</v>
      </c>
      <c r="G14" s="187">
        <f>IF(F14="Yes",100,0)</f>
        <v>100</v>
      </c>
      <c r="K14" s="145"/>
      <c r="N14" s="129"/>
    </row>
    <row r="15" spans="1:15" ht="15.75" customHeight="1" x14ac:dyDescent="0.2">
      <c r="A15" s="178" t="s">
        <v>99</v>
      </c>
      <c r="B15" s="207" t="s">
        <v>37</v>
      </c>
      <c r="C15" s="187">
        <f>IF(B15="Yes",500,0)</f>
        <v>0</v>
      </c>
      <c r="D15" s="563"/>
      <c r="E15" s="178" t="s">
        <v>129</v>
      </c>
      <c r="F15" s="207" t="s">
        <v>91</v>
      </c>
      <c r="G15" s="187">
        <f>IF(F15="Yes",50*F16,0)</f>
        <v>50</v>
      </c>
      <c r="K15" s="145"/>
      <c r="N15" s="129"/>
    </row>
    <row r="16" spans="1:15" ht="15.75" customHeight="1" x14ac:dyDescent="0.2">
      <c r="A16" s="178" t="s">
        <v>98</v>
      </c>
      <c r="B16" s="464" t="s">
        <v>37</v>
      </c>
      <c r="C16" s="187">
        <f>C4*A45/10</f>
        <v>0</v>
      </c>
      <c r="D16" s="563"/>
      <c r="E16" s="211" t="str">
        <f>IF(F15="Yes","Driver/Employee","")</f>
        <v>Driver/Employee</v>
      </c>
      <c r="F16" s="207">
        <v>1</v>
      </c>
      <c r="G16" s="178"/>
      <c r="K16" s="145"/>
      <c r="M16" s="120"/>
      <c r="N16" s="129"/>
    </row>
    <row r="17" spans="1:17" ht="15.75" customHeight="1" x14ac:dyDescent="0.2">
      <c r="A17" s="178" t="s">
        <v>130</v>
      </c>
      <c r="B17" s="210">
        <v>0</v>
      </c>
      <c r="C17" s="187">
        <f ca="1">(C13)*B17</f>
        <v>0</v>
      </c>
      <c r="D17" s="563"/>
      <c r="E17" s="178" t="s">
        <v>131</v>
      </c>
      <c r="F17" s="207" t="s">
        <v>91</v>
      </c>
      <c r="G17" s="187">
        <f>IF(F17="Yes",0.5*F18*G18/1000,0)</f>
        <v>250</v>
      </c>
      <c r="K17" s="145"/>
      <c r="M17" s="120"/>
    </row>
    <row r="18" spans="1:17" ht="15.75" customHeight="1" x14ac:dyDescent="0.2">
      <c r="A18" s="178" t="s">
        <v>132</v>
      </c>
      <c r="B18" s="207" t="s">
        <v>37</v>
      </c>
      <c r="C18" s="187">
        <f>IF(B18="Yes",50,0)</f>
        <v>0</v>
      </c>
      <c r="D18" s="563"/>
      <c r="E18" s="211" t="str">
        <f>IF(F17="Yes","No of Seating Capacity","")</f>
        <v>No of Seating Capacity</v>
      </c>
      <c r="F18" s="207">
        <v>5</v>
      </c>
      <c r="G18" s="477">
        <v>100000</v>
      </c>
      <c r="K18" s="145"/>
      <c r="M18" s="120"/>
      <c r="N18" s="129"/>
    </row>
    <row r="19" spans="1:17" ht="15.75" customHeight="1" x14ac:dyDescent="0.2">
      <c r="A19" s="178" t="s">
        <v>133</v>
      </c>
      <c r="B19" s="207" t="s">
        <v>37</v>
      </c>
      <c r="C19" s="187">
        <f>IF(B19="Yes",60%*(C13-C29),0)</f>
        <v>0</v>
      </c>
      <c r="D19" s="563"/>
      <c r="E19" s="178" t="s">
        <v>101</v>
      </c>
      <c r="F19" s="208"/>
      <c r="G19" s="187">
        <f>IF(B20&gt;0,25+(15*(B20-1)),0)</f>
        <v>0</v>
      </c>
      <c r="K19" s="145"/>
    </row>
    <row r="20" spans="1:17" ht="15.75" customHeight="1" x14ac:dyDescent="0.2">
      <c r="A20" s="178" t="s">
        <v>134</v>
      </c>
      <c r="B20" s="207">
        <v>0</v>
      </c>
      <c r="C20" s="187">
        <f>IF(B20&gt;0,35+(15*(B20-1)),0)</f>
        <v>0</v>
      </c>
      <c r="D20" s="563"/>
      <c r="E20" s="178"/>
      <c r="F20" s="178"/>
      <c r="G20" s="178"/>
      <c r="K20" s="145"/>
    </row>
    <row r="21" spans="1:17" ht="15.75" customHeight="1" x14ac:dyDescent="0.25">
      <c r="A21" s="215" t="s">
        <v>135</v>
      </c>
      <c r="B21" s="476"/>
      <c r="C21" s="209">
        <f ca="1">C13+C14+C15+C16+C17+C18+C19+C20</f>
        <v>11488</v>
      </c>
      <c r="D21" s="563"/>
      <c r="E21" s="215" t="s">
        <v>105</v>
      </c>
      <c r="F21" s="463"/>
      <c r="G21" s="209">
        <f ca="1">SUM(G13:G15)+G17+G19</f>
        <v>3263</v>
      </c>
      <c r="K21" s="145"/>
    </row>
    <row r="22" spans="1:17" ht="15.75" customHeight="1" x14ac:dyDescent="0.2">
      <c r="A22" s="178" t="s">
        <v>70</v>
      </c>
      <c r="B22" s="207" t="s">
        <v>37</v>
      </c>
      <c r="C22" s="187">
        <f>IF(B22="Yes",MIN(500,2.5%*(C13-C29)),0)</f>
        <v>0</v>
      </c>
      <c r="D22" s="563"/>
      <c r="E22" s="178" t="s">
        <v>71</v>
      </c>
      <c r="F22" s="478">
        <v>750000</v>
      </c>
      <c r="G22" s="187">
        <f>IF(F22=750000,0,100)</f>
        <v>0</v>
      </c>
      <c r="K22" s="145"/>
    </row>
    <row r="23" spans="1:17" ht="15.75" customHeight="1" x14ac:dyDescent="0.2">
      <c r="A23" s="178" t="s">
        <v>136</v>
      </c>
      <c r="B23" s="207" t="s">
        <v>37</v>
      </c>
      <c r="C23" s="187">
        <f>IF(B23="Yes",50%*(C13-C29),0)</f>
        <v>0</v>
      </c>
      <c r="D23" s="563"/>
      <c r="E23" s="178"/>
      <c r="F23" s="208"/>
      <c r="G23" s="187"/>
      <c r="K23" s="145"/>
    </row>
    <row r="24" spans="1:17" ht="15.75" customHeight="1" x14ac:dyDescent="0.2">
      <c r="A24" s="178" t="s">
        <v>65</v>
      </c>
      <c r="B24" s="207" t="s">
        <v>37</v>
      </c>
      <c r="C24" s="187">
        <f>IF(B24="Yes",MIN(200,5%*(C13-C29)),0)</f>
        <v>0</v>
      </c>
      <c r="D24" s="563"/>
      <c r="E24" s="178"/>
      <c r="F24" s="208"/>
      <c r="G24" s="187"/>
      <c r="K24" s="145"/>
    </row>
    <row r="25" spans="1:17" ht="15.75" customHeight="1" x14ac:dyDescent="0.2">
      <c r="A25" s="178" t="s">
        <v>137</v>
      </c>
      <c r="B25" s="207" t="s">
        <v>37</v>
      </c>
      <c r="C25" s="187">
        <f>IF(B25="Yes",33.33%*(C13-C29),0)</f>
        <v>0</v>
      </c>
      <c r="D25" s="563"/>
      <c r="E25" s="178"/>
      <c r="F25" s="208"/>
      <c r="G25" s="187"/>
    </row>
    <row r="26" spans="1:17" ht="15.75" customHeight="1" x14ac:dyDescent="0.2">
      <c r="A26" s="178" t="s">
        <v>107</v>
      </c>
      <c r="B26" s="479">
        <v>0</v>
      </c>
      <c r="C26" s="187">
        <f>VLOOKUP(B26,CART!I19:J23,2)</f>
        <v>0</v>
      </c>
      <c r="D26" s="563"/>
      <c r="E26" s="178"/>
      <c r="F26" s="208"/>
      <c r="G26" s="187"/>
    </row>
    <row r="27" spans="1:17" ht="15.75" customHeight="1" x14ac:dyDescent="0.25">
      <c r="A27" s="215" t="s">
        <v>108</v>
      </c>
      <c r="B27" s="476"/>
      <c r="C27" s="209">
        <f ca="1">C21-SUM(C22:C26)</f>
        <v>11488</v>
      </c>
      <c r="D27" s="563"/>
      <c r="E27" s="212"/>
      <c r="F27" s="214"/>
      <c r="G27" s="213"/>
      <c r="I27" s="146"/>
    </row>
    <row r="28" spans="1:17" ht="15.75" customHeight="1" x14ac:dyDescent="0.2">
      <c r="A28" s="178" t="s">
        <v>76</v>
      </c>
      <c r="B28" s="210">
        <v>0.25</v>
      </c>
      <c r="C28" s="187">
        <f ca="1">(C27-C29-C30)*B28</f>
        <v>1579.6</v>
      </c>
      <c r="D28" s="563"/>
      <c r="E28" s="178"/>
      <c r="F28" s="208"/>
      <c r="G28" s="187"/>
      <c r="I28" s="146"/>
    </row>
    <row r="29" spans="1:17" ht="15.75" customHeight="1" x14ac:dyDescent="0.2">
      <c r="A29" s="178" t="s">
        <v>111</v>
      </c>
      <c r="B29" s="210">
        <v>0.45</v>
      </c>
      <c r="C29" s="187">
        <f ca="1">C13*B29</f>
        <v>5169.6000000000004</v>
      </c>
      <c r="D29" s="563"/>
      <c r="E29" s="178"/>
      <c r="F29" s="208"/>
      <c r="G29" s="187"/>
      <c r="H29" s="147"/>
      <c r="I29" s="146"/>
    </row>
    <row r="30" spans="1:17" ht="15.75" customHeight="1" x14ac:dyDescent="0.2">
      <c r="A30" s="178" t="s">
        <v>214</v>
      </c>
      <c r="B30" s="210">
        <v>0.2</v>
      </c>
      <c r="C30" s="187">
        <f ca="1">C17*B30</f>
        <v>0</v>
      </c>
      <c r="D30" s="563"/>
      <c r="E30" s="178"/>
      <c r="F30" s="208"/>
      <c r="G30" s="187"/>
      <c r="H30" s="147"/>
      <c r="I30" s="146"/>
    </row>
    <row r="31" spans="1:17" s="127" customFormat="1" ht="15.75" customHeight="1" x14ac:dyDescent="0.25">
      <c r="A31" s="561" t="s">
        <v>112</v>
      </c>
      <c r="B31" s="561"/>
      <c r="C31" s="480">
        <f ca="1">C27-(C28+C29+C30)</f>
        <v>4738.7999999999993</v>
      </c>
      <c r="D31" s="564"/>
      <c r="E31" s="561" t="s">
        <v>113</v>
      </c>
      <c r="F31" s="561"/>
      <c r="G31" s="209">
        <f ca="1">G21-G22</f>
        <v>3263</v>
      </c>
      <c r="I31" s="121"/>
      <c r="J31" s="121"/>
      <c r="K31" s="121"/>
      <c r="L31" s="121"/>
      <c r="M31" s="121"/>
      <c r="N31" s="121"/>
      <c r="O31" s="121"/>
      <c r="P31" s="121"/>
      <c r="Q31" s="121"/>
    </row>
    <row r="32" spans="1:17" ht="15.75" customHeight="1" x14ac:dyDescent="0.2">
      <c r="A32" s="120"/>
      <c r="B32" s="148"/>
      <c r="C32" s="133"/>
      <c r="D32" s="133"/>
      <c r="E32" s="133"/>
      <c r="F32" s="133"/>
      <c r="G32" s="135"/>
      <c r="I32" s="146"/>
    </row>
    <row r="33" spans="1:11" ht="15.75" customHeight="1" x14ac:dyDescent="0.25">
      <c r="A33" s="539" t="s">
        <v>218</v>
      </c>
      <c r="B33" s="493"/>
      <c r="C33" s="460"/>
      <c r="D33" s="460"/>
      <c r="E33" s="470" t="s">
        <v>114</v>
      </c>
      <c r="F33" s="199" t="s">
        <v>115</v>
      </c>
      <c r="G33" s="200" t="s">
        <v>38</v>
      </c>
    </row>
    <row r="34" spans="1:11" ht="15.75" customHeight="1" x14ac:dyDescent="0.25">
      <c r="A34" s="539"/>
      <c r="B34" s="535" t="s">
        <v>116</v>
      </c>
      <c r="C34" s="536"/>
      <c r="D34" s="536"/>
      <c r="E34" s="201">
        <f ca="1">C31</f>
        <v>4738.7999999999993</v>
      </c>
      <c r="F34" s="187">
        <f ca="1">G31</f>
        <v>3263</v>
      </c>
      <c r="G34" s="202">
        <f ca="1">SUM(E34:F34)</f>
        <v>8001.7999999999993</v>
      </c>
      <c r="I34" s="149"/>
      <c r="J34" s="127"/>
      <c r="K34" s="150"/>
    </row>
    <row r="35" spans="1:11" ht="15.75" customHeight="1" x14ac:dyDescent="0.2">
      <c r="A35" s="539"/>
      <c r="B35" s="556" t="s">
        <v>227</v>
      </c>
      <c r="C35" s="549"/>
      <c r="D35" s="549"/>
      <c r="E35" s="203">
        <f ca="1">E34*HyperLink!B21</f>
        <v>852.98399999999981</v>
      </c>
      <c r="F35" s="203">
        <f ca="1">F34*HyperLink!B21</f>
        <v>587.34</v>
      </c>
      <c r="G35" s="203">
        <f ca="1">G34*HyperLink!B21</f>
        <v>1440.3239999999998</v>
      </c>
    </row>
    <row r="36" spans="1:11" ht="15.75" customHeight="1" x14ac:dyDescent="0.25">
      <c r="A36" s="539"/>
      <c r="B36" s="557" t="s">
        <v>39</v>
      </c>
      <c r="C36" s="558"/>
      <c r="D36" s="558"/>
      <c r="E36" s="472">
        <f ca="1">SUM(E34:E35)</f>
        <v>5591.7839999999987</v>
      </c>
      <c r="F36" s="472">
        <f ca="1">SUM(F34:F35)</f>
        <v>3850.34</v>
      </c>
      <c r="G36" s="473">
        <f ca="1">SUM(G34:G35)</f>
        <v>9442.1239999999998</v>
      </c>
    </row>
    <row r="37" spans="1:11" ht="15.75" customHeight="1" x14ac:dyDescent="0.2">
      <c r="E37" s="152"/>
    </row>
    <row r="39" spans="1:11" ht="15.75" customHeight="1" x14ac:dyDescent="0.2">
      <c r="I39" s="146"/>
    </row>
    <row r="44" spans="1:11" ht="15.75" hidden="1" customHeight="1" x14ac:dyDescent="0.2">
      <c r="A44" s="114" t="s">
        <v>57</v>
      </c>
      <c r="B44" s="114" t="s">
        <v>122</v>
      </c>
    </row>
    <row r="45" spans="1:11" ht="15.75" hidden="1" customHeight="1" x14ac:dyDescent="0.2">
      <c r="A45" s="115" t="b">
        <f>IF(B16="Yes",IF(B45=0,3%,IF(B45=1,4%,IF(B45=2,6%,0))))</f>
        <v>0</v>
      </c>
      <c r="B45" s="116">
        <f ca="1">YEAR(TODAY())-(G4)</f>
        <v>3</v>
      </c>
    </row>
  </sheetData>
  <sheetProtection password="CEED" sheet="1"/>
  <mergeCells count="23">
    <mergeCell ref="I2:J3"/>
    <mergeCell ref="A3:G3"/>
    <mergeCell ref="A4:B4"/>
    <mergeCell ref="D4:D7"/>
    <mergeCell ref="E4:F4"/>
    <mergeCell ref="E5:F5"/>
    <mergeCell ref="A1:G1"/>
    <mergeCell ref="A2:G2"/>
    <mergeCell ref="A9:C9"/>
    <mergeCell ref="A5:B5"/>
    <mergeCell ref="E31:F31"/>
    <mergeCell ref="E9:G9"/>
    <mergeCell ref="B34:D34"/>
    <mergeCell ref="B35:D35"/>
    <mergeCell ref="B36:D36"/>
    <mergeCell ref="E6:F6"/>
    <mergeCell ref="A7:B7"/>
    <mergeCell ref="E7:F7"/>
    <mergeCell ref="A8:G8"/>
    <mergeCell ref="A6:B6"/>
    <mergeCell ref="A33:A36"/>
    <mergeCell ref="A31:B31"/>
    <mergeCell ref="D9:D31"/>
  </mergeCells>
  <dataValidations count="8">
    <dataValidation allowBlank="1" showErrorMessage="1" sqref="B29:B30">
      <formula1>0</formula1>
      <formula2>0</formula2>
    </dataValidation>
    <dataValidation type="list" allowBlank="1" showErrorMessage="1" sqref="F22">
      <formula1>"6000,750000"</formula1>
      <formula2>0</formula2>
    </dataValidation>
    <dataValidation type="list" allowBlank="1" showErrorMessage="1" sqref="B22:B25 B18:B20 F17 F14:F15 B14:B16 F12 B6">
      <formula1>"Yes,No"</formula1>
      <formula2>0</formula2>
    </dataValidation>
    <dataValidation type="list" allowBlank="1" showErrorMessage="1" sqref="B26">
      <formula1>"0,2500,5000,7500,15000"</formula1>
      <formula2>0</formula2>
    </dataValidation>
    <dataValidation type="list" allowBlank="1" showErrorMessage="1" sqref="B28">
      <formula1>"65%,50%,45%,35%,25%,20%,0%"</formula1>
      <formula2>0</formula2>
    </dataValidation>
    <dataValidation type="list" allowBlank="1" showErrorMessage="1" sqref="B17">
      <formula1>"0,15%,25%,35%,"</formula1>
    </dataValidation>
    <dataValidation type="list" allowBlank="1" showErrorMessage="1" sqref="G5">
      <formula1>"A,B"</formula1>
      <formula2>0</formula2>
    </dataValidation>
    <dataValidation type="list" allowBlank="1" showErrorMessage="1" sqref="G18">
      <formula1>"0,50000,60000,70000,80000,90000,100000,120000,130000,140000,150000,160000,170000,180000,190000,200000,210000,220000,230000,240000,250000,260000,270000,280000,290000,300000"</formula1>
      <formula2>0</formula2>
    </dataValidation>
  </dataValidations>
  <hyperlinks>
    <hyperlink ref="I2" location="HyperLink!A1" display="BACK TO          HYPER LINK"/>
  </hyperlinks>
  <pageMargins left="0.39374999999999999" right="0" top="0.74791666666666667" bottom="0.74791666666666667" header="0.51180555555555551" footer="0.51180555555555551"/>
  <pageSetup paperSize="9" firstPageNumber="0" orientation="portrait" horizontalDpi="300" verticalDpi="300" r:id="rId1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5"/>
  <sheetViews>
    <sheetView topLeftCell="A21" zoomScale="85" zoomScaleNormal="85" workbookViewId="0">
      <selection activeCell="A45" sqref="A45"/>
    </sheetView>
  </sheetViews>
  <sheetFormatPr defaultRowHeight="14.25" customHeight="1" x14ac:dyDescent="0.2"/>
  <cols>
    <col min="1" max="1" width="30.7109375" style="118" customWidth="1"/>
    <col min="2" max="2" width="7.7109375" style="118" customWidth="1"/>
    <col min="3" max="3" width="10.5703125" style="118" customWidth="1"/>
    <col min="4" max="4" width="3.7109375" style="118" customWidth="1"/>
    <col min="5" max="5" width="26.42578125" style="118" customWidth="1"/>
    <col min="6" max="6" width="9.7109375" style="118" customWidth="1"/>
    <col min="7" max="7" width="10.7109375" style="118" customWidth="1"/>
    <col min="8" max="8" width="3.5703125" style="118" customWidth="1"/>
    <col min="9" max="9" width="5" style="118" customWidth="1"/>
    <col min="10" max="10" width="8.5703125" style="118" customWidth="1"/>
    <col min="11" max="11" width="5.85546875" style="118" customWidth="1"/>
    <col min="12" max="12" width="28" style="118" customWidth="1"/>
    <col min="13" max="14" width="1.5703125" style="118" customWidth="1"/>
    <col min="15" max="15" width="2.5703125" style="118" customWidth="1"/>
    <col min="16" max="16" width="5.85546875" style="118" bestFit="1" customWidth="1"/>
    <col min="17" max="17" width="6" style="118" bestFit="1" customWidth="1"/>
    <col min="18" max="18" width="6.28515625" style="118" customWidth="1"/>
    <col min="19" max="16384" width="9.140625" style="118"/>
  </cols>
  <sheetData>
    <row r="1" spans="1:17" ht="14.25" customHeight="1" x14ac:dyDescent="0.25">
      <c r="A1" s="580" t="s">
        <v>0</v>
      </c>
      <c r="B1" s="580"/>
      <c r="C1" s="580"/>
      <c r="D1" s="580"/>
      <c r="E1" s="580"/>
      <c r="F1" s="580"/>
      <c r="G1" s="580"/>
      <c r="P1" s="118" t="s">
        <v>76</v>
      </c>
    </row>
    <row r="2" spans="1:17" ht="14.25" customHeight="1" x14ac:dyDescent="0.2">
      <c r="A2" s="581" t="s">
        <v>198</v>
      </c>
      <c r="B2" s="581"/>
      <c r="C2" s="581"/>
      <c r="D2" s="581"/>
      <c r="E2" s="581"/>
      <c r="F2" s="581"/>
      <c r="G2" s="581"/>
      <c r="I2" s="582" t="s">
        <v>29</v>
      </c>
      <c r="J2" s="582"/>
      <c r="P2" s="123">
        <f ca="1">C13-C26-C27+C14+C16</f>
        <v>6472.5</v>
      </c>
      <c r="Q2" s="123"/>
    </row>
    <row r="3" spans="1:17" ht="14.25" customHeight="1" x14ac:dyDescent="0.25">
      <c r="A3" s="583" t="s">
        <v>79</v>
      </c>
      <c r="B3" s="583"/>
      <c r="C3" s="583"/>
      <c r="D3" s="583"/>
      <c r="E3" s="583"/>
      <c r="F3" s="583"/>
      <c r="G3" s="583"/>
      <c r="I3" s="582"/>
      <c r="J3" s="582"/>
    </row>
    <row r="4" spans="1:17" ht="14.25" customHeight="1" x14ac:dyDescent="0.2">
      <c r="A4" s="573" t="s">
        <v>138</v>
      </c>
      <c r="B4" s="573"/>
      <c r="C4" s="174">
        <v>500000</v>
      </c>
      <c r="D4" s="175"/>
      <c r="E4" s="577" t="s">
        <v>83</v>
      </c>
      <c r="F4" s="577"/>
      <c r="G4" s="176">
        <v>2012</v>
      </c>
    </row>
    <row r="5" spans="1:17" ht="14.25" customHeight="1" x14ac:dyDescent="0.2">
      <c r="A5" s="573" t="s">
        <v>90</v>
      </c>
      <c r="B5" s="573"/>
      <c r="C5" s="174">
        <v>0</v>
      </c>
      <c r="D5" s="175"/>
      <c r="E5" s="577" t="s">
        <v>139</v>
      </c>
      <c r="F5" s="577"/>
      <c r="G5" s="176">
        <v>10500</v>
      </c>
      <c r="I5" s="118" t="s">
        <v>140</v>
      </c>
    </row>
    <row r="6" spans="1:17" ht="14.25" customHeight="1" x14ac:dyDescent="0.2">
      <c r="A6" s="573" t="s">
        <v>141</v>
      </c>
      <c r="B6" s="573"/>
      <c r="C6" s="174">
        <v>0</v>
      </c>
      <c r="D6" s="175"/>
      <c r="E6" s="578" t="s">
        <v>43</v>
      </c>
      <c r="F6" s="578"/>
      <c r="G6" s="177" t="s">
        <v>94</v>
      </c>
    </row>
    <row r="7" spans="1:17" s="121" customFormat="1" ht="14.25" customHeight="1" x14ac:dyDescent="0.2">
      <c r="A7" s="579" t="s">
        <v>142</v>
      </c>
      <c r="B7" s="579"/>
      <c r="C7" s="579"/>
      <c r="D7" s="579"/>
      <c r="E7" s="579"/>
      <c r="F7" s="579"/>
      <c r="G7" s="579"/>
      <c r="P7" s="118"/>
    </row>
    <row r="8" spans="1:17" s="127" customFormat="1" ht="14.25" customHeight="1" x14ac:dyDescent="0.25">
      <c r="A8" s="561" t="s">
        <v>86</v>
      </c>
      <c r="B8" s="561"/>
      <c r="C8" s="561"/>
      <c r="D8" s="576"/>
      <c r="E8" s="561" t="s">
        <v>87</v>
      </c>
      <c r="F8" s="561"/>
      <c r="G8" s="561"/>
      <c r="P8" s="118"/>
    </row>
    <row r="9" spans="1:17" ht="14.25" customHeight="1" x14ac:dyDescent="0.25">
      <c r="A9" s="178" t="s">
        <v>143</v>
      </c>
      <c r="B9" s="179"/>
      <c r="C9" s="180">
        <f ca="1">Database!$J$7</f>
        <v>8630</v>
      </c>
      <c r="D9" s="576"/>
      <c r="E9" s="573"/>
      <c r="F9" s="573"/>
      <c r="G9" s="573"/>
      <c r="I9" s="127"/>
      <c r="J9" s="127"/>
      <c r="K9" s="127"/>
      <c r="L9" s="127"/>
    </row>
    <row r="10" spans="1:17" ht="14.25" customHeight="1" x14ac:dyDescent="0.25">
      <c r="A10" s="175" t="s">
        <v>144</v>
      </c>
      <c r="B10" s="179"/>
      <c r="C10" s="180">
        <f>C5*0.04</f>
        <v>0</v>
      </c>
      <c r="D10" s="576"/>
      <c r="E10" s="573" t="s">
        <v>49</v>
      </c>
      <c r="F10" s="573"/>
      <c r="G10" s="180">
        <f>Database!M2</f>
        <v>19667</v>
      </c>
      <c r="I10" s="127"/>
      <c r="J10" s="127"/>
      <c r="K10" s="127"/>
      <c r="L10" s="127"/>
    </row>
    <row r="11" spans="1:17" ht="14.25" customHeight="1" x14ac:dyDescent="0.25">
      <c r="A11" s="175" t="s">
        <v>145</v>
      </c>
      <c r="B11" s="179"/>
      <c r="C11" s="180">
        <f>Database!$J$8</f>
        <v>0</v>
      </c>
      <c r="D11" s="576"/>
      <c r="E11" s="181" t="s">
        <v>128</v>
      </c>
      <c r="F11" s="182" t="s">
        <v>91</v>
      </c>
      <c r="G11" s="183">
        <f>IF(F11="Yes",100,0)</f>
        <v>100</v>
      </c>
      <c r="I11" s="127"/>
      <c r="J11" s="127"/>
      <c r="K11" s="127"/>
      <c r="L11" s="127"/>
    </row>
    <row r="12" spans="1:17" ht="14.25" customHeight="1" x14ac:dyDescent="0.25">
      <c r="A12" s="175" t="s">
        <v>146</v>
      </c>
      <c r="B12" s="179"/>
      <c r="C12" s="180">
        <f>IF(C6&gt;0,C6*0.04,0)</f>
        <v>0</v>
      </c>
      <c r="D12" s="576"/>
      <c r="E12" s="573" t="s">
        <v>146</v>
      </c>
      <c r="F12" s="573"/>
      <c r="G12" s="180">
        <f>IF(C6&gt;0,60,0)</f>
        <v>0</v>
      </c>
      <c r="I12" s="127"/>
      <c r="J12" s="127"/>
      <c r="K12" s="127"/>
      <c r="L12" s="127"/>
    </row>
    <row r="13" spans="1:17" s="137" customFormat="1" ht="14.25" customHeight="1" x14ac:dyDescent="0.25">
      <c r="A13" s="184" t="s">
        <v>95</v>
      </c>
      <c r="B13" s="185"/>
      <c r="C13" s="186">
        <f ca="1">SUM(C9:C11)</f>
        <v>8630</v>
      </c>
      <c r="D13" s="576"/>
      <c r="E13" s="574" t="s">
        <v>147</v>
      </c>
      <c r="F13" s="574"/>
      <c r="G13" s="186">
        <f>SUM(G10:G11)</f>
        <v>19767</v>
      </c>
      <c r="I13" s="127"/>
      <c r="J13" s="127"/>
      <c r="K13" s="127"/>
      <c r="L13" s="127"/>
    </row>
    <row r="14" spans="1:17" ht="14.25" customHeight="1" x14ac:dyDescent="0.25">
      <c r="A14" s="175" t="s">
        <v>148</v>
      </c>
      <c r="B14" s="177" t="s">
        <v>91</v>
      </c>
      <c r="C14" s="180">
        <f ca="1">IF(B14="Yes",(SUM(C9:C11)+C12)*0.15,0)</f>
        <v>1294.5</v>
      </c>
      <c r="D14" s="576"/>
      <c r="E14" s="178" t="s">
        <v>129</v>
      </c>
      <c r="F14" s="177" t="s">
        <v>91</v>
      </c>
      <c r="G14" s="180">
        <f>IF(F14="Yes",50*F15,0)</f>
        <v>200</v>
      </c>
      <c r="I14" s="127"/>
      <c r="J14" s="127"/>
      <c r="K14" s="127"/>
      <c r="L14" s="127"/>
    </row>
    <row r="15" spans="1:17" ht="14.25" customHeight="1" x14ac:dyDescent="0.25">
      <c r="A15" s="178" t="s">
        <v>98</v>
      </c>
      <c r="B15" s="177" t="s">
        <v>37</v>
      </c>
      <c r="C15" s="187">
        <f>C4*A42/10</f>
        <v>0</v>
      </c>
      <c r="D15" s="576"/>
      <c r="E15" s="175" t="s">
        <v>149</v>
      </c>
      <c r="F15" s="177">
        <v>4</v>
      </c>
      <c r="G15" s="180"/>
      <c r="I15" s="127"/>
      <c r="J15" s="127"/>
      <c r="K15" s="127"/>
      <c r="L15" s="127"/>
    </row>
    <row r="16" spans="1:17" ht="14.25" customHeight="1" x14ac:dyDescent="0.25">
      <c r="A16" s="175" t="s">
        <v>150</v>
      </c>
      <c r="B16" s="188">
        <v>0.35</v>
      </c>
      <c r="C16" s="180">
        <f ca="1">SUM((C13)*B16)</f>
        <v>3020.5</v>
      </c>
      <c r="D16" s="576"/>
      <c r="E16" s="189" t="s">
        <v>151</v>
      </c>
      <c r="F16" s="177" t="s">
        <v>91</v>
      </c>
      <c r="G16" s="180">
        <f>IF(F16="Yes",75*F17,0)</f>
        <v>0</v>
      </c>
      <c r="I16" s="127"/>
      <c r="J16" s="127"/>
      <c r="K16" s="127"/>
      <c r="L16" s="127"/>
    </row>
    <row r="17" spans="1:12" ht="14.25" customHeight="1" x14ac:dyDescent="0.25">
      <c r="A17" s="175" t="s">
        <v>133</v>
      </c>
      <c r="B17" s="177" t="s">
        <v>37</v>
      </c>
      <c r="C17" s="180">
        <f>IF(B17="Yes",C13*0.6,0)</f>
        <v>0</v>
      </c>
      <c r="D17" s="576"/>
      <c r="E17" s="175" t="s">
        <v>152</v>
      </c>
      <c r="F17" s="177">
        <v>0</v>
      </c>
      <c r="G17" s="180"/>
      <c r="I17" s="127"/>
      <c r="J17" s="127"/>
      <c r="K17" s="127"/>
      <c r="L17" s="127"/>
    </row>
    <row r="18" spans="1:12" ht="14.25" customHeight="1" x14ac:dyDescent="0.25">
      <c r="A18" s="175" t="s">
        <v>99</v>
      </c>
      <c r="B18" s="177" t="s">
        <v>37</v>
      </c>
      <c r="C18" s="180">
        <f>IF(B18="Yes",500,0)</f>
        <v>0</v>
      </c>
      <c r="D18" s="576"/>
      <c r="E18" s="178" t="s">
        <v>99</v>
      </c>
      <c r="F18" s="175"/>
      <c r="G18" s="187">
        <f>IF(B18="Yes",500,0)</f>
        <v>0</v>
      </c>
      <c r="I18" s="127"/>
      <c r="J18" s="127"/>
      <c r="K18" s="127"/>
      <c r="L18" s="127"/>
    </row>
    <row r="19" spans="1:12" s="137" customFormat="1" ht="14.25" customHeight="1" x14ac:dyDescent="0.25">
      <c r="A19" s="184" t="s">
        <v>135</v>
      </c>
      <c r="B19" s="185"/>
      <c r="C19" s="186">
        <f ca="1">SUM(C13:C17)</f>
        <v>12945</v>
      </c>
      <c r="D19" s="576"/>
      <c r="E19" s="184" t="s">
        <v>153</v>
      </c>
      <c r="F19" s="184"/>
      <c r="G19" s="186">
        <f>SUM(G13,G14,G16,G18)</f>
        <v>19967</v>
      </c>
      <c r="I19" s="127"/>
      <c r="J19" s="127"/>
      <c r="K19" s="127"/>
      <c r="L19" s="127"/>
    </row>
    <row r="20" spans="1:12" ht="14.25" customHeight="1" x14ac:dyDescent="0.25">
      <c r="A20" s="175" t="s">
        <v>154</v>
      </c>
      <c r="B20" s="179"/>
      <c r="C20" s="180"/>
      <c r="D20" s="576"/>
      <c r="E20" s="175" t="s">
        <v>71</v>
      </c>
      <c r="F20" s="177">
        <v>750000</v>
      </c>
      <c r="G20" s="180">
        <f>IF(F20=750000,0,200)</f>
        <v>0</v>
      </c>
      <c r="I20" s="127"/>
      <c r="J20" s="127"/>
      <c r="K20" s="127"/>
      <c r="L20" s="127"/>
    </row>
    <row r="21" spans="1:12" ht="14.25" customHeight="1" x14ac:dyDescent="0.25">
      <c r="A21" s="175" t="s">
        <v>70</v>
      </c>
      <c r="B21" s="177" t="s">
        <v>37</v>
      </c>
      <c r="C21" s="180">
        <f>IF(B21="Yes",MIN(C19*0.025,500),0)</f>
        <v>0</v>
      </c>
      <c r="D21" s="576"/>
      <c r="E21" s="175"/>
      <c r="F21" s="175"/>
      <c r="G21" s="175"/>
      <c r="I21" s="127"/>
      <c r="J21" s="127"/>
      <c r="K21" s="127"/>
      <c r="L21" s="127"/>
    </row>
    <row r="22" spans="1:12" ht="14.25" customHeight="1" x14ac:dyDescent="0.2">
      <c r="A22" s="175" t="s">
        <v>65</v>
      </c>
      <c r="B22" s="177" t="s">
        <v>37</v>
      </c>
      <c r="C22" s="190">
        <f>IF(B22="Yes",MIN(C19*0.05,200),0)</f>
        <v>0</v>
      </c>
      <c r="D22" s="576"/>
      <c r="E22" s="175"/>
      <c r="F22" s="179"/>
      <c r="G22" s="180"/>
    </row>
    <row r="23" spans="1:12" ht="14.25" customHeight="1" x14ac:dyDescent="0.2">
      <c r="A23" s="175" t="s">
        <v>137</v>
      </c>
      <c r="B23" s="177" t="s">
        <v>37</v>
      </c>
      <c r="C23" s="180">
        <f>IF(B23="Yes",C19*(1/3),0)</f>
        <v>0</v>
      </c>
      <c r="D23" s="576"/>
      <c r="E23" s="175"/>
      <c r="F23" s="179"/>
      <c r="G23" s="180"/>
      <c r="J23" s="123"/>
    </row>
    <row r="24" spans="1:12" ht="14.25" customHeight="1" x14ac:dyDescent="0.2">
      <c r="A24" s="184" t="s">
        <v>155</v>
      </c>
      <c r="B24" s="191"/>
      <c r="C24" s="192">
        <f ca="1">C19-SUM(C21:C23)</f>
        <v>12945</v>
      </c>
      <c r="D24" s="576"/>
      <c r="E24" s="193"/>
      <c r="F24" s="191"/>
      <c r="G24" s="192"/>
    </row>
    <row r="25" spans="1:12" ht="14.25" customHeight="1" x14ac:dyDescent="0.2">
      <c r="A25" s="175" t="s">
        <v>76</v>
      </c>
      <c r="B25" s="194">
        <v>0.2</v>
      </c>
      <c r="C25" s="180">
        <f ca="1">(C13+C14+C16-C26-C27)*B25</f>
        <v>1294.5</v>
      </c>
      <c r="D25" s="576"/>
      <c r="E25" s="195"/>
      <c r="F25" s="179"/>
      <c r="G25" s="180"/>
    </row>
    <row r="26" spans="1:12" ht="14.25" customHeight="1" x14ac:dyDescent="0.2">
      <c r="A26" s="178" t="s">
        <v>111</v>
      </c>
      <c r="B26" s="188">
        <v>0.5</v>
      </c>
      <c r="C26" s="196">
        <f ca="1">(C13+C14)*B26</f>
        <v>4962.25</v>
      </c>
      <c r="D26" s="576"/>
      <c r="E26" s="195"/>
      <c r="F26" s="179"/>
      <c r="G26" s="180"/>
    </row>
    <row r="27" spans="1:12" ht="14.25" customHeight="1" x14ac:dyDescent="0.2">
      <c r="A27" s="178" t="s">
        <v>214</v>
      </c>
      <c r="B27" s="188">
        <v>0.5</v>
      </c>
      <c r="C27" s="196">
        <f ca="1">C16*B27</f>
        <v>1510.25</v>
      </c>
      <c r="D27" s="576"/>
      <c r="E27" s="195"/>
      <c r="F27" s="179"/>
      <c r="G27" s="180"/>
    </row>
    <row r="28" spans="1:12" ht="14.25" customHeight="1" x14ac:dyDescent="0.2">
      <c r="A28" s="574" t="s">
        <v>112</v>
      </c>
      <c r="B28" s="574"/>
      <c r="C28" s="197">
        <f ca="1">C24-(C25+C26+C27)</f>
        <v>5178</v>
      </c>
      <c r="D28" s="576"/>
      <c r="E28" s="574" t="s">
        <v>113</v>
      </c>
      <c r="F28" s="574"/>
      <c r="G28" s="186">
        <f>G19-G20</f>
        <v>19967</v>
      </c>
    </row>
    <row r="29" spans="1:12" ht="14.25" customHeight="1" x14ac:dyDescent="0.2">
      <c r="A29" s="138"/>
      <c r="B29" s="139"/>
      <c r="C29" s="138"/>
      <c r="D29" s="138"/>
      <c r="E29" s="140"/>
      <c r="F29" s="138"/>
      <c r="G29" s="141"/>
    </row>
    <row r="30" spans="1:12" ht="14.25" customHeight="1" x14ac:dyDescent="0.2">
      <c r="A30" s="138"/>
      <c r="B30" s="138"/>
      <c r="C30" s="138"/>
      <c r="D30" s="138"/>
    </row>
    <row r="31" spans="1:12" ht="14.25" customHeight="1" x14ac:dyDescent="0.25">
      <c r="A31" s="539" t="s">
        <v>219</v>
      </c>
      <c r="B31" s="575"/>
      <c r="C31" s="573"/>
      <c r="D31" s="573"/>
      <c r="E31" s="198" t="s">
        <v>114</v>
      </c>
      <c r="F31" s="199" t="s">
        <v>115</v>
      </c>
      <c r="G31" s="200" t="s">
        <v>38</v>
      </c>
    </row>
    <row r="32" spans="1:12" ht="14.25" customHeight="1" x14ac:dyDescent="0.25">
      <c r="A32" s="539"/>
      <c r="B32" s="535" t="s">
        <v>116</v>
      </c>
      <c r="C32" s="536"/>
      <c r="D32" s="536"/>
      <c r="E32" s="201">
        <f ca="1">C28</f>
        <v>5178</v>
      </c>
      <c r="F32" s="187">
        <f>G28</f>
        <v>19967</v>
      </c>
      <c r="G32" s="202">
        <f ca="1">E32+F32</f>
        <v>25145</v>
      </c>
    </row>
    <row r="33" spans="1:8" ht="14.25" customHeight="1" x14ac:dyDescent="0.25">
      <c r="A33" s="539"/>
      <c r="B33" s="569" t="s">
        <v>227</v>
      </c>
      <c r="C33" s="570"/>
      <c r="D33" s="570"/>
      <c r="E33" s="203">
        <f ca="1">E32*HyperLink!B21</f>
        <v>932.04</v>
      </c>
      <c r="F33" s="203">
        <f>F32*HyperLink!B21</f>
        <v>3594.06</v>
      </c>
      <c r="G33" s="203">
        <f ca="1">G32*HyperLink!B21</f>
        <v>4526.0999999999995</v>
      </c>
    </row>
    <row r="34" spans="1:8" ht="14.25" customHeight="1" x14ac:dyDescent="0.25">
      <c r="A34" s="539"/>
      <c r="B34" s="571" t="s">
        <v>156</v>
      </c>
      <c r="C34" s="572"/>
      <c r="D34" s="572"/>
      <c r="E34" s="204">
        <f ca="1">SUM(E32:E33)</f>
        <v>6110.04</v>
      </c>
      <c r="F34" s="204">
        <f>SUM(F32:F33)</f>
        <v>23561.06</v>
      </c>
      <c r="G34" s="204">
        <f ca="1">SUM(G32:G33)</f>
        <v>29671.1</v>
      </c>
      <c r="H34" s="117"/>
    </row>
    <row r="35" spans="1:8" ht="14.25" customHeight="1" x14ac:dyDescent="0.2">
      <c r="A35" s="117"/>
      <c r="B35" s="117"/>
      <c r="C35" s="117"/>
      <c r="D35" s="117"/>
      <c r="E35" s="117"/>
      <c r="F35" s="117"/>
      <c r="G35" s="117"/>
      <c r="H35" s="117"/>
    </row>
    <row r="36" spans="1:8" ht="14.25" customHeight="1" x14ac:dyDescent="0.2">
      <c r="E36" s="142"/>
    </row>
    <row r="41" spans="1:8" x14ac:dyDescent="0.2">
      <c r="A41" s="114" t="s">
        <v>57</v>
      </c>
      <c r="B41" s="114" t="s">
        <v>122</v>
      </c>
    </row>
    <row r="42" spans="1:8" x14ac:dyDescent="0.2">
      <c r="A42" s="114" t="b">
        <f>IF(B15="Yes",IF(B42=0,4.5%,IF(B42=1,5.5%,IF(B42=2,7%,0))))</f>
        <v>0</v>
      </c>
      <c r="B42" s="116">
        <f ca="1">YEAR(TODAY())-(G4)</f>
        <v>5</v>
      </c>
    </row>
    <row r="43" spans="1:8" ht="26.25" customHeight="1" x14ac:dyDescent="0.2"/>
    <row r="44" spans="1:8" x14ac:dyDescent="0.2">
      <c r="A44" s="114" t="s">
        <v>57</v>
      </c>
      <c r="B44" s="114" t="s">
        <v>122</v>
      </c>
    </row>
    <row r="45" spans="1:8" ht="14.25" customHeight="1" x14ac:dyDescent="0.2">
      <c r="A45" s="114" t="b">
        <f>IF(B16="Yes",IF(B45=0,4.5%,IF(B45=1,5.5%,IF(B45=2,7%,0))))</f>
        <v>0</v>
      </c>
      <c r="B45" s="116">
        <f ca="1">YEAR(TODAY())-(G4)</f>
        <v>5</v>
      </c>
    </row>
  </sheetData>
  <sheetProtection password="CEED" sheet="1"/>
  <mergeCells count="25">
    <mergeCell ref="A1:G1"/>
    <mergeCell ref="A2:G2"/>
    <mergeCell ref="I2:J3"/>
    <mergeCell ref="A3:G3"/>
    <mergeCell ref="A4:B4"/>
    <mergeCell ref="E4:F4"/>
    <mergeCell ref="A5:B5"/>
    <mergeCell ref="E5:F5"/>
    <mergeCell ref="A6:B6"/>
    <mergeCell ref="E6:F6"/>
    <mergeCell ref="A7:G7"/>
    <mergeCell ref="A8:C8"/>
    <mergeCell ref="D8:D28"/>
    <mergeCell ref="E8:G8"/>
    <mergeCell ref="E9:G9"/>
    <mergeCell ref="E10:F10"/>
    <mergeCell ref="B33:D33"/>
    <mergeCell ref="B34:D34"/>
    <mergeCell ref="E12:F12"/>
    <mergeCell ref="E13:F13"/>
    <mergeCell ref="A28:B28"/>
    <mergeCell ref="E28:F28"/>
    <mergeCell ref="B31:D31"/>
    <mergeCell ref="B32:D32"/>
    <mergeCell ref="A31:A34"/>
  </mergeCells>
  <dataValidations count="6">
    <dataValidation allowBlank="1" showErrorMessage="1" sqref="B26:B27">
      <formula1>0</formula1>
      <formula2>0</formula2>
    </dataValidation>
    <dataValidation type="list" allowBlank="1" showErrorMessage="1" sqref="F20">
      <formula1>"750000,6000"</formula1>
      <formula2>0</formula2>
    </dataValidation>
    <dataValidation type="list" allowBlank="1" showErrorMessage="1" sqref="F11 B21:B23 B17:B18 F16 F14 B14:B15">
      <formula1>"Yes,No"</formula1>
      <formula2>0</formula2>
    </dataValidation>
    <dataValidation type="list" allowBlank="1" showErrorMessage="1" sqref="B25">
      <formula1>"0%,20%,25%,35%,45%,50%,"</formula1>
      <formula2>0</formula2>
    </dataValidation>
    <dataValidation type="list" allowBlank="1" showErrorMessage="1" sqref="B16">
      <formula1>"0%,15%,25%,35%,"</formula1>
    </dataValidation>
    <dataValidation type="list" allowBlank="1" showErrorMessage="1" sqref="G6">
      <formula1>"A,B,C"</formula1>
      <formula2>0</formula2>
    </dataValidation>
  </dataValidations>
  <hyperlinks>
    <hyperlink ref="I2" location="HyperLink!A1" display="BACK"/>
  </hyperlinks>
  <pageMargins left="0.32013888888888886" right="0.12013888888888889" top="0.98402777777777772" bottom="0.67986111111111114" header="0.51180555555555551" footer="0.51180555555555551"/>
  <pageSetup paperSize="9" firstPageNumber="0"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2"/>
  <sheetViews>
    <sheetView topLeftCell="A11" zoomScale="85" zoomScaleNormal="85" workbookViewId="0">
      <selection activeCell="B32" sqref="B32:D32"/>
    </sheetView>
  </sheetViews>
  <sheetFormatPr defaultRowHeight="16.5" customHeight="1" x14ac:dyDescent="0.2"/>
  <cols>
    <col min="1" max="1" width="30.7109375" style="121" customWidth="1"/>
    <col min="2" max="2" width="7.140625" style="121" customWidth="1"/>
    <col min="3" max="3" width="10.7109375" style="121" customWidth="1"/>
    <col min="4" max="4" width="3.140625" style="121" customWidth="1"/>
    <col min="5" max="5" width="25.28515625" style="121" customWidth="1"/>
    <col min="6" max="6" width="8.5703125" style="121" customWidth="1"/>
    <col min="7" max="7" width="10.7109375" style="121" customWidth="1"/>
    <col min="8" max="8" width="2.85546875" style="120" customWidth="1"/>
    <col min="9" max="9" width="4.28515625" style="121" customWidth="1"/>
    <col min="10" max="10" width="5" style="121" customWidth="1"/>
    <col min="11" max="11" width="8.42578125" style="121" customWidth="1"/>
    <col min="12" max="12" width="6.7109375" style="121" customWidth="1"/>
    <col min="13" max="13" width="36.7109375" style="122" customWidth="1"/>
    <col min="14" max="15" width="7" style="121" bestFit="1" customWidth="1"/>
    <col min="16" max="16384" width="9.140625" style="121"/>
  </cols>
  <sheetData>
    <row r="1" spans="1:16" s="118" customFormat="1" ht="16.5" customHeight="1" x14ac:dyDescent="0.25">
      <c r="A1" s="587" t="s">
        <v>0</v>
      </c>
      <c r="B1" s="587"/>
      <c r="C1" s="587"/>
      <c r="D1" s="587"/>
      <c r="E1" s="587"/>
      <c r="F1" s="587"/>
      <c r="G1" s="587"/>
      <c r="H1" s="117"/>
      <c r="O1" s="119"/>
    </row>
    <row r="2" spans="1:16" ht="16.5" customHeight="1" x14ac:dyDescent="0.2">
      <c r="A2" s="566" t="s">
        <v>202</v>
      </c>
      <c r="B2" s="566"/>
      <c r="C2" s="566" t="s">
        <v>122</v>
      </c>
      <c r="D2" s="566"/>
      <c r="E2" s="566"/>
      <c r="F2" s="566"/>
      <c r="G2" s="566"/>
      <c r="I2" s="588" t="s">
        <v>29</v>
      </c>
      <c r="J2" s="588"/>
      <c r="N2" s="123"/>
      <c r="O2" s="124"/>
    </row>
    <row r="3" spans="1:16" ht="16.5" customHeight="1" x14ac:dyDescent="0.25">
      <c r="A3" s="561" t="s">
        <v>79</v>
      </c>
      <c r="B3" s="561"/>
      <c r="C3" s="561"/>
      <c r="D3" s="561"/>
      <c r="E3" s="561"/>
      <c r="F3" s="561"/>
      <c r="G3" s="561"/>
      <c r="I3" s="588"/>
      <c r="J3" s="588"/>
    </row>
    <row r="4" spans="1:16" ht="16.5" customHeight="1" x14ac:dyDescent="0.2">
      <c r="A4" s="549" t="s">
        <v>138</v>
      </c>
      <c r="B4" s="549"/>
      <c r="C4" s="205">
        <v>500000</v>
      </c>
      <c r="D4" s="549"/>
      <c r="E4" s="549" t="s">
        <v>83</v>
      </c>
      <c r="F4" s="549"/>
      <c r="G4" s="206">
        <v>2004</v>
      </c>
    </row>
    <row r="5" spans="1:16" ht="16.5" customHeight="1" x14ac:dyDescent="0.2">
      <c r="A5" s="549" t="s">
        <v>90</v>
      </c>
      <c r="B5" s="549"/>
      <c r="C5" s="205">
        <v>0</v>
      </c>
      <c r="D5" s="549"/>
      <c r="E5" s="549" t="s">
        <v>139</v>
      </c>
      <c r="F5" s="549"/>
      <c r="G5" s="206">
        <v>42000</v>
      </c>
    </row>
    <row r="6" spans="1:16" ht="16.5" customHeight="1" x14ac:dyDescent="0.2">
      <c r="A6" s="549" t="s">
        <v>141</v>
      </c>
      <c r="B6" s="549"/>
      <c r="C6" s="205">
        <v>0</v>
      </c>
      <c r="D6" s="549"/>
      <c r="E6" s="586" t="s">
        <v>43</v>
      </c>
      <c r="F6" s="586"/>
      <c r="G6" s="207" t="s">
        <v>94</v>
      </c>
    </row>
    <row r="7" spans="1:16" ht="16.5" customHeight="1" x14ac:dyDescent="0.2">
      <c r="A7" s="586" t="s">
        <v>142</v>
      </c>
      <c r="B7" s="586"/>
      <c r="C7" s="586"/>
      <c r="D7" s="586"/>
      <c r="E7" s="586"/>
      <c r="F7" s="586"/>
      <c r="G7" s="586"/>
      <c r="I7" s="125"/>
    </row>
    <row r="8" spans="1:16" s="127" customFormat="1" ht="16.5" customHeight="1" x14ac:dyDescent="0.25">
      <c r="A8" s="561" t="s">
        <v>86</v>
      </c>
      <c r="B8" s="561"/>
      <c r="C8" s="561"/>
      <c r="D8" s="541"/>
      <c r="E8" s="561" t="s">
        <v>87</v>
      </c>
      <c r="F8" s="561"/>
      <c r="G8" s="561"/>
      <c r="H8" s="126"/>
      <c r="M8" s="128"/>
    </row>
    <row r="9" spans="1:16" ht="16.5" customHeight="1" x14ac:dyDescent="0.25">
      <c r="A9" s="178" t="s">
        <v>143</v>
      </c>
      <c r="B9" s="208"/>
      <c r="C9" s="187">
        <f ca="1">Database!$J$16</f>
        <v>6340</v>
      </c>
      <c r="D9" s="541"/>
      <c r="E9" s="549"/>
      <c r="F9" s="549"/>
      <c r="G9" s="549"/>
      <c r="N9" s="127"/>
      <c r="O9" s="127"/>
      <c r="P9" s="127"/>
    </row>
    <row r="10" spans="1:16" ht="16.5" customHeight="1" x14ac:dyDescent="0.25">
      <c r="A10" s="178" t="s">
        <v>90</v>
      </c>
      <c r="B10" s="208"/>
      <c r="C10" s="187">
        <f>C5*0.04</f>
        <v>0</v>
      </c>
      <c r="D10" s="541"/>
      <c r="E10" s="549" t="s">
        <v>49</v>
      </c>
      <c r="F10" s="549"/>
      <c r="G10" s="187">
        <f>Database!M11</f>
        <v>21318</v>
      </c>
      <c r="N10" s="127"/>
      <c r="O10" s="127"/>
    </row>
    <row r="11" spans="1:16" ht="16.5" customHeight="1" x14ac:dyDescent="0.25">
      <c r="A11" s="178" t="s">
        <v>145</v>
      </c>
      <c r="B11" s="208"/>
      <c r="C11" s="187">
        <f>Database!$J$17</f>
        <v>8100.0000000000009</v>
      </c>
      <c r="D11" s="541"/>
      <c r="E11" s="181" t="s">
        <v>128</v>
      </c>
      <c r="F11" s="182" t="s">
        <v>91</v>
      </c>
      <c r="G11" s="183">
        <f>IF(F11="Yes",100,0)</f>
        <v>100</v>
      </c>
      <c r="N11" s="127"/>
      <c r="O11" s="127"/>
    </row>
    <row r="12" spans="1:16" ht="16.5" customHeight="1" x14ac:dyDescent="0.25">
      <c r="A12" s="178" t="s">
        <v>146</v>
      </c>
      <c r="B12" s="208"/>
      <c r="C12" s="187">
        <f>IF(C6&gt;0,C6*0.04,0)</f>
        <v>0</v>
      </c>
      <c r="D12" s="541"/>
      <c r="E12" s="549" t="s">
        <v>146</v>
      </c>
      <c r="F12" s="549"/>
      <c r="G12" s="187">
        <f>IF(C6&gt;0,60,0)</f>
        <v>0</v>
      </c>
      <c r="N12" s="127"/>
      <c r="O12" s="127"/>
    </row>
    <row r="13" spans="1:16" s="127" customFormat="1" ht="16.5" customHeight="1" x14ac:dyDescent="0.25">
      <c r="A13" s="561" t="s">
        <v>95</v>
      </c>
      <c r="B13" s="561"/>
      <c r="C13" s="209">
        <f ca="1">C9+C10+C11+C12</f>
        <v>14440</v>
      </c>
      <c r="D13" s="541"/>
      <c r="E13" s="561" t="s">
        <v>147</v>
      </c>
      <c r="F13" s="561"/>
      <c r="G13" s="209">
        <f>SUM(G10:G11)</f>
        <v>21418</v>
      </c>
      <c r="H13" s="126"/>
      <c r="J13" s="121"/>
      <c r="K13" s="121"/>
      <c r="L13" s="121"/>
      <c r="M13" s="122"/>
      <c r="P13" s="129"/>
    </row>
    <row r="14" spans="1:16" ht="16.5" customHeight="1" x14ac:dyDescent="0.25">
      <c r="A14" s="178" t="s">
        <v>148</v>
      </c>
      <c r="B14" s="207" t="s">
        <v>37</v>
      </c>
      <c r="C14" s="187">
        <f>IF(B14="Yes",(SUM(C9:C11)+C12)*0.15,0)</f>
        <v>0</v>
      </c>
      <c r="D14" s="541"/>
      <c r="E14" s="178" t="s">
        <v>129</v>
      </c>
      <c r="F14" s="207" t="s">
        <v>91</v>
      </c>
      <c r="G14" s="187">
        <f>IF(F14="Yes",50*F15,0)</f>
        <v>0</v>
      </c>
      <c r="N14" s="127"/>
      <c r="O14" s="127"/>
      <c r="P14" s="129"/>
    </row>
    <row r="15" spans="1:16" ht="16.5" customHeight="1" x14ac:dyDescent="0.25">
      <c r="A15" s="178" t="s">
        <v>98</v>
      </c>
      <c r="B15" s="177" t="s">
        <v>37</v>
      </c>
      <c r="C15" s="187">
        <f>C4*A42/10</f>
        <v>0</v>
      </c>
      <c r="D15" s="541"/>
      <c r="E15" s="178" t="s">
        <v>158</v>
      </c>
      <c r="F15" s="207">
        <v>0</v>
      </c>
      <c r="G15" s="187"/>
      <c r="N15" s="127"/>
      <c r="O15" s="127"/>
      <c r="P15" s="129"/>
    </row>
    <row r="16" spans="1:16" ht="16.5" customHeight="1" x14ac:dyDescent="0.25">
      <c r="A16" s="178" t="s">
        <v>150</v>
      </c>
      <c r="B16" s="188">
        <v>0.35</v>
      </c>
      <c r="C16" s="187">
        <f ca="1">(C13)*B16</f>
        <v>5054</v>
      </c>
      <c r="D16" s="541"/>
      <c r="E16" s="211" t="s">
        <v>151</v>
      </c>
      <c r="F16" s="207" t="s">
        <v>91</v>
      </c>
      <c r="G16" s="187">
        <f>IF(F16="Yes",75*F17,0)</f>
        <v>75</v>
      </c>
      <c r="N16" s="127"/>
      <c r="O16" s="127"/>
      <c r="P16" s="129"/>
    </row>
    <row r="17" spans="1:16" ht="16.5" customHeight="1" x14ac:dyDescent="0.25">
      <c r="A17" s="178" t="s">
        <v>133</v>
      </c>
      <c r="B17" s="207" t="s">
        <v>37</v>
      </c>
      <c r="C17" s="187">
        <f>IF(B17="Yes",C13*0.6,0)</f>
        <v>0</v>
      </c>
      <c r="D17" s="541"/>
      <c r="E17" s="178" t="s">
        <v>159</v>
      </c>
      <c r="F17" s="207">
        <v>1</v>
      </c>
      <c r="G17" s="187"/>
      <c r="N17" s="127"/>
      <c r="O17" s="127"/>
    </row>
    <row r="18" spans="1:16" ht="16.5" customHeight="1" x14ac:dyDescent="0.25">
      <c r="A18" s="178" t="s">
        <v>99</v>
      </c>
      <c r="B18" s="207" t="s">
        <v>37</v>
      </c>
      <c r="C18" s="187">
        <f>IF(B18="Yes",400,0)</f>
        <v>0</v>
      </c>
      <c r="D18" s="541"/>
      <c r="E18" s="212" t="s">
        <v>99</v>
      </c>
      <c r="F18" s="212"/>
      <c r="G18" s="213">
        <f>IF(B18="yes",500,0)</f>
        <v>0</v>
      </c>
      <c r="N18" s="127"/>
      <c r="O18" s="127"/>
      <c r="P18" s="129"/>
    </row>
    <row r="19" spans="1:16" s="127" customFormat="1" ht="16.5" customHeight="1" x14ac:dyDescent="0.25">
      <c r="A19" s="561" t="s">
        <v>135</v>
      </c>
      <c r="B19" s="561"/>
      <c r="C19" s="209">
        <f ca="1">SUM(C13:C18)</f>
        <v>19494</v>
      </c>
      <c r="D19" s="541"/>
      <c r="E19" s="561" t="s">
        <v>153</v>
      </c>
      <c r="F19" s="561"/>
      <c r="G19" s="209">
        <f>SUM(G13,G14,G16,G18)</f>
        <v>21493</v>
      </c>
      <c r="H19" s="126"/>
      <c r="J19" s="121"/>
      <c r="K19" s="121"/>
      <c r="L19" s="121"/>
      <c r="M19" s="122"/>
      <c r="P19" s="130"/>
    </row>
    <row r="20" spans="1:16" ht="16.5" customHeight="1" x14ac:dyDescent="0.25">
      <c r="A20" s="212" t="s">
        <v>154</v>
      </c>
      <c r="B20" s="214"/>
      <c r="C20" s="213"/>
      <c r="D20" s="541"/>
      <c r="E20" s="178" t="s">
        <v>71</v>
      </c>
      <c r="F20" s="207">
        <v>750000</v>
      </c>
      <c r="G20" s="187">
        <f>IF(F20=750000,0,200)</f>
        <v>0</v>
      </c>
      <c r="N20" s="127"/>
      <c r="O20" s="127"/>
    </row>
    <row r="21" spans="1:16" ht="16.5" customHeight="1" x14ac:dyDescent="0.25">
      <c r="A21" s="178" t="s">
        <v>70</v>
      </c>
      <c r="B21" s="207" t="s">
        <v>37</v>
      </c>
      <c r="C21" s="187">
        <f>IF(B21="Yes",MIN(C19*0.025,500),0)</f>
        <v>0</v>
      </c>
      <c r="D21" s="541"/>
      <c r="E21" s="178"/>
      <c r="F21" s="208"/>
      <c r="G21" s="187"/>
      <c r="N21" s="127"/>
      <c r="O21" s="127"/>
    </row>
    <row r="22" spans="1:16" ht="16.5" customHeight="1" x14ac:dyDescent="0.25">
      <c r="A22" s="178" t="s">
        <v>65</v>
      </c>
      <c r="B22" s="207" t="s">
        <v>37</v>
      </c>
      <c r="C22" s="187">
        <f>IF(B22="Yes",MIN(C19*0.05,200),0)</f>
        <v>0</v>
      </c>
      <c r="D22" s="541"/>
      <c r="E22" s="178"/>
      <c r="F22" s="208"/>
      <c r="G22" s="187"/>
      <c r="O22" s="127"/>
    </row>
    <row r="23" spans="1:16" ht="16.5" customHeight="1" x14ac:dyDescent="0.2">
      <c r="A23" s="178" t="s">
        <v>137</v>
      </c>
      <c r="B23" s="207" t="s">
        <v>37</v>
      </c>
      <c r="C23" s="187">
        <f>IF(B23="Yes",C19*(1/3),0)</f>
        <v>0</v>
      </c>
      <c r="D23" s="541"/>
      <c r="E23" s="178"/>
      <c r="F23" s="208"/>
      <c r="G23" s="187"/>
    </row>
    <row r="24" spans="1:16" ht="16.5" customHeight="1" x14ac:dyDescent="0.25">
      <c r="A24" s="561" t="s">
        <v>155</v>
      </c>
      <c r="B24" s="561"/>
      <c r="C24" s="213">
        <f ca="1">C19-SUM(C21:C23)</f>
        <v>19494</v>
      </c>
      <c r="D24" s="541"/>
      <c r="E24" s="215"/>
      <c r="F24" s="214"/>
      <c r="G24" s="213"/>
    </row>
    <row r="25" spans="1:16" ht="16.5" customHeight="1" x14ac:dyDescent="0.25">
      <c r="A25" s="178" t="s">
        <v>76</v>
      </c>
      <c r="B25" s="216">
        <v>0</v>
      </c>
      <c r="C25" s="180">
        <f ca="1">(C13+C14+C16-C26-C27)*B25</f>
        <v>0</v>
      </c>
      <c r="D25" s="541"/>
      <c r="E25" s="215"/>
      <c r="F25" s="208"/>
      <c r="G25" s="187"/>
    </row>
    <row r="26" spans="1:16" ht="16.5" customHeight="1" x14ac:dyDescent="0.2">
      <c r="A26" s="178" t="s">
        <v>111</v>
      </c>
      <c r="B26" s="217">
        <v>0</v>
      </c>
      <c r="C26" s="196">
        <f ca="1">(C13+C14)*B26</f>
        <v>0</v>
      </c>
      <c r="D26" s="541"/>
      <c r="E26" s="178"/>
      <c r="F26" s="208"/>
      <c r="G26" s="187"/>
    </row>
    <row r="27" spans="1:16" ht="16.5" customHeight="1" x14ac:dyDescent="0.2">
      <c r="A27" s="178" t="s">
        <v>214</v>
      </c>
      <c r="B27" s="188">
        <v>0</v>
      </c>
      <c r="C27" s="196">
        <f ca="1">C16*B27</f>
        <v>0</v>
      </c>
      <c r="D27" s="541"/>
      <c r="E27" s="178"/>
      <c r="F27" s="208"/>
      <c r="G27" s="187"/>
    </row>
    <row r="28" spans="1:16" ht="16.5" customHeight="1" x14ac:dyDescent="0.25">
      <c r="A28" s="561" t="s">
        <v>112</v>
      </c>
      <c r="B28" s="561"/>
      <c r="C28" s="218">
        <f ca="1">C24-C25-C26-C27</f>
        <v>19494</v>
      </c>
      <c r="D28" s="541"/>
      <c r="E28" s="561" t="s">
        <v>113</v>
      </c>
      <c r="F28" s="561"/>
      <c r="G28" s="213">
        <f>G19-G20+G26</f>
        <v>21493</v>
      </c>
    </row>
    <row r="29" spans="1:16" ht="16.5" customHeight="1" x14ac:dyDescent="0.2">
      <c r="A29" s="131"/>
      <c r="B29" s="132"/>
      <c r="C29" s="133"/>
      <c r="D29" s="133"/>
      <c r="E29" s="134"/>
      <c r="F29" s="133"/>
      <c r="G29" s="135"/>
    </row>
    <row r="30" spans="1:16" ht="16.5" customHeight="1" x14ac:dyDescent="0.25">
      <c r="A30" s="539" t="s">
        <v>220</v>
      </c>
      <c r="B30" s="494"/>
      <c r="C30" s="219"/>
      <c r="D30" s="219"/>
      <c r="E30" s="220" t="s">
        <v>114</v>
      </c>
      <c r="F30" s="199" t="s">
        <v>115</v>
      </c>
      <c r="G30" s="200" t="s">
        <v>38</v>
      </c>
    </row>
    <row r="31" spans="1:16" ht="16.5" customHeight="1" x14ac:dyDescent="0.25">
      <c r="A31" s="539"/>
      <c r="B31" s="535" t="s">
        <v>116</v>
      </c>
      <c r="C31" s="536"/>
      <c r="D31" s="536"/>
      <c r="E31" s="201">
        <f ca="1">C28</f>
        <v>19494</v>
      </c>
      <c r="F31" s="187">
        <f>G28</f>
        <v>21493</v>
      </c>
      <c r="G31" s="202">
        <f ca="1">E31+F31</f>
        <v>40987</v>
      </c>
    </row>
    <row r="32" spans="1:16" ht="16.5" customHeight="1" x14ac:dyDescent="0.25">
      <c r="A32" s="539"/>
      <c r="B32" s="569" t="s">
        <v>227</v>
      </c>
      <c r="C32" s="570"/>
      <c r="D32" s="570"/>
      <c r="E32" s="203">
        <f ca="1">E31*HyperLink!B21</f>
        <v>3508.92</v>
      </c>
      <c r="F32" s="203">
        <f>F31*HyperLink!B21</f>
        <v>3868.74</v>
      </c>
      <c r="G32" s="203">
        <f ca="1">G31*HyperLink!B21</f>
        <v>7377.66</v>
      </c>
    </row>
    <row r="33" spans="1:13" ht="16.5" customHeight="1" x14ac:dyDescent="0.25">
      <c r="A33" s="539"/>
      <c r="B33" s="584" t="s">
        <v>156</v>
      </c>
      <c r="C33" s="585"/>
      <c r="D33" s="585"/>
      <c r="E33" s="221">
        <f ca="1">SUM(E31:E32)</f>
        <v>23002.92</v>
      </c>
      <c r="F33" s="221">
        <f>SUM(F31:F32)</f>
        <v>25361.739999999998</v>
      </c>
      <c r="G33" s="222">
        <f ca="1">SUM(G31:G32)</f>
        <v>48364.66</v>
      </c>
    </row>
    <row r="34" spans="1:13" ht="16.5" customHeight="1" x14ac:dyDescent="0.2">
      <c r="A34" s="120"/>
      <c r="B34" s="120"/>
      <c r="C34" s="120"/>
      <c r="D34" s="120"/>
      <c r="E34" s="120"/>
      <c r="F34" s="120"/>
      <c r="G34" s="136"/>
    </row>
    <row r="35" spans="1:13" ht="16.5" customHeight="1" x14ac:dyDescent="0.2">
      <c r="A35" s="120"/>
      <c r="B35" s="120"/>
      <c r="C35" s="120"/>
      <c r="D35" s="120"/>
      <c r="E35" s="120"/>
      <c r="F35" s="120"/>
      <c r="G35" s="120"/>
      <c r="I35" s="120"/>
      <c r="J35" s="120"/>
      <c r="K35" s="120"/>
    </row>
    <row r="41" spans="1:13" s="118" customFormat="1" ht="16.5" hidden="1" customHeight="1" x14ac:dyDescent="0.2">
      <c r="A41" s="114" t="s">
        <v>57</v>
      </c>
      <c r="B41" s="114" t="s">
        <v>122</v>
      </c>
      <c r="M41" s="119"/>
    </row>
    <row r="42" spans="1:13" s="118" customFormat="1" ht="16.5" hidden="1" customHeight="1" x14ac:dyDescent="0.2">
      <c r="A42" s="114" t="b">
        <f>IF(B15="Yes",IF(B42=0,4.5%,IF(B42=1,5.5%,IF(B42=2,7%,0))))</f>
        <v>0</v>
      </c>
      <c r="B42" s="116">
        <f ca="1">YEAR(TODAY())-(G4)</f>
        <v>13</v>
      </c>
      <c r="M42" s="119"/>
    </row>
  </sheetData>
  <sheetProtection password="CEED" sheet="1"/>
  <mergeCells count="29">
    <mergeCell ref="A1:G1"/>
    <mergeCell ref="A2:G2"/>
    <mergeCell ref="I2:J3"/>
    <mergeCell ref="A3:G3"/>
    <mergeCell ref="A4:B4"/>
    <mergeCell ref="D4:D6"/>
    <mergeCell ref="E4:F4"/>
    <mergeCell ref="A5:B5"/>
    <mergeCell ref="E5:F5"/>
    <mergeCell ref="A6:B6"/>
    <mergeCell ref="E6:F6"/>
    <mergeCell ref="A7:G7"/>
    <mergeCell ref="A8:C8"/>
    <mergeCell ref="D8:D28"/>
    <mergeCell ref="E8:G8"/>
    <mergeCell ref="E9:G9"/>
    <mergeCell ref="E10:F10"/>
    <mergeCell ref="E12:F12"/>
    <mergeCell ref="A13:B13"/>
    <mergeCell ref="E13:F13"/>
    <mergeCell ref="B32:D32"/>
    <mergeCell ref="B33:D33"/>
    <mergeCell ref="A19:B19"/>
    <mergeCell ref="E19:F19"/>
    <mergeCell ref="A24:B24"/>
    <mergeCell ref="A28:B28"/>
    <mergeCell ref="E28:F28"/>
    <mergeCell ref="B31:D31"/>
    <mergeCell ref="A30:A33"/>
  </mergeCells>
  <dataValidations count="6">
    <dataValidation allowBlank="1" showErrorMessage="1" sqref="B26:B27">
      <formula1>0</formula1>
      <formula2>0</formula2>
    </dataValidation>
    <dataValidation type="list" allowBlank="1" showErrorMessage="1" sqref="F11 B21:B23 B17:B18 F16 F14 B14:B15">
      <formula1>"Yes,No"</formula1>
      <formula2>0</formula2>
    </dataValidation>
    <dataValidation type="list" allowBlank="1" showErrorMessage="1" sqref="B25">
      <formula1>"0%,20%,25%,35%,45%,50%,55%,65%"</formula1>
      <formula2>0</formula2>
    </dataValidation>
    <dataValidation type="list" allowBlank="1" showErrorMessage="1" sqref="F20">
      <formula1>"750000,6000"</formula1>
      <formula2>0</formula2>
    </dataValidation>
    <dataValidation type="list" allowBlank="1" showErrorMessage="1" sqref="G6">
      <formula1>"A,B,C"</formula1>
      <formula2>0</formula2>
    </dataValidation>
    <dataValidation type="list" allowBlank="1" showErrorMessage="1" sqref="B16">
      <formula1>"0%,15%,25%,35%,"</formula1>
    </dataValidation>
  </dataValidations>
  <hyperlinks>
    <hyperlink ref="I2" location="HyperLink!A1" display="BACK"/>
  </hyperlinks>
  <pageMargins left="0.50972222222222219" right="0.2" top="0.98402777777777772" bottom="0.98402777777777772" header="0.51180555555555551" footer="0.51180555555555551"/>
  <pageSetup paperSize="9" firstPageNumber="0" orientation="portrait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3"/>
  <sheetViews>
    <sheetView topLeftCell="A12" zoomScale="85" zoomScaleNormal="85" workbookViewId="0">
      <selection activeCell="G32" sqref="G32"/>
    </sheetView>
  </sheetViews>
  <sheetFormatPr defaultRowHeight="15.75" customHeight="1" x14ac:dyDescent="0.2"/>
  <cols>
    <col min="1" max="1" width="31.28515625" style="88" customWidth="1"/>
    <col min="2" max="2" width="6.5703125" style="88" customWidth="1"/>
    <col min="3" max="3" width="10.140625" style="88" customWidth="1"/>
    <col min="4" max="4" width="2.5703125" style="88" customWidth="1"/>
    <col min="5" max="5" width="23" style="88" customWidth="1"/>
    <col min="6" max="6" width="10.85546875" style="88" customWidth="1"/>
    <col min="7" max="7" width="11.42578125" style="88" customWidth="1"/>
    <col min="8" max="8" width="6.140625" style="88" customWidth="1"/>
    <col min="9" max="9" width="5.5703125" style="88" customWidth="1"/>
    <col min="10" max="10" width="8.42578125" style="88" customWidth="1"/>
    <col min="11" max="11" width="4" style="90" customWidth="1"/>
    <col min="12" max="12" width="16.28515625" style="88" bestFit="1" customWidth="1"/>
    <col min="13" max="13" width="5.85546875" style="88" bestFit="1" customWidth="1"/>
    <col min="14" max="15" width="11.42578125" style="88" customWidth="1"/>
    <col min="16" max="16384" width="9.140625" style="88"/>
  </cols>
  <sheetData>
    <row r="1" spans="1:13" s="86" customFormat="1" ht="17.25" customHeight="1" x14ac:dyDescent="0.25">
      <c r="A1" s="596" t="s">
        <v>0</v>
      </c>
      <c r="B1" s="596"/>
      <c r="C1" s="596"/>
      <c r="D1" s="596"/>
      <c r="E1" s="596"/>
      <c r="F1" s="596"/>
      <c r="G1" s="596"/>
      <c r="H1" s="85"/>
      <c r="K1" s="87"/>
    </row>
    <row r="2" spans="1:13" ht="17.25" customHeight="1" x14ac:dyDescent="0.25">
      <c r="A2" s="597" t="s">
        <v>199</v>
      </c>
      <c r="B2" s="597"/>
      <c r="C2" s="597" t="s">
        <v>122</v>
      </c>
      <c r="D2" s="597"/>
      <c r="E2" s="597"/>
      <c r="F2" s="597"/>
      <c r="G2" s="597"/>
      <c r="H2" s="85"/>
      <c r="J2" s="592" t="s">
        <v>78</v>
      </c>
      <c r="K2" s="592"/>
      <c r="M2" s="89"/>
    </row>
    <row r="3" spans="1:13" ht="17.25" customHeight="1" x14ac:dyDescent="0.25">
      <c r="A3" s="585" t="s">
        <v>79</v>
      </c>
      <c r="B3" s="585"/>
      <c r="C3" s="585"/>
      <c r="D3" s="585"/>
      <c r="E3" s="585"/>
      <c r="F3" s="585"/>
      <c r="G3" s="585"/>
      <c r="H3" s="85"/>
      <c r="J3" s="592"/>
      <c r="K3" s="592"/>
    </row>
    <row r="4" spans="1:13" ht="17.25" customHeight="1" x14ac:dyDescent="0.25">
      <c r="A4" s="590" t="s">
        <v>138</v>
      </c>
      <c r="B4" s="590"/>
      <c r="C4" s="223">
        <v>0</v>
      </c>
      <c r="D4" s="593"/>
      <c r="E4" s="590" t="s">
        <v>83</v>
      </c>
      <c r="F4" s="590"/>
      <c r="G4" s="225">
        <v>2014</v>
      </c>
      <c r="H4" s="85"/>
    </row>
    <row r="5" spans="1:13" ht="17.25" customHeight="1" x14ac:dyDescent="0.25">
      <c r="A5" s="590" t="s">
        <v>90</v>
      </c>
      <c r="B5" s="590"/>
      <c r="C5" s="223">
        <v>0</v>
      </c>
      <c r="D5" s="594"/>
      <c r="E5" s="590" t="s">
        <v>139</v>
      </c>
      <c r="F5" s="590"/>
      <c r="G5" s="225">
        <v>450</v>
      </c>
      <c r="H5" s="85"/>
    </row>
    <row r="6" spans="1:13" ht="17.25" customHeight="1" x14ac:dyDescent="0.25">
      <c r="A6" s="590" t="s">
        <v>141</v>
      </c>
      <c r="B6" s="590"/>
      <c r="C6" s="223">
        <v>0</v>
      </c>
      <c r="D6" s="595"/>
      <c r="E6" s="602" t="s">
        <v>43</v>
      </c>
      <c r="F6" s="602"/>
      <c r="G6" s="182" t="s">
        <v>94</v>
      </c>
      <c r="H6" s="85"/>
    </row>
    <row r="7" spans="1:13" s="86" customFormat="1" ht="17.25" customHeight="1" x14ac:dyDescent="0.25">
      <c r="A7" s="601" t="s">
        <v>142</v>
      </c>
      <c r="B7" s="601"/>
      <c r="C7" s="601"/>
      <c r="D7" s="601"/>
      <c r="E7" s="601"/>
      <c r="F7" s="601"/>
      <c r="G7" s="601"/>
      <c r="H7" s="85"/>
      <c r="I7" s="88"/>
      <c r="J7" s="91"/>
      <c r="K7" s="87"/>
    </row>
    <row r="8" spans="1:13" s="93" customFormat="1" ht="17.25" customHeight="1" x14ac:dyDescent="0.25">
      <c r="A8" s="585" t="s">
        <v>86</v>
      </c>
      <c r="B8" s="585"/>
      <c r="C8" s="585"/>
      <c r="D8" s="598"/>
      <c r="E8" s="585" t="s">
        <v>87</v>
      </c>
      <c r="F8" s="585"/>
      <c r="G8" s="585"/>
      <c r="H8" s="85"/>
      <c r="I8" s="92"/>
      <c r="K8" s="94"/>
    </row>
    <row r="9" spans="1:13" ht="17.25" customHeight="1" x14ac:dyDescent="0.25">
      <c r="A9" s="224" t="s">
        <v>143</v>
      </c>
      <c r="B9" s="226"/>
      <c r="C9" s="183">
        <f ca="1">C4*Database1!G7</f>
        <v>0</v>
      </c>
      <c r="D9" s="599"/>
      <c r="E9" s="224" t="s">
        <v>49</v>
      </c>
      <c r="F9" s="226"/>
      <c r="G9" s="183">
        <f>Database1!G9</f>
        <v>5680</v>
      </c>
      <c r="H9" s="85"/>
      <c r="I9" s="92"/>
      <c r="J9" s="93"/>
      <c r="K9" s="94"/>
      <c r="L9" s="93"/>
    </row>
    <row r="10" spans="1:13" ht="17.25" customHeight="1" x14ac:dyDescent="0.25">
      <c r="A10" s="224" t="s">
        <v>90</v>
      </c>
      <c r="B10" s="226"/>
      <c r="C10" s="183">
        <f>C5*0.04</f>
        <v>0</v>
      </c>
      <c r="D10" s="599"/>
      <c r="E10" s="224" t="s">
        <v>146</v>
      </c>
      <c r="F10" s="226"/>
      <c r="G10" s="183">
        <f>IF(C6&gt;0,60,0)</f>
        <v>0</v>
      </c>
      <c r="H10" s="85"/>
      <c r="I10" s="92"/>
      <c r="J10" s="93"/>
      <c r="K10" s="94"/>
      <c r="L10" s="93"/>
    </row>
    <row r="11" spans="1:13" ht="17.25" customHeight="1" x14ac:dyDescent="0.25">
      <c r="A11" s="224" t="s">
        <v>146</v>
      </c>
      <c r="B11" s="226"/>
      <c r="C11" s="183">
        <f>IF(C6&gt;0,C6*0.04,0)</f>
        <v>0</v>
      </c>
      <c r="D11" s="599"/>
      <c r="E11" s="224"/>
      <c r="F11" s="226"/>
      <c r="G11" s="183"/>
      <c r="H11" s="85"/>
      <c r="I11" s="92"/>
      <c r="J11" s="93"/>
      <c r="K11" s="94"/>
      <c r="L11" s="93"/>
    </row>
    <row r="12" spans="1:13" ht="17.25" customHeight="1" x14ac:dyDescent="0.25">
      <c r="A12" s="227" t="s">
        <v>95</v>
      </c>
      <c r="B12" s="228"/>
      <c r="C12" s="229">
        <f ca="1">SUM(C9:C11)</f>
        <v>0</v>
      </c>
      <c r="D12" s="599"/>
      <c r="E12" s="227" t="s">
        <v>147</v>
      </c>
      <c r="F12" s="230"/>
      <c r="G12" s="229">
        <f>SUM(G9:G10)</f>
        <v>5680</v>
      </c>
      <c r="H12" s="85"/>
      <c r="I12" s="92"/>
      <c r="J12" s="93"/>
      <c r="K12" s="94"/>
      <c r="L12" s="93"/>
    </row>
    <row r="13" spans="1:13" ht="17.25" customHeight="1" x14ac:dyDescent="0.25">
      <c r="A13" s="224" t="s">
        <v>148</v>
      </c>
      <c r="B13" s="231" t="s">
        <v>91</v>
      </c>
      <c r="C13" s="183">
        <f ca="1">IF(B13="Yes",(C9+C10+C11)*0.15,0)</f>
        <v>0</v>
      </c>
      <c r="D13" s="599"/>
      <c r="E13" s="224" t="s">
        <v>129</v>
      </c>
      <c r="F13" s="182" t="s">
        <v>91</v>
      </c>
      <c r="G13" s="183">
        <f>IF(F13="Yes",50*F14,0)</f>
        <v>50</v>
      </c>
      <c r="H13" s="85"/>
      <c r="I13" s="92"/>
      <c r="J13" s="93"/>
      <c r="K13" s="94"/>
      <c r="L13" s="93"/>
    </row>
    <row r="14" spans="1:13" ht="17.25" customHeight="1" x14ac:dyDescent="0.25">
      <c r="A14" s="178" t="s">
        <v>98</v>
      </c>
      <c r="B14" s="177" t="s">
        <v>37</v>
      </c>
      <c r="C14" s="187">
        <f>C4*A53/10</f>
        <v>0</v>
      </c>
      <c r="D14" s="599"/>
      <c r="E14" s="224" t="s">
        <v>158</v>
      </c>
      <c r="F14" s="182">
        <v>1</v>
      </c>
      <c r="G14" s="183"/>
      <c r="H14" s="85"/>
      <c r="I14" s="92"/>
      <c r="J14" s="93"/>
      <c r="K14" s="94"/>
      <c r="L14" s="93"/>
    </row>
    <row r="15" spans="1:13" ht="17.25" customHeight="1" x14ac:dyDescent="0.25">
      <c r="A15" s="178" t="s">
        <v>150</v>
      </c>
      <c r="B15" s="188">
        <v>0.2</v>
      </c>
      <c r="C15" s="187">
        <f ca="1">(C12)*B15</f>
        <v>0</v>
      </c>
      <c r="D15" s="599"/>
      <c r="E15" s="232" t="s">
        <v>128</v>
      </c>
      <c r="F15" s="182" t="s">
        <v>91</v>
      </c>
      <c r="G15" s="183">
        <f>IF(F15="Yes",100,0)</f>
        <v>100</v>
      </c>
      <c r="H15" s="85"/>
      <c r="I15" s="92"/>
      <c r="J15" s="93"/>
      <c r="K15" s="94"/>
      <c r="L15" s="93"/>
    </row>
    <row r="16" spans="1:13" s="92" customFormat="1" ht="17.25" customHeight="1" x14ac:dyDescent="0.25">
      <c r="A16" s="224" t="s">
        <v>160</v>
      </c>
      <c r="B16" s="182" t="s">
        <v>37</v>
      </c>
      <c r="C16" s="183">
        <f>IF(B16="Yes",C12*0.3,0)</f>
        <v>0</v>
      </c>
      <c r="D16" s="599"/>
      <c r="E16" s="233"/>
      <c r="F16" s="233"/>
      <c r="G16" s="233"/>
      <c r="H16" s="85"/>
      <c r="J16" s="93"/>
      <c r="K16" s="94"/>
      <c r="L16" s="93"/>
    </row>
    <row r="17" spans="1:12" ht="17.25" customHeight="1" x14ac:dyDescent="0.25">
      <c r="A17" s="224" t="s">
        <v>132</v>
      </c>
      <c r="B17" s="182" t="s">
        <v>37</v>
      </c>
      <c r="C17" s="183">
        <f>IF(B17="Yes",50,0)</f>
        <v>0</v>
      </c>
      <c r="D17" s="599"/>
      <c r="E17" s="232"/>
      <c r="F17" s="182"/>
      <c r="G17" s="183"/>
      <c r="H17" s="85"/>
      <c r="I17" s="92"/>
      <c r="J17" s="93"/>
      <c r="K17" s="94"/>
      <c r="L17" s="93"/>
    </row>
    <row r="18" spans="1:12" ht="17.25" customHeight="1" x14ac:dyDescent="0.25">
      <c r="A18" s="603" t="s">
        <v>135</v>
      </c>
      <c r="B18" s="604"/>
      <c r="C18" s="222">
        <f ca="1">SUM(C12:C17)</f>
        <v>0</v>
      </c>
      <c r="D18" s="599"/>
      <c r="E18" s="227" t="s">
        <v>153</v>
      </c>
      <c r="F18" s="230"/>
      <c r="G18" s="222">
        <f>SUM(G12,G13,G15)</f>
        <v>5830</v>
      </c>
      <c r="H18" s="85"/>
      <c r="I18" s="92"/>
      <c r="J18" s="93"/>
      <c r="K18" s="94"/>
      <c r="L18" s="93"/>
    </row>
    <row r="19" spans="1:12" ht="17.25" customHeight="1" x14ac:dyDescent="0.25">
      <c r="A19" s="590" t="s">
        <v>154</v>
      </c>
      <c r="B19" s="590"/>
      <c r="C19" s="183"/>
      <c r="D19" s="599"/>
      <c r="E19" s="224" t="s">
        <v>71</v>
      </c>
      <c r="F19" s="182">
        <v>750000</v>
      </c>
      <c r="G19" s="183">
        <f>IF(F19=750000,0,150)</f>
        <v>0</v>
      </c>
      <c r="H19" s="85"/>
      <c r="I19" s="92"/>
      <c r="J19" s="93"/>
      <c r="K19" s="94"/>
      <c r="L19" s="93"/>
    </row>
    <row r="20" spans="1:12" ht="17.25" customHeight="1" x14ac:dyDescent="0.25">
      <c r="A20" s="224" t="s">
        <v>70</v>
      </c>
      <c r="B20" s="182" t="s">
        <v>37</v>
      </c>
      <c r="C20" s="183">
        <f>IF(B20="Yes",MIN(C18*0.025,500),0)</f>
        <v>0</v>
      </c>
      <c r="D20" s="599"/>
      <c r="E20" s="224"/>
      <c r="F20" s="224"/>
      <c r="G20" s="224"/>
      <c r="H20" s="85"/>
      <c r="I20" s="92"/>
      <c r="J20" s="93"/>
      <c r="K20" s="94"/>
      <c r="L20" s="93"/>
    </row>
    <row r="21" spans="1:12" ht="17.25" customHeight="1" x14ac:dyDescent="0.25">
      <c r="A21" s="224" t="s">
        <v>65</v>
      </c>
      <c r="B21" s="182" t="s">
        <v>37</v>
      </c>
      <c r="C21" s="183">
        <f>IF(B21="Yes",MIN(C18*0.05,200),0)</f>
        <v>0</v>
      </c>
      <c r="D21" s="599"/>
      <c r="E21" s="224"/>
      <c r="F21" s="226"/>
      <c r="G21" s="183"/>
      <c r="H21" s="85"/>
      <c r="I21" s="92"/>
      <c r="J21" s="93"/>
      <c r="K21" s="94"/>
      <c r="L21" s="93"/>
    </row>
    <row r="22" spans="1:12" ht="17.25" customHeight="1" x14ac:dyDescent="0.25">
      <c r="A22" s="224" t="s">
        <v>137</v>
      </c>
      <c r="B22" s="182" t="s">
        <v>37</v>
      </c>
      <c r="C22" s="183">
        <f>IF(B22="Yes",C18*(1/3),0)</f>
        <v>0</v>
      </c>
      <c r="D22" s="599"/>
      <c r="E22" s="224"/>
      <c r="F22" s="226"/>
      <c r="G22" s="183"/>
      <c r="H22" s="85"/>
      <c r="I22" s="92"/>
      <c r="J22" s="93"/>
      <c r="K22" s="94"/>
      <c r="L22" s="93"/>
    </row>
    <row r="23" spans="1:12" ht="17.25" customHeight="1" x14ac:dyDescent="0.25">
      <c r="A23" s="227" t="s">
        <v>155</v>
      </c>
      <c r="B23" s="228"/>
      <c r="C23" s="229">
        <f ca="1">C18-SUM(C20:C22)</f>
        <v>0</v>
      </c>
      <c r="D23" s="599"/>
      <c r="E23" s="234"/>
      <c r="F23" s="228"/>
      <c r="G23" s="229"/>
      <c r="H23" s="85"/>
      <c r="I23" s="92"/>
      <c r="J23" s="93"/>
      <c r="K23" s="94"/>
      <c r="L23" s="93"/>
    </row>
    <row r="24" spans="1:12" s="92" customFormat="1" ht="17.25" customHeight="1" x14ac:dyDescent="0.25">
      <c r="A24" s="224" t="s">
        <v>76</v>
      </c>
      <c r="B24" s="235">
        <v>0.25</v>
      </c>
      <c r="C24" s="183">
        <f ca="1">(C12+C13+C15-C25-C26)*B24</f>
        <v>0</v>
      </c>
      <c r="D24" s="599"/>
      <c r="E24" s="233"/>
      <c r="F24" s="226"/>
      <c r="G24" s="183"/>
      <c r="H24" s="85"/>
      <c r="J24" s="93"/>
      <c r="K24" s="94"/>
      <c r="L24" s="93"/>
    </row>
    <row r="25" spans="1:12" ht="17.25" customHeight="1" x14ac:dyDescent="0.25">
      <c r="A25" s="178" t="s">
        <v>111</v>
      </c>
      <c r="B25" s="236">
        <v>0.5</v>
      </c>
      <c r="C25" s="183">
        <f ca="1">(C12+C13)*B25</f>
        <v>0</v>
      </c>
      <c r="D25" s="599"/>
      <c r="E25" s="224"/>
      <c r="F25" s="226"/>
      <c r="G25" s="183"/>
      <c r="H25" s="85"/>
    </row>
    <row r="26" spans="1:12" ht="17.25" customHeight="1" x14ac:dyDescent="0.25">
      <c r="A26" s="178" t="s">
        <v>214</v>
      </c>
      <c r="B26" s="188">
        <v>0.5</v>
      </c>
      <c r="C26" s="196">
        <f ca="1">C15*B26</f>
        <v>0</v>
      </c>
      <c r="D26" s="599"/>
      <c r="E26" s="224"/>
      <c r="F26" s="226"/>
      <c r="G26" s="183"/>
      <c r="H26" s="85"/>
    </row>
    <row r="27" spans="1:12" s="97" customFormat="1" ht="17.25" customHeight="1" x14ac:dyDescent="0.25">
      <c r="A27" s="585" t="s">
        <v>112</v>
      </c>
      <c r="B27" s="585"/>
      <c r="C27" s="221">
        <f ca="1">C23-(C24+C25+C26)</f>
        <v>0</v>
      </c>
      <c r="D27" s="600"/>
      <c r="E27" s="585" t="s">
        <v>113</v>
      </c>
      <c r="F27" s="585"/>
      <c r="G27" s="222">
        <f>G18-G19+G25</f>
        <v>5830</v>
      </c>
      <c r="H27" s="85"/>
      <c r="I27" s="88"/>
      <c r="J27" s="92"/>
      <c r="K27" s="85"/>
      <c r="L27" s="92"/>
    </row>
    <row r="28" spans="1:12" s="97" customFormat="1" ht="17.25" customHeight="1" x14ac:dyDescent="0.25">
      <c r="A28" s="98"/>
      <c r="B28" s="99"/>
      <c r="C28" s="98"/>
      <c r="D28" s="88"/>
      <c r="E28" s="100"/>
      <c r="F28" s="98"/>
      <c r="G28" s="101"/>
      <c r="H28" s="85"/>
      <c r="I28" s="88"/>
      <c r="J28" s="88"/>
      <c r="K28" s="90"/>
      <c r="L28" s="88"/>
    </row>
    <row r="29" spans="1:12" s="97" customFormat="1" ht="17.25" customHeight="1" x14ac:dyDescent="0.25">
      <c r="A29" s="539" t="s">
        <v>219</v>
      </c>
      <c r="B29" s="591" t="s">
        <v>116</v>
      </c>
      <c r="C29" s="591"/>
      <c r="D29" s="591"/>
      <c r="E29" s="237" t="s">
        <v>114</v>
      </c>
      <c r="F29" s="238" t="s">
        <v>115</v>
      </c>
      <c r="G29" s="239" t="s">
        <v>38</v>
      </c>
      <c r="H29" s="85"/>
      <c r="K29" s="104"/>
    </row>
    <row r="30" spans="1:12" s="107" customFormat="1" ht="17.25" customHeight="1" x14ac:dyDescent="0.25">
      <c r="A30" s="539"/>
      <c r="B30" s="591"/>
      <c r="C30" s="591"/>
      <c r="D30" s="591"/>
      <c r="E30" s="240">
        <f ca="1">C27</f>
        <v>0</v>
      </c>
      <c r="F30" s="183">
        <f>G27</f>
        <v>5830</v>
      </c>
      <c r="G30" s="241">
        <f ca="1">E30+F30</f>
        <v>5830</v>
      </c>
      <c r="H30" s="85"/>
      <c r="I30" s="97"/>
      <c r="J30" s="97"/>
      <c r="K30" s="104"/>
      <c r="L30" s="97"/>
    </row>
    <row r="31" spans="1:12" ht="17.25" customHeight="1" x14ac:dyDescent="0.25">
      <c r="A31" s="539"/>
      <c r="B31" s="569" t="s">
        <v>227</v>
      </c>
      <c r="C31" s="570"/>
      <c r="D31" s="570"/>
      <c r="E31" s="242">
        <f ca="1">E30*HyperLink!B21</f>
        <v>0</v>
      </c>
      <c r="F31" s="242">
        <f>F30*HyperLink!B21</f>
        <v>1049.3999999999999</v>
      </c>
      <c r="G31" s="242">
        <f ca="1">G30*HyperLink!B21</f>
        <v>1049.3999999999999</v>
      </c>
      <c r="H31" s="85"/>
      <c r="I31" s="97"/>
      <c r="J31" s="97"/>
      <c r="K31" s="104"/>
      <c r="L31" s="97"/>
    </row>
    <row r="32" spans="1:12" ht="17.25" customHeight="1" x14ac:dyDescent="0.25">
      <c r="A32" s="539"/>
      <c r="B32" s="589" t="s">
        <v>156</v>
      </c>
      <c r="C32" s="589"/>
      <c r="D32" s="589"/>
      <c r="E32" s="243">
        <f ca="1">SUM(E30:E31)</f>
        <v>0</v>
      </c>
      <c r="F32" s="243">
        <f>SUM(F30:F31)</f>
        <v>6879.4</v>
      </c>
      <c r="G32" s="244">
        <f ca="1">SUM(G30:G31)</f>
        <v>6879.4</v>
      </c>
      <c r="H32" s="85"/>
      <c r="I32" s="111"/>
      <c r="J32" s="107"/>
      <c r="K32" s="112"/>
      <c r="L32" s="107"/>
    </row>
    <row r="33" spans="7:8" ht="15.75" customHeight="1" x14ac:dyDescent="0.25">
      <c r="G33" s="113"/>
      <c r="H33" s="85"/>
    </row>
    <row r="34" spans="7:8" ht="15.75" customHeight="1" x14ac:dyDescent="0.25">
      <c r="H34" s="85"/>
    </row>
    <row r="35" spans="7:8" ht="15.75" customHeight="1" x14ac:dyDescent="0.25">
      <c r="H35" s="85"/>
    </row>
    <row r="36" spans="7:8" ht="15.75" customHeight="1" x14ac:dyDescent="0.25">
      <c r="H36" s="85"/>
    </row>
    <row r="37" spans="7:8" ht="15.75" customHeight="1" x14ac:dyDescent="0.25">
      <c r="H37" s="85"/>
    </row>
    <row r="38" spans="7:8" ht="15.75" customHeight="1" x14ac:dyDescent="0.25">
      <c r="H38" s="85"/>
    </row>
    <row r="51" spans="1:2" ht="15.75" hidden="1" customHeight="1" x14ac:dyDescent="0.2"/>
    <row r="52" spans="1:2" ht="15.75" hidden="1" customHeight="1" x14ac:dyDescent="0.2">
      <c r="A52" s="114" t="s">
        <v>57</v>
      </c>
      <c r="B52" s="114" t="s">
        <v>122</v>
      </c>
    </row>
    <row r="53" spans="1:2" ht="15.75" hidden="1" customHeight="1" x14ac:dyDescent="0.2">
      <c r="A53" s="115" t="b">
        <f>IF(B14="Yes",IF(B53=0,4.5%,IF(B53=1,5.5%,IF(B53=2,7%,0))))</f>
        <v>0</v>
      </c>
      <c r="B53" s="116">
        <f ca="1">YEAR(TODAY())-(G4)</f>
        <v>3</v>
      </c>
    </row>
  </sheetData>
  <sheetProtection password="CEED" sheet="1"/>
  <mergeCells count="24">
    <mergeCell ref="A1:G1"/>
    <mergeCell ref="A2:G2"/>
    <mergeCell ref="B30:D30"/>
    <mergeCell ref="D8:D27"/>
    <mergeCell ref="A7:G7"/>
    <mergeCell ref="A8:C8"/>
    <mergeCell ref="E8:G8"/>
    <mergeCell ref="A5:B5"/>
    <mergeCell ref="E5:F5"/>
    <mergeCell ref="A6:B6"/>
    <mergeCell ref="E6:F6"/>
    <mergeCell ref="A18:B18"/>
    <mergeCell ref="J2:K3"/>
    <mergeCell ref="A3:G3"/>
    <mergeCell ref="A4:B4"/>
    <mergeCell ref="E4:F4"/>
    <mergeCell ref="D4:D6"/>
    <mergeCell ref="B32:D32"/>
    <mergeCell ref="A19:B19"/>
    <mergeCell ref="A27:B27"/>
    <mergeCell ref="E27:F27"/>
    <mergeCell ref="B29:D29"/>
    <mergeCell ref="B31:D31"/>
    <mergeCell ref="A29:A32"/>
  </mergeCells>
  <dataValidations count="6">
    <dataValidation type="list" allowBlank="1" showErrorMessage="1" sqref="F19">
      <formula1>"750000,6000"</formula1>
      <formula2>0</formula2>
    </dataValidation>
    <dataValidation type="list" allowBlank="1" showErrorMessage="1" sqref="B11 B13:B14 F13 F15 B16:B17 F17 B20:B22">
      <formula1>"Yes,No"</formula1>
      <formula2>0</formula2>
    </dataValidation>
    <dataValidation type="list" allowBlank="1" showErrorMessage="1" sqref="B24">
      <formula1>"0%,20%,25%,35%,45%,50%,55%,65%"</formula1>
      <formula2>0</formula2>
    </dataValidation>
    <dataValidation type="list" allowBlank="1" showErrorMessage="1" sqref="G6">
      <formula1>"A,B,C"</formula1>
      <formula2>0</formula2>
    </dataValidation>
    <dataValidation allowBlank="1" showErrorMessage="1" sqref="B26">
      <formula1>0</formula1>
      <formula2>0</formula2>
    </dataValidation>
    <dataValidation type="list" allowBlank="1" showErrorMessage="1" sqref="B15">
      <formula1>"0%,20%,25%,40%"</formula1>
    </dataValidation>
  </dataValidations>
  <hyperlinks>
    <hyperlink ref="J2" location="HyperLink!A1" display="BACK TO HYPERLINK"/>
  </hyperlinks>
  <pageMargins left="0.55000000000000004" right="0.25972222222222224" top="0.98402777777777772" bottom="0.98402777777777772" header="0.51180555555555551" footer="0.51180555555555551"/>
  <pageSetup paperSize="9"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23</vt:i4>
      </vt:variant>
      <vt:variant>
        <vt:lpstr>Named Ranges</vt:lpstr>
      </vt:variant>
      <vt:variant>
        <vt:i4>9</vt:i4>
      </vt:variant>
    </vt:vector>
  </HeadingPairs>
  <TitlesOfParts>
    <vt:vector size="32" baseType="lpstr">
      <vt:lpstr>HyperLink</vt:lpstr>
      <vt:lpstr>NCB</vt:lpstr>
      <vt:lpstr>2 Wheeler</vt:lpstr>
      <vt:lpstr>MCCAL</vt:lpstr>
      <vt:lpstr>MCT</vt:lpstr>
      <vt:lpstr>Pvt.Car</vt:lpstr>
      <vt:lpstr>GCCV_Public</vt:lpstr>
      <vt:lpstr>GCCV_Private</vt:lpstr>
      <vt:lpstr>GCCV 3W Public</vt:lpstr>
      <vt:lpstr>GCCV 3W Private</vt:lpstr>
      <vt:lpstr>PCCV 3W up to 6 P</vt:lpstr>
      <vt:lpstr>PCCV 4W Up To 6 P</vt:lpstr>
      <vt:lpstr>PCCV 3W 7 TO 18 P</vt:lpstr>
      <vt:lpstr>PCCV Maxi &amp; Bus</vt:lpstr>
      <vt:lpstr>Misc  Class D</vt:lpstr>
      <vt:lpstr>PCCVT</vt:lpstr>
      <vt:lpstr>CART</vt:lpstr>
      <vt:lpstr>PCCVCAL</vt:lpstr>
      <vt:lpstr>CARCAL</vt:lpstr>
      <vt:lpstr>Database</vt:lpstr>
      <vt:lpstr>Database1</vt:lpstr>
      <vt:lpstr>Database2</vt:lpstr>
      <vt:lpstr>Database 2</vt:lpstr>
      <vt:lpstr>'2 Wheeler'!Print_Area</vt:lpstr>
      <vt:lpstr>'GCCV 3W Private'!Print_Area</vt:lpstr>
      <vt:lpstr>'GCCV 3W Public'!Print_Area</vt:lpstr>
      <vt:lpstr>GCCV_Private!Print_Area</vt:lpstr>
      <vt:lpstr>GCCV_Public!Print_Area</vt:lpstr>
      <vt:lpstr>'Misc  Class D'!Print_Area</vt:lpstr>
      <vt:lpstr>'PCCV 3W up to 6 P'!Print_Area</vt:lpstr>
      <vt:lpstr>'PCCV Maxi &amp; Bus'!Print_Area</vt:lpstr>
      <vt:lpstr>Pvt.Car!Print_Area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jmp2599</dc:creator>
  <cp:lastModifiedBy>MADHES-PC</cp:lastModifiedBy>
  <cp:lastPrinted>2017-06-13T10:38:02Z</cp:lastPrinted>
  <dcterms:created xsi:type="dcterms:W3CDTF">2016-12-19T15:36:28Z</dcterms:created>
  <dcterms:modified xsi:type="dcterms:W3CDTF">2017-10-02T07:13:48Z</dcterms:modified>
</cp:coreProperties>
</file>