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8800" windowHeight="14175"/>
  </bookViews>
  <sheets>
    <sheet name="Excel formulas" sheetId="1" r:id="rId1"/>
    <sheet name="Trend line model--RegressIt" sheetId="5" r:id="rId2"/>
    <sheet name="Model Summaries" sheetId="13" r:id="rId3"/>
  </sheets>
  <definedNames>
    <definedName name="___autoF" localSheetId="1" hidden="1">1</definedName>
    <definedName name="___rsumm___Y" localSheetId="2" hidden="1">'Model Summaries'!$A$3</definedName>
    <definedName name="__nSelect_" hidden="1">0</definedName>
    <definedName name="ActiveRegModel" hidden="1">"Trend line model"</definedName>
    <definedName name="Adjusted_R_squared">'Excel formulas'!$F$10</definedName>
    <definedName name="Confidence_level">'Excel formulas'!$F$21</definedName>
    <definedName name="Correlation_of_Y_and_X">'Excel formulas'!$F$8</definedName>
    <definedName name="Critical_t_value_95_percent">'Excel formulas'!$F$22</definedName>
    <definedName name="FirstForecastRow" localSheetId="1" hidden="1">52</definedName>
    <definedName name="Forecast_at_x">'Excel formulas'!$F$25</definedName>
    <definedName name="INTERCEPT">'Excel formulas'!$F$17</definedName>
    <definedName name="Mean_of_X">'Excel formulas'!$F$5</definedName>
    <definedName name="Mean_of_Y">'Excel formulas'!$F$3</definedName>
    <definedName name="n">'Excel formulas'!$F$2</definedName>
    <definedName name="nRegMod" hidden="1">1</definedName>
    <definedName name="OKtoForecast" hidden="1">1</definedName>
    <definedName name="_xlnm.Print_Area" localSheetId="1">'Trend line model--RegressIt'!$A$1:$J$210</definedName>
    <definedName name="R_squared">'Excel formulas'!$F$9</definedName>
    <definedName name="SLOPE">'Excel formulas'!$F$13</definedName>
    <definedName name="Std_Dev_of_X">'Excel formulas'!$F$6</definedName>
    <definedName name="Std_Dev_of_Y">'Excel formulas'!$F$4</definedName>
    <definedName name="Std_error_of_forecast_at_x">'Excel formulas'!$F$31</definedName>
    <definedName name="Std_error_of_INTERCEPT">'Excel formulas'!$F$18</definedName>
    <definedName name="Std_error_of_mean_at_x">'Excel formulas'!$F$27</definedName>
    <definedName name="Std_error_of_regression">'Excel formulas'!$F$11</definedName>
    <definedName name="Std_error_of_SLOPE">'Excel formulas'!$F$14</definedName>
    <definedName name="t_stat_of_SLOPE">'Excel formulas'!$F$15</definedName>
    <definedName name="X">'Excel formulas'!$A$2:$A$21</definedName>
    <definedName name="x_">'Excel formulas'!$F$24</definedName>
    <definedName name="Y">'Excel formulas'!$B$2:$B$21</definedName>
  </definedNames>
  <calcPr calcId="145621"/>
</workbook>
</file>

<file path=xl/calcChain.xml><?xml version="1.0" encoding="utf-8"?>
<calcChain xmlns="http://schemas.openxmlformats.org/spreadsheetml/2006/main">
  <c r="F55" i="5" l="1"/>
  <c r="C55" i="5" s="1"/>
  <c r="CG55" i="5" s="1"/>
  <c r="F53" i="5"/>
  <c r="C53" i="5" s="1"/>
  <c r="CG53" i="5" s="1"/>
  <c r="D207" i="5"/>
  <c r="E207" i="5" s="1"/>
  <c r="D191" i="5"/>
  <c r="E191" i="5" s="1"/>
  <c r="D203" i="5"/>
  <c r="E203" i="5"/>
  <c r="D193" i="5"/>
  <c r="E193" i="5" s="1"/>
  <c r="D195" i="5"/>
  <c r="E195" i="5" s="1"/>
  <c r="D201" i="5"/>
  <c r="E201" i="5" s="1"/>
  <c r="D202" i="5"/>
  <c r="E202" i="5" s="1"/>
  <c r="D209" i="5"/>
  <c r="E209" i="5" s="1"/>
  <c r="D190" i="5"/>
  <c r="E190" i="5" s="1"/>
  <c r="D197" i="5"/>
  <c r="E197" i="5" s="1"/>
  <c r="D198" i="5"/>
  <c r="E198" i="5"/>
  <c r="D205" i="5"/>
  <c r="E205" i="5" s="1"/>
  <c r="D196" i="5"/>
  <c r="E196" i="5" s="1"/>
  <c r="D192" i="5"/>
  <c r="E192" i="5" s="1"/>
  <c r="D208" i="5"/>
  <c r="E208" i="5"/>
  <c r="D200" i="5"/>
  <c r="E200" i="5" s="1"/>
  <c r="D194" i="5"/>
  <c r="E194" i="5" s="1"/>
  <c r="D206" i="5"/>
  <c r="E206" i="5" s="1"/>
  <c r="D204" i="5"/>
  <c r="E204" i="5"/>
  <c r="D199" i="5"/>
  <c r="E199" i="5" s="1"/>
  <c r="AA3" i="5"/>
  <c r="AA2" i="5"/>
  <c r="H51" i="5"/>
  <c r="G51" i="5"/>
  <c r="E51" i="5"/>
  <c r="D51" i="5"/>
  <c r="E30" i="5"/>
  <c r="E29" i="5"/>
  <c r="E28" i="5"/>
  <c r="E27" i="5"/>
  <c r="E26" i="5"/>
  <c r="G25" i="5"/>
  <c r="F25" i="5"/>
  <c r="B10" i="5"/>
  <c r="D20" i="5"/>
  <c r="D10" i="5" s="1"/>
  <c r="C28" i="5" s="1"/>
  <c r="C19" i="5"/>
  <c r="D19" i="5" s="1"/>
  <c r="B21" i="5"/>
  <c r="C10" i="5" s="1"/>
  <c r="D15" i="5"/>
  <c r="E15" i="5" s="1"/>
  <c r="F15" i="5"/>
  <c r="G15" i="5"/>
  <c r="D14" i="5"/>
  <c r="E14" i="5" s="1"/>
  <c r="G14" i="5"/>
  <c r="F14" i="5"/>
  <c r="G13" i="5"/>
  <c r="F13" i="5"/>
  <c r="G10" i="5"/>
  <c r="G9" i="5"/>
  <c r="H53" i="5" l="1"/>
  <c r="H55" i="5"/>
  <c r="D55" i="5"/>
  <c r="G53" i="5"/>
  <c r="G55" i="5"/>
  <c r="F52" i="5"/>
  <c r="C52" i="5" s="1"/>
  <c r="CG52" i="5" s="1"/>
  <c r="F54" i="5"/>
  <c r="C54" i="5" s="1"/>
  <c r="CG54" i="5" s="1"/>
  <c r="F56" i="5"/>
  <c r="C56" i="5" s="1"/>
  <c r="CG56" i="5" s="1"/>
  <c r="E53" i="5"/>
  <c r="E55" i="5"/>
  <c r="E52" i="5"/>
  <c r="D53" i="5"/>
  <c r="H52" i="5"/>
  <c r="H54" i="5"/>
  <c r="E19" i="5"/>
  <c r="F19" i="5" s="1"/>
  <c r="D28" i="5"/>
  <c r="G28" i="5" s="1"/>
  <c r="C29" i="5"/>
  <c r="D29" i="5" s="1"/>
  <c r="G29" i="5" s="1"/>
  <c r="C26" i="5"/>
  <c r="D26" i="5" s="1"/>
  <c r="C30" i="5"/>
  <c r="D30" i="5" s="1"/>
  <c r="G30" i="5" s="1"/>
  <c r="C27" i="5"/>
  <c r="D27" i="5" s="1"/>
  <c r="F27" i="5" s="1"/>
  <c r="G27" i="5"/>
  <c r="F8" i="1"/>
  <c r="F9" i="1" s="1"/>
  <c r="F6" i="1"/>
  <c r="F5" i="1"/>
  <c r="F4" i="1"/>
  <c r="F3" i="1"/>
  <c r="F2" i="1"/>
  <c r="D56" i="5" l="1"/>
  <c r="D54" i="5"/>
  <c r="G56" i="5"/>
  <c r="E56" i="5"/>
  <c r="G54" i="5"/>
  <c r="G52" i="5"/>
  <c r="D52" i="5"/>
  <c r="E54" i="5"/>
  <c r="H56" i="5"/>
  <c r="G26" i="5"/>
  <c r="F26" i="5"/>
  <c r="F30" i="5"/>
  <c r="F29" i="5"/>
  <c r="F28" i="5"/>
  <c r="F10" i="1"/>
  <c r="F11" i="1" s="1"/>
  <c r="F18" i="1" s="1"/>
  <c r="F22" i="1"/>
  <c r="F13" i="1"/>
  <c r="F17" i="1" s="1"/>
  <c r="C3" i="1" l="1"/>
  <c r="D3" i="1" s="1"/>
  <c r="C7" i="1"/>
  <c r="D7" i="1" s="1"/>
  <c r="C11" i="1"/>
  <c r="D11" i="1" s="1"/>
  <c r="C15" i="1"/>
  <c r="D15" i="1" s="1"/>
  <c r="C19" i="1"/>
  <c r="D19" i="1" s="1"/>
  <c r="C4" i="1"/>
  <c r="D4" i="1" s="1"/>
  <c r="C8" i="1"/>
  <c r="D8" i="1" s="1"/>
  <c r="C12" i="1"/>
  <c r="D12" i="1" s="1"/>
  <c r="C16" i="1"/>
  <c r="D16" i="1" s="1"/>
  <c r="C20" i="1"/>
  <c r="D20" i="1" s="1"/>
  <c r="C5" i="1"/>
  <c r="D5" i="1" s="1"/>
  <c r="C9" i="1"/>
  <c r="D9" i="1" s="1"/>
  <c r="C13" i="1"/>
  <c r="D13" i="1" s="1"/>
  <c r="C17" i="1"/>
  <c r="D17" i="1" s="1"/>
  <c r="C21" i="1"/>
  <c r="D21" i="1" s="1"/>
  <c r="C6" i="1"/>
  <c r="D6" i="1" s="1"/>
  <c r="C10" i="1"/>
  <c r="D10" i="1" s="1"/>
  <c r="C14" i="1"/>
  <c r="D14" i="1" s="1"/>
  <c r="C18" i="1"/>
  <c r="D18" i="1" s="1"/>
  <c r="C2" i="1"/>
  <c r="D2" i="1" s="1"/>
  <c r="F25" i="1"/>
  <c r="F27" i="1"/>
  <c r="F31" i="1" s="1"/>
  <c r="F19" i="1"/>
  <c r="F14" i="1"/>
  <c r="F15" i="1" s="1"/>
  <c r="F16" i="1" s="1"/>
  <c r="F33" i="1" l="1"/>
  <c r="F28" i="1"/>
  <c r="F32" i="1"/>
  <c r="F29" i="1"/>
</calcChain>
</file>

<file path=xl/comments1.xml><?xml version="1.0" encoding="utf-8"?>
<comments xmlns="http://schemas.openxmlformats.org/spreadsheetml/2006/main">
  <authors>
    <author>Bob Nau</author>
  </authors>
  <commentList>
    <comment ref="B5" authorId="0">
      <text>
        <r>
          <rPr>
            <sz val="9"/>
            <color indexed="81"/>
            <rFont val="Tahoma"/>
            <family val="2"/>
          </rPr>
          <t>00h:00m:02s</t>
        </r>
      </text>
    </comment>
  </commentList>
</comments>
</file>

<file path=xl/sharedStrings.xml><?xml version="1.0" encoding="utf-8"?>
<sst xmlns="http://schemas.openxmlformats.org/spreadsheetml/2006/main" count="148" uniqueCount="133">
  <si>
    <t>X</t>
  </si>
  <si>
    <t>Y</t>
  </si>
  <si>
    <t>n</t>
  </si>
  <si>
    <t xml:space="preserve"> = COUNT(Y)</t>
  </si>
  <si>
    <t>Mean of Y</t>
  </si>
  <si>
    <t xml:space="preserve"> = AVERAGE(Y)</t>
  </si>
  <si>
    <t>Sample standard deviation of Y</t>
  </si>
  <si>
    <t xml:space="preserve"> = STDEV.S(Y)</t>
  </si>
  <si>
    <t>Mean of X</t>
  </si>
  <si>
    <t xml:space="preserve"> = AVERAGE(X)</t>
  </si>
  <si>
    <t>Sample standard deviation of X</t>
  </si>
  <si>
    <t xml:space="preserve"> = STDEV.S(X)</t>
  </si>
  <si>
    <t>Correlation of Y and X</t>
  </si>
  <si>
    <t xml:space="preserve"> = CORREL(Y,X)</t>
  </si>
  <si>
    <t>R-squared</t>
  </si>
  <si>
    <t xml:space="preserve"> = (Correlation_of_Y_and_X)^2</t>
  </si>
  <si>
    <t>Adjusted R-squared</t>
  </si>
  <si>
    <t xml:space="preserve"> = 1 - ((n - 1)/(n - 2)) * (1 - R_squared)</t>
  </si>
  <si>
    <t>Standard error of regression</t>
  </si>
  <si>
    <t xml:space="preserve"> = SQRT(1 - Adjusted_R_squared) * Std_Dev_of_Y</t>
  </si>
  <si>
    <t>SLOPE</t>
  </si>
  <si>
    <t xml:space="preserve"> = Correlation_of_Y_and_X * (Std_Dev_of_Y/Std_Dev_of_X)</t>
  </si>
  <si>
    <t>Standard error of SLOPE</t>
  </si>
  <si>
    <t xml:space="preserve"> = (Std_error_of_regression/SQRT(n)) * (1/STDEV.P(X))</t>
  </si>
  <si>
    <t xml:space="preserve">t-stat of SLOPE  </t>
  </si>
  <si>
    <t xml:space="preserve"> = SLOPE/Std_error_of_SLOPE</t>
  </si>
  <si>
    <t>p-value of SLOPE</t>
  </si>
  <si>
    <t>= T.DIST.2T(ABS(t-stat of slope),n - 2)</t>
  </si>
  <si>
    <t>INTERCEPT</t>
  </si>
  <si>
    <t xml:space="preserve"> = (Mean_of_Y) - (SLOPE * Mean_of_X)</t>
  </si>
  <si>
    <t>Standard error of INTERCEPT</t>
  </si>
  <si>
    <t xml:space="preserve">t-stat of INTERCEPT </t>
  </si>
  <si>
    <t xml:space="preserve"> = INTERCEPT/Std_error_of_INTERCEPT</t>
  </si>
  <si>
    <t>Confidence level</t>
  </si>
  <si>
    <t>Critical t value</t>
  </si>
  <si>
    <t xml:space="preserve"> = T.INV.2T(1 - Confidence_level,n - 2)</t>
  </si>
  <si>
    <t>x</t>
  </si>
  <si>
    <t>Forecast at x</t>
  </si>
  <si>
    <t>Standard error of mean at x</t>
  </si>
  <si>
    <t xml:space="preserve"> = (Std_error_of_regression/SQRT(n)) * SQRT(1 + ((x - Mean_of_X)^2)/VAR.P(X))</t>
  </si>
  <si>
    <t>Lower 95% conf limit for mean</t>
  </si>
  <si>
    <t xml:space="preserve"> = Forecast_at_x  -  (Critical_t_value * Std_error_of_mean_at_x)</t>
  </si>
  <si>
    <t>Upper 95% conf limit for mean</t>
  </si>
  <si>
    <t xml:space="preserve"> = Forecast_at_x +  (Critical_t_value * Std_error_of_mean_at_x)</t>
  </si>
  <si>
    <t>Standard error of forecast at x</t>
  </si>
  <si>
    <t xml:space="preserve"> = SQRT(Std_error_of_regression^2 + Std_error_of_mean_at_x^2)</t>
  </si>
  <si>
    <t>Lower 95% conf limit for forecast</t>
  </si>
  <si>
    <t xml:space="preserve"> = Forecast_at_x  -  (Critical_t_value * Std_error_of_forecast_at_x)</t>
  </si>
  <si>
    <t>Upper 95% conf limit for forecast</t>
  </si>
  <si>
    <t xml:space="preserve"> = Forecast_at_x  +  (Critical_t_value * Std_error_of_forecast_at_x)</t>
  </si>
  <si>
    <t>Predictions</t>
  </si>
  <si>
    <t>Residuals</t>
  </si>
  <si>
    <t>Model:</t>
  </si>
  <si>
    <t>Trend line model</t>
  </si>
  <si>
    <t>August 25, 2014  4:00 PM  RegressIt 2.0  Trend line model</t>
  </si>
  <si>
    <t>Dependent Variable:</t>
  </si>
  <si>
    <t>Independent Variables:</t>
  </si>
  <si>
    <t>Equation:</t>
  </si>
  <si>
    <t>Predicted Y = 109.168 + 3.232*X</t>
  </si>
  <si>
    <t>Regression Statistics:    Trend line model for Y    (1 variable, n=20)</t>
  </si>
  <si>
    <t>R-Squared</t>
  </si>
  <si>
    <t>Adj.RSqr</t>
  </si>
  <si>
    <t>Std.Err.Reg.</t>
  </si>
  <si>
    <t># Cases</t>
  </si>
  <si>
    <t># Missing</t>
  </si>
  <si>
    <t>Conf. level</t>
  </si>
  <si>
    <t>Summary Table:    Trend line model for Y    (1 variable, n=20)</t>
  </si>
  <si>
    <t>Variable</t>
  </si>
  <si>
    <t>Coefficient</t>
  </si>
  <si>
    <t>Std.Err.</t>
  </si>
  <si>
    <t>t-Stat.</t>
  </si>
  <si>
    <t>P-value</t>
  </si>
  <si>
    <t>Intercept</t>
  </si>
  <si>
    <t>Analysis of Variance:    Trend line model for Y    (1 variable, n=20)</t>
  </si>
  <si>
    <t>Source</t>
  </si>
  <si>
    <t>Regression</t>
  </si>
  <si>
    <t>Residual</t>
  </si>
  <si>
    <t>Total</t>
  </si>
  <si>
    <t>df</t>
  </si>
  <si>
    <t>Sum Sqrs</t>
  </si>
  <si>
    <t>Mean Sqr</t>
  </si>
  <si>
    <t>F</t>
  </si>
  <si>
    <t>Line Fit Plot</t>
  </si>
  <si>
    <t>StdErrMean</t>
  </si>
  <si>
    <t>StdErrFcst</t>
  </si>
  <si>
    <t>Predicted</t>
  </si>
  <si>
    <t>Residual Distribution Statistics:    Trend line model for Y    (1 variable, n=20)</t>
  </si>
  <si>
    <t>#Res.&gt;0</t>
  </si>
  <si>
    <t>#Res.&lt;=0</t>
  </si>
  <si>
    <t>A-D* Stat.</t>
  </si>
  <si>
    <t>See the residual histogram, normal quantile plot and residual table for more details of the error distribution.</t>
  </si>
  <si>
    <t>MinStdRes</t>
  </si>
  <si>
    <t>MaxStdRes</t>
  </si>
  <si>
    <t>Forecasts:  Trend line model for Y    (1 variable, n=20)</t>
  </si>
  <si>
    <t>Obs#</t>
  </si>
  <si>
    <t>Forecast</t>
  </si>
  <si>
    <t>StErrFcst</t>
  </si>
  <si>
    <t>StErrMean</t>
  </si>
  <si>
    <t xml:space="preserve">           X</t>
  </si>
  <si>
    <t>Actual and predicted vs. Obs#</t>
  </si>
  <si>
    <t>Residual -vs- Obs #</t>
  </si>
  <si>
    <t>Residual vs. Predicted</t>
  </si>
  <si>
    <t>Histogram of Residuals</t>
  </si>
  <si>
    <t>Normal Quantile Plot</t>
  </si>
  <si>
    <t>Residuals sorted from largest to smallest by absolute value: Trend line model for Y    (1 variable, n=20)</t>
  </si>
  <si>
    <t>Actual</t>
  </si>
  <si>
    <t>Std.Res.</t>
  </si>
  <si>
    <t>Summary of Regression Model Results</t>
  </si>
  <si>
    <t>Dependent Variable: Y</t>
  </si>
  <si>
    <t>Model</t>
  </si>
  <si>
    <t>Run Time</t>
  </si>
  <si>
    <t>Regression Statistics</t>
  </si>
  <si>
    <t>Standard Error of Regression</t>
  </si>
  <si>
    <t>Regression Coefficients: Beta (p-value)</t>
  </si>
  <si>
    <t>109.168  (0.000)</t>
  </si>
  <si>
    <t>3.232  (0.000)</t>
  </si>
  <si>
    <t>&lt;-- Confidence level for two-sided interval (can be adjusted)</t>
  </si>
  <si>
    <t>&lt;-- Value of X for which to compute a forecast (next value of time index, or anything you want)</t>
  </si>
  <si>
    <t>Scroll down to see the rest of the regression output and the residual table</t>
  </si>
  <si>
    <t xml:space="preserve">      Formulas for a simple regression model to predict Y from X, including a forecast and its confidence limits:   </t>
  </si>
  <si>
    <t>Chart produced with Excel's chart wizard (scatterplot with trend line):</t>
  </si>
  <si>
    <t>Named ranges used in formulas:</t>
  </si>
  <si>
    <t>&lt;--Confidence level can be adjusted after fitting model</t>
  </si>
  <si>
    <t>Chart produced from model predictions computed in column C:</t>
  </si>
  <si>
    <t>&lt;--Values of X for which to compute forecasts can be entered after fitting the model or by inclusion in additional rows of the data set.</t>
  </si>
  <si>
    <t xml:space="preserve"> = INTERCEPT + x * SLOPE</t>
  </si>
  <si>
    <t>You can change the X and Y values and</t>
  </si>
  <si>
    <t>the calculations and charts will be updated.</t>
  </si>
  <si>
    <t xml:space="preserve"> = (Std_error_of_regression/SQRT(n)) * SQRT(1 + Mean_of_X^2/VAR.P(X))</t>
  </si>
  <si>
    <t>Source:</t>
  </si>
  <si>
    <t>http://people.duke.edu/~rnau/regintro.htm</t>
  </si>
  <si>
    <t>Regression model output from RegressIt</t>
  </si>
  <si>
    <t>http://regressit.com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</si>
</sst>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"/>
    <numFmt numFmtId="165" formatCode="0.0"/>
    <numFmt numFmtId="166" formatCode="#,##0.000"/>
    <numFmt numFmtId="167" formatCode="0.0%"/>
    <numFmt numFmtId="168" formatCode="[$-409]m/d/yy\ h:mm\ AM/PM;@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i/>
      <sz val="8"/>
      <color theme="1"/>
      <name val="Arial"/>
      <family val="2"/>
    </font>
    <font>
      <b/>
      <u/>
      <sz val="8"/>
      <color theme="1"/>
      <name val="Arial"/>
      <family val="2"/>
    </font>
    <font>
      <b/>
      <sz val="7"/>
      <color theme="1"/>
      <name val="Arial"/>
      <family val="2"/>
    </font>
    <font>
      <sz val="8"/>
      <color rgb="FF777777"/>
      <name val="Arial"/>
      <family val="2"/>
    </font>
    <font>
      <sz val="8"/>
      <color theme="0"/>
      <name val="Arial"/>
      <family val="2"/>
    </font>
    <font>
      <sz val="8"/>
      <color rgb="FFF8F8F8"/>
      <name val="Arial"/>
      <family val="2"/>
    </font>
    <font>
      <sz val="9"/>
      <color indexed="81"/>
      <name val="Tahoma"/>
      <family val="2"/>
    </font>
    <font>
      <b/>
      <i/>
      <sz val="8"/>
      <color theme="1"/>
      <name val="Arial"/>
      <family val="2"/>
    </font>
    <font>
      <b/>
      <sz val="11"/>
      <color theme="1"/>
      <name val="Arial"/>
      <family val="2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1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62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1" fillId="0" borderId="0" xfId="0" applyFont="1"/>
    <xf numFmtId="0" fontId="0" fillId="0" borderId="0" xfId="0" applyAlignment="1">
      <alignment horizontal="right"/>
    </xf>
    <xf numFmtId="0" fontId="0" fillId="2" borderId="0" xfId="0" applyFill="1"/>
    <xf numFmtId="0" fontId="0" fillId="0" borderId="0" xfId="0" quotePrefix="1" applyFill="1"/>
    <xf numFmtId="164" fontId="0" fillId="2" borderId="0" xfId="0" applyNumberFormat="1" applyFill="1"/>
    <xf numFmtId="164" fontId="0" fillId="0" borderId="0" xfId="0" quotePrefix="1" applyNumberFormat="1" applyFill="1"/>
    <xf numFmtId="164" fontId="0" fillId="0" borderId="0" xfId="0" applyNumberFormat="1"/>
    <xf numFmtId="164" fontId="0" fillId="0" borderId="0" xfId="0" applyNumberFormat="1" applyFill="1"/>
    <xf numFmtId="0" fontId="0" fillId="0" borderId="0" xfId="0" applyFill="1"/>
    <xf numFmtId="9" fontId="1" fillId="3" borderId="0" xfId="0" applyNumberFormat="1" applyFont="1" applyFill="1"/>
    <xf numFmtId="164" fontId="1" fillId="0" borderId="0" xfId="0" applyNumberFormat="1" applyFont="1" applyFill="1"/>
    <xf numFmtId="0" fontId="1" fillId="3" borderId="0" xfId="0" applyFont="1" applyFill="1"/>
    <xf numFmtId="164" fontId="0" fillId="0" borderId="0" xfId="0" quotePrefix="1" applyNumberFormat="1"/>
    <xf numFmtId="0" fontId="0" fillId="0" borderId="0" xfId="0" applyFill="1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165" fontId="0" fillId="0" borderId="1" xfId="0" applyNumberFormat="1" applyBorder="1" applyAlignment="1">
      <alignment horizontal="right"/>
    </xf>
    <xf numFmtId="165" fontId="0" fillId="0" borderId="2" xfId="0" applyNumberFormat="1" applyBorder="1" applyAlignment="1">
      <alignment horizontal="right"/>
    </xf>
    <xf numFmtId="165" fontId="0" fillId="0" borderId="3" xfId="0" applyNumberFormat="1" applyBorder="1" applyAlignment="1">
      <alignment horizontal="right"/>
    </xf>
    <xf numFmtId="166" fontId="2" fillId="0" borderId="0" xfId="0" applyNumberFormat="1" applyFont="1" applyAlignment="1"/>
    <xf numFmtId="166" fontId="3" fillId="0" borderId="0" xfId="0" applyNumberFormat="1" applyFont="1" applyAlignment="1"/>
    <xf numFmtId="166" fontId="5" fillId="0" borderId="0" xfId="0" applyNumberFormat="1" applyFont="1" applyAlignment="1"/>
    <xf numFmtId="166" fontId="2" fillId="0" borderId="4" xfId="0" applyNumberFormat="1" applyFont="1" applyBorder="1" applyAlignment="1"/>
    <xf numFmtId="166" fontId="6" fillId="0" borderId="4" xfId="0" applyNumberFormat="1" applyFont="1" applyBorder="1" applyAlignment="1">
      <alignment horizontal="right"/>
    </xf>
    <xf numFmtId="164" fontId="2" fillId="0" borderId="0" xfId="0" applyNumberFormat="1" applyFont="1" applyAlignment="1"/>
    <xf numFmtId="1" fontId="2" fillId="0" borderId="0" xfId="0" applyNumberFormat="1" applyFont="1" applyAlignment="1"/>
    <xf numFmtId="166" fontId="6" fillId="0" borderId="4" xfId="0" applyNumberFormat="1" applyFont="1" applyBorder="1" applyAlignment="1">
      <alignment horizontal="left"/>
    </xf>
    <xf numFmtId="166" fontId="7" fillId="0" borderId="0" xfId="0" applyNumberFormat="1" applyFont="1" applyAlignment="1"/>
    <xf numFmtId="0" fontId="2" fillId="0" borderId="0" xfId="0" applyNumberFormat="1" applyFont="1" applyAlignment="1"/>
    <xf numFmtId="166" fontId="8" fillId="0" borderId="0" xfId="0" applyNumberFormat="1" applyFont="1" applyAlignment="1"/>
    <xf numFmtId="166" fontId="9" fillId="0" borderId="0" xfId="0" applyNumberFormat="1" applyFont="1" applyAlignment="1"/>
    <xf numFmtId="166" fontId="2" fillId="0" borderId="0" xfId="0" applyNumberFormat="1" applyFont="1" applyAlignment="1">
      <alignment horizontal="right"/>
    </xf>
    <xf numFmtId="166" fontId="5" fillId="0" borderId="0" xfId="0" applyNumberFormat="1" applyFont="1" applyAlignment="1">
      <alignment horizontal="right"/>
    </xf>
    <xf numFmtId="166" fontId="3" fillId="0" borderId="0" xfId="0" applyNumberFormat="1" applyFont="1" applyAlignment="1">
      <alignment horizontal="right"/>
    </xf>
    <xf numFmtId="166" fontId="3" fillId="0" borderId="0" xfId="0" applyNumberFormat="1" applyFont="1" applyAlignment="1">
      <alignment horizontal="left"/>
    </xf>
    <xf numFmtId="166" fontId="4" fillId="0" borderId="0" xfId="0" applyNumberFormat="1" applyFont="1" applyAlignment="1">
      <alignment horizontal="left"/>
    </xf>
    <xf numFmtId="168" fontId="2" fillId="0" borderId="0" xfId="0" applyNumberFormat="1" applyFont="1" applyAlignment="1">
      <alignment horizontal="right"/>
    </xf>
    <xf numFmtId="1" fontId="2" fillId="0" borderId="0" xfId="0" applyNumberFormat="1" applyFont="1" applyAlignment="1">
      <alignment horizontal="right"/>
    </xf>
    <xf numFmtId="164" fontId="1" fillId="3" borderId="0" xfId="0" applyNumberFormat="1" applyFont="1" applyFill="1"/>
    <xf numFmtId="164" fontId="1" fillId="0" borderId="0" xfId="0" applyNumberFormat="1" applyFont="1"/>
    <xf numFmtId="0" fontId="1" fillId="0" borderId="0" xfId="0" applyFont="1" applyFill="1" applyBorder="1" applyAlignment="1">
      <alignment horizontal="right"/>
    </xf>
    <xf numFmtId="167" fontId="3" fillId="0" borderId="0" xfId="0" applyNumberFormat="1" applyFont="1" applyAlignment="1"/>
    <xf numFmtId="166" fontId="3" fillId="0" borderId="0" xfId="0" quotePrefix="1" applyNumberFormat="1" applyFont="1" applyAlignment="1"/>
    <xf numFmtId="0" fontId="0" fillId="4" borderId="1" xfId="0" applyFill="1" applyBorder="1"/>
    <xf numFmtId="0" fontId="0" fillId="4" borderId="2" xfId="0" applyFill="1" applyBorder="1"/>
    <xf numFmtId="0" fontId="0" fillId="4" borderId="3" xfId="0" applyFill="1" applyBorder="1"/>
    <xf numFmtId="166" fontId="11" fillId="0" borderId="0" xfId="0" applyNumberFormat="1" applyFont="1" applyAlignment="1"/>
    <xf numFmtId="166" fontId="12" fillId="0" borderId="0" xfId="0" applyNumberFormat="1" applyFont="1" applyAlignment="1"/>
    <xf numFmtId="0" fontId="1" fillId="0" borderId="0" xfId="0" applyFont="1" applyFill="1" applyBorder="1" applyAlignment="1">
      <alignment horizontal="left"/>
    </xf>
    <xf numFmtId="165" fontId="0" fillId="0" borderId="5" xfId="0" applyNumberFormat="1" applyBorder="1" applyAlignment="1">
      <alignment horizontal="right"/>
    </xf>
    <xf numFmtId="165" fontId="0" fillId="0" borderId="6" xfId="0" applyNumberFormat="1" applyBorder="1" applyAlignment="1">
      <alignment horizontal="right"/>
    </xf>
    <xf numFmtId="165" fontId="0" fillId="0" borderId="7" xfId="0" applyNumberFormat="1" applyBorder="1" applyAlignment="1">
      <alignment horizontal="right"/>
    </xf>
    <xf numFmtId="0" fontId="1" fillId="0" borderId="0" xfId="0" applyFont="1" applyFill="1" applyBorder="1"/>
    <xf numFmtId="0" fontId="13" fillId="0" borderId="0" xfId="1"/>
    <xf numFmtId="1" fontId="3" fillId="2" borderId="0" xfId="0" applyNumberFormat="1" applyFont="1" applyFill="1" applyAlignment="1"/>
    <xf numFmtId="166" fontId="3" fillId="2" borderId="0" xfId="0" applyNumberFormat="1" applyFont="1" applyFill="1" applyAlignment="1"/>
    <xf numFmtId="164" fontId="3" fillId="2" borderId="0" xfId="0" applyNumberFormat="1" applyFont="1" applyFill="1" applyAlignment="1"/>
    <xf numFmtId="0" fontId="3" fillId="2" borderId="0" xfId="0" applyNumberFormat="1" applyFont="1" applyFill="1" applyAlignment="1"/>
    <xf numFmtId="166" fontId="13" fillId="0" borderId="0" xfId="1" applyNumberFormat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'Excel formulas'!$B$1</c:f>
              <c:strCache>
                <c:ptCount val="1"/>
                <c:pt idx="0">
                  <c:v>Y</c:v>
                </c:pt>
              </c:strCache>
            </c:strRef>
          </c:tx>
          <c:spPr>
            <a:ln w="28575">
              <a:noFill/>
            </a:ln>
          </c:spPr>
          <c:xVal>
            <c:numRef>
              <c:f>'Excel formulas'!$A$2:$A$21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'Excel formulas'!$B$2:$B$21</c:f>
              <c:numCache>
                <c:formatCode>General</c:formatCode>
                <c:ptCount val="20"/>
                <c:pt idx="0">
                  <c:v>126</c:v>
                </c:pt>
                <c:pt idx="1">
                  <c:v>114</c:v>
                </c:pt>
                <c:pt idx="2">
                  <c:v>89</c:v>
                </c:pt>
                <c:pt idx="3">
                  <c:v>130</c:v>
                </c:pt>
                <c:pt idx="4">
                  <c:v>152</c:v>
                </c:pt>
                <c:pt idx="5">
                  <c:v>110</c:v>
                </c:pt>
                <c:pt idx="6">
                  <c:v>144</c:v>
                </c:pt>
                <c:pt idx="7">
                  <c:v>146</c:v>
                </c:pt>
                <c:pt idx="8">
                  <c:v>139</c:v>
                </c:pt>
                <c:pt idx="9">
                  <c:v>104</c:v>
                </c:pt>
                <c:pt idx="10">
                  <c:v>160</c:v>
                </c:pt>
                <c:pt idx="11">
                  <c:v>134</c:v>
                </c:pt>
                <c:pt idx="12">
                  <c:v>155</c:v>
                </c:pt>
                <c:pt idx="13">
                  <c:v>138</c:v>
                </c:pt>
                <c:pt idx="14">
                  <c:v>186</c:v>
                </c:pt>
                <c:pt idx="15">
                  <c:v>160</c:v>
                </c:pt>
                <c:pt idx="16">
                  <c:v>177</c:v>
                </c:pt>
                <c:pt idx="17">
                  <c:v>144</c:v>
                </c:pt>
                <c:pt idx="18">
                  <c:v>174</c:v>
                </c:pt>
                <c:pt idx="19">
                  <c:v>180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'Excel formulas'!$C$1</c:f>
              <c:strCache>
                <c:ptCount val="1"/>
                <c:pt idx="0">
                  <c:v>Predictions</c:v>
                </c:pt>
              </c:strCache>
            </c:strRef>
          </c:tx>
          <c:spPr>
            <a:ln w="28575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'Excel formulas'!$A$2:$A$21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'Excel formulas'!$C$2:$C$21</c:f>
              <c:numCache>
                <c:formatCode>0.0</c:formatCode>
                <c:ptCount val="20"/>
                <c:pt idx="0">
                  <c:v>112.4</c:v>
                </c:pt>
                <c:pt idx="1">
                  <c:v>115.63157894736842</c:v>
                </c:pt>
                <c:pt idx="2">
                  <c:v>118.86315789473684</c:v>
                </c:pt>
                <c:pt idx="3">
                  <c:v>122.09473684210526</c:v>
                </c:pt>
                <c:pt idx="4">
                  <c:v>125.32631578947368</c:v>
                </c:pt>
                <c:pt idx="5">
                  <c:v>128.55789473684212</c:v>
                </c:pt>
                <c:pt idx="6">
                  <c:v>131.78947368421052</c:v>
                </c:pt>
                <c:pt idx="7">
                  <c:v>135.02105263157895</c:v>
                </c:pt>
                <c:pt idx="8">
                  <c:v>138.25263157894736</c:v>
                </c:pt>
                <c:pt idx="9">
                  <c:v>141.48421052631579</c:v>
                </c:pt>
                <c:pt idx="10">
                  <c:v>144.7157894736842</c:v>
                </c:pt>
                <c:pt idx="11">
                  <c:v>147.94736842105263</c:v>
                </c:pt>
                <c:pt idx="12">
                  <c:v>151.17894736842103</c:v>
                </c:pt>
                <c:pt idx="13">
                  <c:v>154.41052631578947</c:v>
                </c:pt>
                <c:pt idx="14">
                  <c:v>157.64210526315787</c:v>
                </c:pt>
                <c:pt idx="15">
                  <c:v>160.87368421052631</c:v>
                </c:pt>
                <c:pt idx="16">
                  <c:v>164.10526315789471</c:v>
                </c:pt>
                <c:pt idx="17">
                  <c:v>167.33684210526314</c:v>
                </c:pt>
                <c:pt idx="18">
                  <c:v>170.56842105263155</c:v>
                </c:pt>
                <c:pt idx="19">
                  <c:v>173.79999999999998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877824"/>
        <c:axId val="103203968"/>
      </c:scatterChart>
      <c:valAx>
        <c:axId val="102877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3203968"/>
        <c:crosses val="autoZero"/>
        <c:crossBetween val="midCat"/>
      </c:valAx>
      <c:valAx>
        <c:axId val="103203968"/>
        <c:scaling>
          <c:orientation val="minMax"/>
          <c:max val="200"/>
          <c:min val="6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28778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'Excel formulas'!$B$1</c:f>
              <c:strCache>
                <c:ptCount val="1"/>
                <c:pt idx="0">
                  <c:v>Y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8575">
                <a:solidFill>
                  <a:srgbClr val="FF000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0.17688962125468391"/>
                  <c:y val="0.44102486170228644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sz="1200" baseline="0"/>
                      <a:t>y = 3.2316x + 109.17
R² = 0.5303</a:t>
                    </a:r>
                    <a:endParaRPr lang="en-US" sz="1200"/>
                  </a:p>
                </c:rich>
              </c:tx>
              <c:numFmt formatCode="General" sourceLinked="0"/>
            </c:trendlineLbl>
          </c:trendline>
          <c:xVal>
            <c:numRef>
              <c:f>'Excel formulas'!$A$2:$A$21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'Excel formulas'!$B$2:$B$21</c:f>
              <c:numCache>
                <c:formatCode>General</c:formatCode>
                <c:ptCount val="20"/>
                <c:pt idx="0">
                  <c:v>126</c:v>
                </c:pt>
                <c:pt idx="1">
                  <c:v>114</c:v>
                </c:pt>
                <c:pt idx="2">
                  <c:v>89</c:v>
                </c:pt>
                <c:pt idx="3">
                  <c:v>130</c:v>
                </c:pt>
                <c:pt idx="4">
                  <c:v>152</c:v>
                </c:pt>
                <c:pt idx="5">
                  <c:v>110</c:v>
                </c:pt>
                <c:pt idx="6">
                  <c:v>144</c:v>
                </c:pt>
                <c:pt idx="7">
                  <c:v>146</c:v>
                </c:pt>
                <c:pt idx="8">
                  <c:v>139</c:v>
                </c:pt>
                <c:pt idx="9">
                  <c:v>104</c:v>
                </c:pt>
                <c:pt idx="10">
                  <c:v>160</c:v>
                </c:pt>
                <c:pt idx="11">
                  <c:v>134</c:v>
                </c:pt>
                <c:pt idx="12">
                  <c:v>155</c:v>
                </c:pt>
                <c:pt idx="13">
                  <c:v>138</c:v>
                </c:pt>
                <c:pt idx="14">
                  <c:v>186</c:v>
                </c:pt>
                <c:pt idx="15">
                  <c:v>160</c:v>
                </c:pt>
                <c:pt idx="16">
                  <c:v>177</c:v>
                </c:pt>
                <c:pt idx="17">
                  <c:v>144</c:v>
                </c:pt>
                <c:pt idx="18">
                  <c:v>174</c:v>
                </c:pt>
                <c:pt idx="19">
                  <c:v>180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237632"/>
        <c:axId val="137239168"/>
      </c:scatterChart>
      <c:valAx>
        <c:axId val="137237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7239168"/>
        <c:crosses val="autoZero"/>
        <c:crossBetween val="midCat"/>
      </c:valAx>
      <c:valAx>
        <c:axId val="137239168"/>
        <c:scaling>
          <c:orientation val="minMax"/>
          <c:min val="6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72376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en-US" sz="1100"/>
              <a:t>Trend line model for Y    (1 variable, n=20)
</a:t>
            </a:r>
            <a:r>
              <a:rPr lang="en-US" sz="1000"/>
              <a:t>Predicted Y = 109.168 + 3.232*X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Actual</c:v>
          </c:tx>
          <c:spPr>
            <a:ln w="25400">
              <a:noFill/>
            </a:ln>
          </c:spPr>
          <c:marker>
            <c:symbol val="diamond"/>
            <c:size val="8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xVal>
            <c:numLit>
              <c:formatCode>General</c:formatCode>
              <c:ptCount val="2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</c:numLit>
          </c:xVal>
          <c:yVal>
            <c:numLit>
              <c:formatCode>General</c:formatCode>
              <c:ptCount val="20"/>
              <c:pt idx="0">
                <c:v>126</c:v>
              </c:pt>
              <c:pt idx="1">
                <c:v>114</c:v>
              </c:pt>
              <c:pt idx="2">
                <c:v>89</c:v>
              </c:pt>
              <c:pt idx="3">
                <c:v>130</c:v>
              </c:pt>
              <c:pt idx="4">
                <c:v>152</c:v>
              </c:pt>
              <c:pt idx="5">
                <c:v>110</c:v>
              </c:pt>
              <c:pt idx="6">
                <c:v>144</c:v>
              </c:pt>
              <c:pt idx="7">
                <c:v>146</c:v>
              </c:pt>
              <c:pt idx="8">
                <c:v>139</c:v>
              </c:pt>
              <c:pt idx="9">
                <c:v>104</c:v>
              </c:pt>
              <c:pt idx="10">
                <c:v>160</c:v>
              </c:pt>
              <c:pt idx="11">
                <c:v>134</c:v>
              </c:pt>
              <c:pt idx="12">
                <c:v>155</c:v>
              </c:pt>
              <c:pt idx="13">
                <c:v>138</c:v>
              </c:pt>
              <c:pt idx="14">
                <c:v>186</c:v>
              </c:pt>
              <c:pt idx="15">
                <c:v>160</c:v>
              </c:pt>
              <c:pt idx="16">
                <c:v>177</c:v>
              </c:pt>
              <c:pt idx="17">
                <c:v>144</c:v>
              </c:pt>
              <c:pt idx="18">
                <c:v>174</c:v>
              </c:pt>
              <c:pt idx="19">
                <c:v>180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47456"/>
        <c:axId val="69749376"/>
      </c:scatterChart>
      <c:scatterChart>
        <c:scatterStyle val="lineMarker"/>
        <c:varyColors val="0"/>
        <c:ser>
          <c:idx val="1"/>
          <c:order val="1"/>
          <c:tx>
            <c:strRef>
              <c:f>'Trend line model--RegressIt'!$G$25</c:f>
              <c:strCache>
                <c:ptCount val="1"/>
                <c:pt idx="0">
                  <c:v>Upper 95%</c:v>
                </c:pt>
              </c:strCache>
            </c:strRef>
          </c:tx>
          <c:spPr>
            <a:ln w="15875"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'Trend line model--RegressIt'!$B$26:$B$30</c:f>
              <c:numCache>
                <c:formatCode>#,##0.000</c:formatCode>
                <c:ptCount val="5"/>
                <c:pt idx="0">
                  <c:v>1</c:v>
                </c:pt>
                <c:pt idx="1">
                  <c:v>5.75</c:v>
                </c:pt>
                <c:pt idx="2">
                  <c:v>10.5</c:v>
                </c:pt>
                <c:pt idx="3">
                  <c:v>15.25</c:v>
                </c:pt>
                <c:pt idx="4">
                  <c:v>20</c:v>
                </c:pt>
              </c:numCache>
            </c:numRef>
          </c:xVal>
          <c:yVal>
            <c:numRef>
              <c:f>'Trend line model--RegressIt'!$G$26:$G$30</c:f>
              <c:numCache>
                <c:formatCode>#,##0.000</c:formatCode>
                <c:ptCount val="5"/>
                <c:pt idx="0">
                  <c:v>154.69036224231957</c:v>
                </c:pt>
                <c:pt idx="1">
                  <c:v>168.18446591235721</c:v>
                </c:pt>
                <c:pt idx="2">
                  <c:v>182.89660536563267</c:v>
                </c:pt>
                <c:pt idx="3">
                  <c:v>198.8844659123572</c:v>
                </c:pt>
                <c:pt idx="4">
                  <c:v>216.09036224231957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'Trend line model--RegressIt'!$E$25</c:f>
              <c:strCache>
                <c:ptCount val="1"/>
                <c:pt idx="0">
                  <c:v>Predicted</c:v>
                </c:pt>
              </c:strCache>
            </c:strRef>
          </c:tx>
          <c:spPr>
            <a:ln w="1905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'Trend line model--RegressIt'!$B$26:$B$30</c:f>
              <c:numCache>
                <c:formatCode>#,##0.000</c:formatCode>
                <c:ptCount val="5"/>
                <c:pt idx="0">
                  <c:v>1</c:v>
                </c:pt>
                <c:pt idx="1">
                  <c:v>5.75</c:v>
                </c:pt>
                <c:pt idx="2">
                  <c:v>10.5</c:v>
                </c:pt>
                <c:pt idx="3">
                  <c:v>15.25</c:v>
                </c:pt>
                <c:pt idx="4">
                  <c:v>20</c:v>
                </c:pt>
              </c:numCache>
            </c:numRef>
          </c:xVal>
          <c:yVal>
            <c:numRef>
              <c:f>'Trend line model--RegressIt'!$E$26:$E$30</c:f>
              <c:numCache>
                <c:formatCode>#,##0.000</c:formatCode>
                <c:ptCount val="5"/>
                <c:pt idx="0">
                  <c:v>112.40000000000042</c:v>
                </c:pt>
                <c:pt idx="1">
                  <c:v>127.75000000000041</c:v>
                </c:pt>
                <c:pt idx="2">
                  <c:v>143.10000000000042</c:v>
                </c:pt>
                <c:pt idx="3">
                  <c:v>158.45000000000039</c:v>
                </c:pt>
                <c:pt idx="4">
                  <c:v>173.80000000000041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'Trend line model--RegressIt'!$F$25</c:f>
              <c:strCache>
                <c:ptCount val="1"/>
                <c:pt idx="0">
                  <c:v>Lower 95%</c:v>
                </c:pt>
              </c:strCache>
            </c:strRef>
          </c:tx>
          <c:spPr>
            <a:ln w="15875"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'Trend line model--RegressIt'!$B$26:$B$30</c:f>
              <c:numCache>
                <c:formatCode>#,##0.000</c:formatCode>
                <c:ptCount val="5"/>
                <c:pt idx="0">
                  <c:v>1</c:v>
                </c:pt>
                <c:pt idx="1">
                  <c:v>5.75</c:v>
                </c:pt>
                <c:pt idx="2">
                  <c:v>10.5</c:v>
                </c:pt>
                <c:pt idx="3">
                  <c:v>15.25</c:v>
                </c:pt>
                <c:pt idx="4">
                  <c:v>20</c:v>
                </c:pt>
              </c:numCache>
            </c:numRef>
          </c:xVal>
          <c:yVal>
            <c:numRef>
              <c:f>'Trend line model--RegressIt'!$F$26:$F$30</c:f>
              <c:numCache>
                <c:formatCode>#,##0.000</c:formatCode>
                <c:ptCount val="5"/>
                <c:pt idx="0">
                  <c:v>70.10963775768127</c:v>
                </c:pt>
                <c:pt idx="1">
                  <c:v>87.315534087643599</c:v>
                </c:pt>
                <c:pt idx="2">
                  <c:v>103.30339463436817</c:v>
                </c:pt>
                <c:pt idx="3">
                  <c:v>118.01553408764357</c:v>
                </c:pt>
                <c:pt idx="4">
                  <c:v>131.50963775768125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53088"/>
        <c:axId val="69751552"/>
      </c:scatterChart>
      <c:valAx>
        <c:axId val="69747456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9749376"/>
        <c:crossesAt val="60"/>
        <c:crossBetween val="midCat"/>
      </c:valAx>
      <c:valAx>
        <c:axId val="69749376"/>
        <c:scaling>
          <c:orientation val="minMax"/>
          <c:min val="60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layout>
            <c:manualLayout>
              <c:xMode val="edge"/>
              <c:yMode val="edge"/>
              <c:x val="2.6911314984709479E-2"/>
              <c:y val="0.4797653348886944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69747456"/>
        <c:crossesAt val="0"/>
        <c:crossBetween val="midCat"/>
      </c:valAx>
      <c:valAx>
        <c:axId val="69751552"/>
        <c:scaling>
          <c:orientation val="minMax"/>
          <c:min val="60"/>
        </c:scaling>
        <c:delete val="1"/>
        <c:axPos val="r"/>
        <c:numFmt formatCode="#,##0.000" sourceLinked="1"/>
        <c:majorTickMark val="out"/>
        <c:minorTickMark val="none"/>
        <c:tickLblPos val="nextTo"/>
        <c:crossAx val="69753088"/>
        <c:crosses val="max"/>
        <c:crossBetween val="midCat"/>
      </c:valAx>
      <c:valAx>
        <c:axId val="69753088"/>
        <c:scaling>
          <c:orientation val="minMax"/>
        </c:scaling>
        <c:delete val="1"/>
        <c:axPos val="b"/>
        <c:numFmt formatCode="#,##0.000" sourceLinked="1"/>
        <c:majorTickMark val="out"/>
        <c:minorTickMark val="none"/>
        <c:tickLblPos val="nextTo"/>
        <c:crossAx val="69751552"/>
        <c:crosses val="autoZero"/>
        <c:crossBetween val="midCat"/>
      </c:valAx>
      <c:spPr>
        <a:ln w="6350">
          <a:solidFill>
            <a:srgbClr val="808080"/>
          </a:solidFill>
          <a:prstDash val="solid"/>
        </a:ln>
      </c:spPr>
    </c:plotArea>
    <c:legend>
      <c:legendPos val="r"/>
      <c:layout/>
      <c:overlay val="0"/>
    </c:legend>
    <c:plotVisOnly val="1"/>
    <c:dispBlanksAs val="gap"/>
    <c:showDLblsOverMax val="0"/>
  </c:chart>
  <c:spPr>
    <a:solidFill>
      <a:srgbClr val="F3F3F3"/>
    </a:solidFill>
    <a:ln w="6350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'Trend line model--RegressIt'!$AA$2</c:f>
          <c:strCache>
            <c:ptCount val="1"/>
            <c:pt idx="0">
              <c:v>Forecasts and 95.0% confidence limits for means and forecasts
Trend line model for Y    (1 variable, n=20)</c:v>
            </c:pt>
          </c:strCache>
        </c:strRef>
      </c:tx>
      <c:layout/>
      <c:overlay val="0"/>
      <c:txPr>
        <a:bodyPr/>
        <a:lstStyle/>
        <a:p>
          <a:pPr>
            <a:defRPr sz="1100"/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Forecast</c:v>
          </c:tx>
          <c:spPr>
            <a:ln w="25400">
              <a:noFill/>
            </a:ln>
          </c:spPr>
          <c:marker>
            <c:symbol val="circle"/>
            <c:size val="7"/>
            <c:spPr>
              <a:solidFill>
                <a:srgbClr val="FF9999"/>
              </a:solidFill>
              <a:ln w="12700">
                <a:solidFill>
                  <a:srgbClr val="FF0000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'Trend line model--RegressIt'!$CG$52:$CG$56</c:f>
                <c:numCache>
                  <c:formatCode>General</c:formatCode>
                  <c:ptCount val="5"/>
                  <c:pt idx="0">
                    <c:v>42.823343099303806</c:v>
                  </c:pt>
                  <c:pt idx="1">
                    <c:v>43.402063169580074</c:v>
                  </c:pt>
                  <c:pt idx="2">
                    <c:v>44.024718717024868</c:v>
                  </c:pt>
                  <c:pt idx="3">
                    <c:v>44.689473328866974</c:v>
                  </c:pt>
                  <c:pt idx="4">
                    <c:v>45.394477552575452</c:v>
                  </c:pt>
                </c:numCache>
              </c:numRef>
            </c:plus>
            <c:minus>
              <c:numRef>
                <c:f>'Trend line model--RegressIt'!$CG$52:$CG$56</c:f>
                <c:numCache>
                  <c:formatCode>General</c:formatCode>
                  <c:ptCount val="5"/>
                  <c:pt idx="0">
                    <c:v>42.823343099303806</c:v>
                  </c:pt>
                  <c:pt idx="1">
                    <c:v>43.402063169580074</c:v>
                  </c:pt>
                  <c:pt idx="2">
                    <c:v>44.024718717024868</c:v>
                  </c:pt>
                  <c:pt idx="3">
                    <c:v>44.689473328866974</c:v>
                  </c:pt>
                  <c:pt idx="4">
                    <c:v>45.394477552575452</c:v>
                  </c:pt>
                </c:numCache>
              </c:numRef>
            </c:minus>
          </c:errBars>
          <c:cat>
            <c:numRef>
              <c:f>'Trend line model--RegressIt'!$A$52:$A$56</c:f>
              <c:numCache>
                <c:formatCode>0</c:formatCode>
                <c:ptCount val="5"/>
                <c:pt idx="0">
                  <c:v>21</c:v>
                </c:pt>
                <c:pt idx="1">
                  <c:v>22</c:v>
                </c:pt>
                <c:pt idx="2">
                  <c:v>23</c:v>
                </c:pt>
                <c:pt idx="3">
                  <c:v>24</c:v>
                </c:pt>
                <c:pt idx="4">
                  <c:v>25</c:v>
                </c:pt>
              </c:numCache>
            </c:numRef>
          </c:cat>
          <c:val>
            <c:numRef>
              <c:f>'Trend line model--RegressIt'!$B$52:$B$56</c:f>
              <c:numCache>
                <c:formatCode>#,##0.000</c:formatCode>
                <c:ptCount val="5"/>
                <c:pt idx="0">
                  <c:v>177.03157894736836</c:v>
                </c:pt>
                <c:pt idx="1">
                  <c:v>180.26315789473676</c:v>
                </c:pt>
                <c:pt idx="2">
                  <c:v>183.49473684210517</c:v>
                </c:pt>
                <c:pt idx="3">
                  <c:v>186.7263157894736</c:v>
                </c:pt>
                <c:pt idx="4">
                  <c:v>189.95789473684204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'Trend line model--RegressIt'!$H$51</c:f>
              <c:strCache>
                <c:ptCount val="1"/>
                <c:pt idx="0">
                  <c:v>Upper95%M</c:v>
                </c:pt>
              </c:strCache>
            </c:strRef>
          </c:tx>
          <c:spPr>
            <a:ln w="25400">
              <a:noFill/>
            </a:ln>
          </c:spPr>
          <c:marker>
            <c:symbol val="dash"/>
            <c:size val="7"/>
            <c:spPr>
              <a:noFill/>
              <a:ln w="12700">
                <a:solidFill>
                  <a:srgbClr val="000000"/>
                </a:solidFill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val="C0504D"/>
                    </a:solidFill>
                  </a14:hiddenFill>
                </a:ext>
              </a:extLst>
            </c:spPr>
          </c:marker>
          <c:cat>
            <c:numRef>
              <c:f>'Trend line model--RegressIt'!$A$52:$A$56</c:f>
              <c:numCache>
                <c:formatCode>0</c:formatCode>
                <c:ptCount val="5"/>
                <c:pt idx="0">
                  <c:v>21</c:v>
                </c:pt>
                <c:pt idx="1">
                  <c:v>22</c:v>
                </c:pt>
                <c:pt idx="2">
                  <c:v>23</c:v>
                </c:pt>
                <c:pt idx="3">
                  <c:v>24</c:v>
                </c:pt>
                <c:pt idx="4">
                  <c:v>25</c:v>
                </c:pt>
              </c:numCache>
            </c:numRef>
          </c:cat>
          <c:val>
            <c:numRef>
              <c:f>'Trend line model--RegressIt'!$H$52:$H$56</c:f>
              <c:numCache>
                <c:formatCode>0.000</c:formatCode>
                <c:ptCount val="5"/>
                <c:pt idx="0">
                  <c:v>195.07282405493484</c:v>
                </c:pt>
                <c:pt idx="1">
                  <c:v>199.6380617191902</c:v>
                </c:pt>
                <c:pt idx="2">
                  <c:v>204.22692604015566</c:v>
                </c:pt>
                <c:pt idx="3">
                  <c:v>208.83506603099818</c:v>
                </c:pt>
                <c:pt idx="4">
                  <c:v>213.45909477219934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'Trend line model--RegressIt'!$G$51</c:f>
              <c:strCache>
                <c:ptCount val="1"/>
                <c:pt idx="0">
                  <c:v>Lower95%M</c:v>
                </c:pt>
              </c:strCache>
            </c:strRef>
          </c:tx>
          <c:spPr>
            <a:ln w="25400">
              <a:noFill/>
            </a:ln>
          </c:spPr>
          <c:marker>
            <c:symbol val="dash"/>
            <c:size val="7"/>
            <c:spPr>
              <a:noFill/>
              <a:ln w="12700">
                <a:solidFill>
                  <a:srgbClr val="000000"/>
                </a:solidFill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val="9BBB59"/>
                    </a:solidFill>
                  </a14:hiddenFill>
                </a:ext>
              </a:extLst>
            </c:spPr>
          </c:marker>
          <c:cat>
            <c:numRef>
              <c:f>'Trend line model--RegressIt'!$A$52:$A$56</c:f>
              <c:numCache>
                <c:formatCode>0</c:formatCode>
                <c:ptCount val="5"/>
                <c:pt idx="0">
                  <c:v>21</c:v>
                </c:pt>
                <c:pt idx="1">
                  <c:v>22</c:v>
                </c:pt>
                <c:pt idx="2">
                  <c:v>23</c:v>
                </c:pt>
                <c:pt idx="3">
                  <c:v>24</c:v>
                </c:pt>
                <c:pt idx="4">
                  <c:v>25</c:v>
                </c:pt>
              </c:numCache>
            </c:numRef>
          </c:cat>
          <c:val>
            <c:numRef>
              <c:f>'Trend line model--RegressIt'!$G$52:$G$56</c:f>
              <c:numCache>
                <c:formatCode>0.000</c:formatCode>
                <c:ptCount val="5"/>
                <c:pt idx="0">
                  <c:v>158.99033383980188</c:v>
                </c:pt>
                <c:pt idx="1">
                  <c:v>160.88825407028332</c:v>
                </c:pt>
                <c:pt idx="2">
                  <c:v>162.76254764405468</c:v>
                </c:pt>
                <c:pt idx="3">
                  <c:v>164.61756554794903</c:v>
                </c:pt>
                <c:pt idx="4">
                  <c:v>166.45669470148474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63072"/>
        <c:axId val="69765376"/>
      </c:lineChart>
      <c:catAx>
        <c:axId val="69763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Obs#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69765376"/>
        <c:crossesAt val="120"/>
        <c:auto val="1"/>
        <c:lblAlgn val="ctr"/>
        <c:lblOffset val="100"/>
        <c:noMultiLvlLbl val="0"/>
      </c:catAx>
      <c:valAx>
        <c:axId val="69765376"/>
        <c:scaling>
          <c:orientation val="minMax"/>
          <c:min val="120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layout>
            <c:manualLayout>
              <c:xMode val="edge"/>
              <c:yMode val="edge"/>
              <c:x val="2.6911314984709479E-2"/>
              <c:y val="0.47976533488869449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69763072"/>
        <c:crosses val="autoZero"/>
        <c:crossBetween val="between"/>
      </c:valAx>
      <c:spPr>
        <a:ln w="635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>
      <a:solidFill>
        <a:srgbClr val="808080"/>
      </a:solidFill>
      <a:prstDash val="solid"/>
    </a:ln>
  </c:spPr>
  <c:txPr>
    <a:bodyPr/>
    <a:lstStyle/>
    <a:p>
      <a:pPr>
        <a:defRPr sz="1000"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'Trend line model--RegressIt'!$AA$3</c:f>
          <c:strCache>
            <c:ptCount val="1"/>
            <c:pt idx="0">
              <c:v>Actual and predicted-vs-Obs# with 95.0% confidence limits
Trend line model for Y    (1 variable, n=20)</c:v>
            </c:pt>
          </c:strCache>
        </c:strRef>
      </c:tx>
      <c:layout/>
      <c:overlay val="0"/>
      <c:txPr>
        <a:bodyPr/>
        <a:lstStyle/>
        <a:p>
          <a:pPr>
            <a:defRPr sz="1100"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Actual</c:v>
          </c:tx>
          <c:spPr>
            <a:ln w="25400">
              <a:noFill/>
            </a:ln>
          </c:spPr>
          <c:marker>
            <c:symbol val="diamond"/>
            <c:size val="8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xVal>
            <c:numLit>
              <c:formatCode>General</c:formatCode>
              <c:ptCount val="2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</c:numLit>
          </c:xVal>
          <c:yVal>
            <c:numLit>
              <c:formatCode>General</c:formatCode>
              <c:ptCount val="20"/>
              <c:pt idx="0">
                <c:v>126</c:v>
              </c:pt>
              <c:pt idx="1">
                <c:v>114</c:v>
              </c:pt>
              <c:pt idx="2">
                <c:v>89</c:v>
              </c:pt>
              <c:pt idx="3">
                <c:v>130</c:v>
              </c:pt>
              <c:pt idx="4">
                <c:v>152</c:v>
              </c:pt>
              <c:pt idx="5">
                <c:v>110</c:v>
              </c:pt>
              <c:pt idx="6">
                <c:v>144</c:v>
              </c:pt>
              <c:pt idx="7">
                <c:v>146</c:v>
              </c:pt>
              <c:pt idx="8">
                <c:v>139</c:v>
              </c:pt>
              <c:pt idx="9">
                <c:v>104</c:v>
              </c:pt>
              <c:pt idx="10">
                <c:v>160</c:v>
              </c:pt>
              <c:pt idx="11">
                <c:v>134</c:v>
              </c:pt>
              <c:pt idx="12">
                <c:v>155</c:v>
              </c:pt>
              <c:pt idx="13">
                <c:v>138</c:v>
              </c:pt>
              <c:pt idx="14">
                <c:v>186</c:v>
              </c:pt>
              <c:pt idx="15">
                <c:v>160</c:v>
              </c:pt>
              <c:pt idx="16">
                <c:v>177</c:v>
              </c:pt>
              <c:pt idx="17">
                <c:v>144</c:v>
              </c:pt>
              <c:pt idx="18">
                <c:v>174</c:v>
              </c:pt>
              <c:pt idx="19">
                <c:v>180</c:v>
              </c:pt>
            </c:numLit>
          </c:yVal>
          <c:smooth val="0"/>
        </c:ser>
        <c:ser>
          <c:idx val="1"/>
          <c:order val="1"/>
          <c:tx>
            <c:v>Predicted</c:v>
          </c:tx>
          <c:spPr>
            <a:ln w="25400">
              <a:noFill/>
            </a:ln>
          </c:spPr>
          <c:marker>
            <c:symbol val="circle"/>
            <c:size val="8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2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</c:numLit>
          </c:xVal>
          <c:yVal>
            <c:numLit>
              <c:formatCode>General</c:formatCode>
              <c:ptCount val="20"/>
              <c:pt idx="0">
                <c:v>112.4</c:v>
              </c:pt>
              <c:pt idx="1">
                <c:v>115.63157894736842</c:v>
              </c:pt>
              <c:pt idx="2">
                <c:v>118.86315789473684</c:v>
              </c:pt>
              <c:pt idx="3">
                <c:v>122.09473684210525</c:v>
              </c:pt>
              <c:pt idx="4">
                <c:v>125.32631578947368</c:v>
              </c:pt>
              <c:pt idx="5">
                <c:v>128.55789473684209</c:v>
              </c:pt>
              <c:pt idx="6">
                <c:v>131.78947368421052</c:v>
              </c:pt>
              <c:pt idx="7">
                <c:v>135.02105263157893</c:v>
              </c:pt>
              <c:pt idx="8">
                <c:v>138.25263157894733</c:v>
              </c:pt>
              <c:pt idx="9">
                <c:v>141.48421052631576</c:v>
              </c:pt>
              <c:pt idx="10">
                <c:v>144.71578947368417</c:v>
              </c:pt>
              <c:pt idx="11">
                <c:v>147.9473684210526</c:v>
              </c:pt>
              <c:pt idx="12">
                <c:v>151.17894736842101</c:v>
              </c:pt>
              <c:pt idx="13">
                <c:v>154.41052631578941</c:v>
              </c:pt>
              <c:pt idx="14">
                <c:v>157.64210526315784</c:v>
              </c:pt>
              <c:pt idx="15">
                <c:v>160.87368421052628</c:v>
              </c:pt>
              <c:pt idx="16">
                <c:v>164.10526315789468</c:v>
              </c:pt>
              <c:pt idx="17">
                <c:v>167.33684210526309</c:v>
              </c:pt>
              <c:pt idx="18">
                <c:v>170.56842105263152</c:v>
              </c:pt>
              <c:pt idx="19">
                <c:v>173.79999999999995</c:v>
              </c:pt>
            </c:numLit>
          </c:yVal>
          <c:smooth val="0"/>
        </c:ser>
        <c:ser>
          <c:idx val="2"/>
          <c:order val="2"/>
          <c:tx>
            <c:v>Forecast</c:v>
          </c:tx>
          <c:spPr>
            <a:ln w="25400">
              <a:noFill/>
            </a:ln>
          </c:spPr>
          <c:marker>
            <c:symbol val="circle"/>
            <c:size val="7"/>
            <c:spPr>
              <a:solidFill>
                <a:srgbClr val="FF9999"/>
              </a:solidFill>
              <a:ln w="12700">
                <a:solidFill>
                  <a:srgbClr val="FF0000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'Trend line model--RegressIt'!$CG$52:$CG$56</c:f>
                <c:numCache>
                  <c:formatCode>General</c:formatCode>
                  <c:ptCount val="5"/>
                  <c:pt idx="0">
                    <c:v>42.823343099303806</c:v>
                  </c:pt>
                  <c:pt idx="1">
                    <c:v>43.402063169580074</c:v>
                  </c:pt>
                  <c:pt idx="2">
                    <c:v>44.024718717024868</c:v>
                  </c:pt>
                  <c:pt idx="3">
                    <c:v>44.689473328866974</c:v>
                  </c:pt>
                  <c:pt idx="4">
                    <c:v>45.394477552575452</c:v>
                  </c:pt>
                </c:numCache>
              </c:numRef>
            </c:plus>
            <c:minus>
              <c:numRef>
                <c:f>'Trend line model--RegressIt'!$CG$52:$CG$56</c:f>
                <c:numCache>
                  <c:formatCode>General</c:formatCode>
                  <c:ptCount val="5"/>
                  <c:pt idx="0">
                    <c:v>42.823343099303806</c:v>
                  </c:pt>
                  <c:pt idx="1">
                    <c:v>43.402063169580074</c:v>
                  </c:pt>
                  <c:pt idx="2">
                    <c:v>44.024718717024868</c:v>
                  </c:pt>
                  <c:pt idx="3">
                    <c:v>44.689473328866974</c:v>
                  </c:pt>
                  <c:pt idx="4">
                    <c:v>45.394477552575452</c:v>
                  </c:pt>
                </c:numCache>
              </c:numRef>
            </c:minus>
          </c:errBars>
          <c:xVal>
            <c:numRef>
              <c:f>'Trend line model--RegressIt'!$A$52:$A$56</c:f>
              <c:numCache>
                <c:formatCode>0</c:formatCode>
                <c:ptCount val="5"/>
                <c:pt idx="0">
                  <c:v>21</c:v>
                </c:pt>
                <c:pt idx="1">
                  <c:v>22</c:v>
                </c:pt>
                <c:pt idx="2">
                  <c:v>23</c:v>
                </c:pt>
                <c:pt idx="3">
                  <c:v>24</c:v>
                </c:pt>
                <c:pt idx="4">
                  <c:v>25</c:v>
                </c:pt>
              </c:numCache>
            </c:numRef>
          </c:xVal>
          <c:yVal>
            <c:numRef>
              <c:f>'Trend line model--RegressIt'!$B$52:$B$56</c:f>
              <c:numCache>
                <c:formatCode>#,##0.000</c:formatCode>
                <c:ptCount val="5"/>
                <c:pt idx="0">
                  <c:v>177.03157894736836</c:v>
                </c:pt>
                <c:pt idx="1">
                  <c:v>180.26315789473676</c:v>
                </c:pt>
                <c:pt idx="2">
                  <c:v>183.49473684210517</c:v>
                </c:pt>
                <c:pt idx="3">
                  <c:v>186.7263157894736</c:v>
                </c:pt>
                <c:pt idx="4">
                  <c:v>189.95789473684204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79840"/>
        <c:axId val="69781760"/>
      </c:scatterChart>
      <c:valAx>
        <c:axId val="69779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Obs#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69781760"/>
        <c:crossesAt val="80"/>
        <c:crossBetween val="midCat"/>
      </c:valAx>
      <c:valAx>
        <c:axId val="69781760"/>
        <c:scaling>
          <c:orientation val="minMax"/>
          <c:min val="80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layout>
            <c:manualLayout>
              <c:xMode val="edge"/>
              <c:yMode val="edge"/>
              <c:x val="2.6911314984709479E-2"/>
              <c:y val="0.4797653348886944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69779840"/>
        <c:crossesAt val="0"/>
        <c:crossBetween val="midCat"/>
      </c:valAx>
      <c:spPr>
        <a:ln w="6350">
          <a:solidFill>
            <a:srgbClr val="808080"/>
          </a:solidFill>
          <a:prstDash val="solid"/>
        </a:ln>
      </c:spPr>
    </c:plotArea>
    <c:legend>
      <c:legendPos val="r"/>
      <c:layout/>
      <c:overlay val="0"/>
    </c:legend>
    <c:plotVisOnly val="1"/>
    <c:dispBlanksAs val="gap"/>
    <c:showDLblsOverMax val="0"/>
  </c:chart>
  <c:spPr>
    <a:solidFill>
      <a:srgbClr val="F3F3F3"/>
    </a:solidFill>
    <a:ln w="6350">
      <a:solidFill>
        <a:srgbClr val="808080"/>
      </a:solidFill>
      <a:prstDash val="solid"/>
    </a:ln>
  </c:spPr>
  <c:txPr>
    <a:bodyPr/>
    <a:lstStyle/>
    <a:p>
      <a:pPr>
        <a:defRPr sz="1000">
          <a:latin typeface="+mn-lt"/>
          <a:ea typeface="+mn-lt"/>
          <a:cs typeface="+mn-lt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en-US" sz="1100"/>
              <a:t>Residual -vs- Obs#
</a:t>
            </a:r>
            <a:r>
              <a:rPr lang="en-US" sz="1000"/>
              <a:t>Trend line model for Y    (1 variable, n=20)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0000FF"/>
            </a:solidFill>
            <a:ln w="3175">
              <a:solidFill>
                <a:srgbClr val="0000FF"/>
              </a:solidFill>
              <a:prstDash val="solid"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</c:numLit>
          </c:cat>
          <c:val>
            <c:numLit>
              <c:formatCode>General</c:formatCode>
              <c:ptCount val="20"/>
              <c:pt idx="0">
                <c:v>13.599999999999994</c:v>
              </c:pt>
              <c:pt idx="1">
                <c:v>-1.6315789473684248</c:v>
              </c:pt>
              <c:pt idx="2">
                <c:v>-29.863157894736844</c:v>
              </c:pt>
              <c:pt idx="3">
                <c:v>7.9052631578947512</c:v>
              </c:pt>
              <c:pt idx="4">
                <c:v>26.673684210526318</c:v>
              </c:pt>
              <c:pt idx="5">
                <c:v>-18.557894736842087</c:v>
              </c:pt>
              <c:pt idx="6">
                <c:v>12.21052631578948</c:v>
              </c:pt>
              <c:pt idx="7">
                <c:v>10.978947368421075</c:v>
              </c:pt>
              <c:pt idx="8">
                <c:v>0.74736842105266987</c:v>
              </c:pt>
              <c:pt idx="9">
                <c:v>-37.484210526315763</c:v>
              </c:pt>
              <c:pt idx="10">
                <c:v>15.284210526315832</c:v>
              </c:pt>
              <c:pt idx="11">
                <c:v>-13.947368421052602</c:v>
              </c:pt>
              <c:pt idx="12">
                <c:v>3.8210526315789934</c:v>
              </c:pt>
              <c:pt idx="13">
                <c:v>-16.410526315789411</c:v>
              </c:pt>
              <c:pt idx="14">
                <c:v>28.357894736842155</c:v>
              </c:pt>
              <c:pt idx="15">
                <c:v>-0.87368421052627809</c:v>
              </c:pt>
              <c:pt idx="16">
                <c:v>12.894736842105317</c:v>
              </c:pt>
              <c:pt idx="17">
                <c:v>-23.336842105263088</c:v>
              </c:pt>
              <c:pt idx="18">
                <c:v>3.4315789473684788</c:v>
              </c:pt>
              <c:pt idx="19">
                <c:v>6.2000000000000455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69806720"/>
        <c:axId val="69825280"/>
      </c:barChart>
      <c:catAx>
        <c:axId val="69806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Obs #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txPr>
          <a:bodyPr rot="-5400000" vert="horz"/>
          <a:lstStyle/>
          <a:p>
            <a:pPr>
              <a:defRPr/>
            </a:pPr>
            <a:endParaRPr lang="en-US"/>
          </a:p>
        </c:txPr>
        <c:crossAx val="69825280"/>
        <c:crossesAt val="0"/>
        <c:auto val="1"/>
        <c:lblAlgn val="ctr"/>
        <c:lblOffset val="100"/>
        <c:noMultiLvlLbl val="0"/>
      </c:catAx>
      <c:valAx>
        <c:axId val="69825280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9806720"/>
        <c:crosses val="autoZero"/>
        <c:crossBetween val="between"/>
      </c:valAx>
      <c:spPr>
        <a:ln w="635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en-US" sz="1100"/>
              <a:t>Residual -vs- Predicted
</a:t>
            </a:r>
            <a:r>
              <a:rPr lang="en-US" sz="1000"/>
              <a:t>Trend line model for Y    (1 variable, n=20)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Actual</c:v>
          </c:tx>
          <c:spPr>
            <a:ln w="25400">
              <a:noFill/>
            </a:ln>
            <a:effectLst/>
          </c:spPr>
          <c:marker>
            <c:symbol val="diamond"/>
            <c:size val="8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xVal>
            <c:numLit>
              <c:formatCode>General</c:formatCode>
              <c:ptCount val="20"/>
              <c:pt idx="0">
                <c:v>112.4</c:v>
              </c:pt>
              <c:pt idx="1">
                <c:v>115.63157894736842</c:v>
              </c:pt>
              <c:pt idx="2">
                <c:v>118.86315789473684</c:v>
              </c:pt>
              <c:pt idx="3">
                <c:v>122.09473684210525</c:v>
              </c:pt>
              <c:pt idx="4">
                <c:v>125.32631578947368</c:v>
              </c:pt>
              <c:pt idx="5">
                <c:v>128.55789473684209</c:v>
              </c:pt>
              <c:pt idx="6">
                <c:v>131.78947368421052</c:v>
              </c:pt>
              <c:pt idx="7">
                <c:v>135.02105263157893</c:v>
              </c:pt>
              <c:pt idx="8">
                <c:v>138.25263157894733</c:v>
              </c:pt>
              <c:pt idx="9">
                <c:v>141.48421052631576</c:v>
              </c:pt>
              <c:pt idx="10">
                <c:v>144.71578947368417</c:v>
              </c:pt>
              <c:pt idx="11">
                <c:v>147.9473684210526</c:v>
              </c:pt>
              <c:pt idx="12">
                <c:v>151.17894736842101</c:v>
              </c:pt>
              <c:pt idx="13">
                <c:v>154.41052631578941</c:v>
              </c:pt>
              <c:pt idx="14">
                <c:v>157.64210526315784</c:v>
              </c:pt>
              <c:pt idx="15">
                <c:v>160.87368421052628</c:v>
              </c:pt>
              <c:pt idx="16">
                <c:v>164.10526315789468</c:v>
              </c:pt>
              <c:pt idx="17">
                <c:v>167.33684210526309</c:v>
              </c:pt>
              <c:pt idx="18">
                <c:v>170.56842105263152</c:v>
              </c:pt>
              <c:pt idx="19">
                <c:v>173.79999999999995</c:v>
              </c:pt>
            </c:numLit>
          </c:xVal>
          <c:yVal>
            <c:numLit>
              <c:formatCode>General</c:formatCode>
              <c:ptCount val="20"/>
              <c:pt idx="0">
                <c:v>13.599999999999994</c:v>
              </c:pt>
              <c:pt idx="1">
                <c:v>-1.6315789473684248</c:v>
              </c:pt>
              <c:pt idx="2">
                <c:v>-29.863157894736844</c:v>
              </c:pt>
              <c:pt idx="3">
                <c:v>7.9052631578947512</c:v>
              </c:pt>
              <c:pt idx="4">
                <c:v>26.673684210526318</c:v>
              </c:pt>
              <c:pt idx="5">
                <c:v>-18.557894736842087</c:v>
              </c:pt>
              <c:pt idx="6">
                <c:v>12.21052631578948</c:v>
              </c:pt>
              <c:pt idx="7">
                <c:v>10.978947368421075</c:v>
              </c:pt>
              <c:pt idx="8">
                <c:v>0.74736842105266987</c:v>
              </c:pt>
              <c:pt idx="9">
                <c:v>-37.484210526315763</c:v>
              </c:pt>
              <c:pt idx="10">
                <c:v>15.284210526315832</c:v>
              </c:pt>
              <c:pt idx="11">
                <c:v>-13.947368421052602</c:v>
              </c:pt>
              <c:pt idx="12">
                <c:v>3.8210526315789934</c:v>
              </c:pt>
              <c:pt idx="13">
                <c:v>-16.410526315789411</c:v>
              </c:pt>
              <c:pt idx="14">
                <c:v>28.357894736842155</c:v>
              </c:pt>
              <c:pt idx="15">
                <c:v>-0.87368421052627809</c:v>
              </c:pt>
              <c:pt idx="16">
                <c:v>12.894736842105317</c:v>
              </c:pt>
              <c:pt idx="17">
                <c:v>-23.336842105263088</c:v>
              </c:pt>
              <c:pt idx="18">
                <c:v>3.4315789473684788</c:v>
              </c:pt>
              <c:pt idx="19">
                <c:v>6.2000000000000455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840896"/>
        <c:axId val="69843200"/>
      </c:scatterChart>
      <c:valAx>
        <c:axId val="69840896"/>
        <c:scaling>
          <c:orientation val="minMax"/>
          <c:min val="11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Predicted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9843200"/>
        <c:crossesAt val="-50"/>
        <c:crossBetween val="midCat"/>
      </c:valAx>
      <c:valAx>
        <c:axId val="69843200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9840896"/>
        <c:crossesAt val="110"/>
        <c:crossBetween val="midCat"/>
      </c:valAx>
      <c:spPr>
        <a:ln w="635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en-US" sz="1100"/>
              <a:t>Histogram of Residuals
</a:t>
            </a:r>
            <a:r>
              <a:rPr lang="en-US" sz="1000"/>
              <a:t>Trend line model for Y    (1 variable, n=20)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0000FF"/>
            </a:solidFill>
            <a:ln w="12700">
              <a:solidFill>
                <a:srgbClr val="0000FF"/>
              </a:solidFill>
              <a:prstDash val="solid"/>
            </a:ln>
          </c:spPr>
          <c:invertIfNegative val="0"/>
          <c:cat>
            <c:strLit>
              <c:ptCount val="11"/>
              <c:pt idx="0">
                <c:v>-38.0</c:v>
              </c:pt>
              <c:pt idx="1">
                <c:v>-30.4</c:v>
              </c:pt>
              <c:pt idx="2">
                <c:v>-22.8</c:v>
              </c:pt>
              <c:pt idx="3">
                <c:v>-15.2</c:v>
              </c:pt>
              <c:pt idx="4">
                <c:v>-7.6</c:v>
              </c:pt>
              <c:pt idx="5">
                <c:v>0.0</c:v>
              </c:pt>
              <c:pt idx="6">
                <c:v>7.6</c:v>
              </c:pt>
              <c:pt idx="7">
                <c:v>15.2</c:v>
              </c:pt>
              <c:pt idx="8">
                <c:v>22.8</c:v>
              </c:pt>
              <c:pt idx="9">
                <c:v>30.4</c:v>
              </c:pt>
              <c:pt idx="10">
                <c:v>38.0</c:v>
              </c:pt>
            </c:strLit>
          </c:cat>
          <c:val>
            <c:numLit>
              <c:formatCode>General</c:formatCode>
              <c:ptCount val="11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3</c:v>
              </c:pt>
              <c:pt idx="4">
                <c:v>0</c:v>
              </c:pt>
              <c:pt idx="5">
                <c:v>4</c:v>
              </c:pt>
              <c:pt idx="6">
                <c:v>4</c:v>
              </c:pt>
              <c:pt idx="7">
                <c:v>4</c:v>
              </c:pt>
              <c:pt idx="8">
                <c:v>0</c:v>
              </c:pt>
              <c:pt idx="9">
                <c:v>2</c:v>
              </c:pt>
              <c:pt idx="10">
                <c:v>0</c:v>
              </c:pt>
            </c:numLit>
          </c:val>
        </c:ser>
        <c:ser>
          <c:idx val="1"/>
          <c:order val="1"/>
          <c:tx>
            <c:v>Theoretical</c:v>
          </c:tx>
          <c:spPr>
            <a:solidFill>
              <a:srgbClr val="FFD2D2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Lit>
              <c:ptCount val="11"/>
              <c:pt idx="0">
                <c:v>-38.0</c:v>
              </c:pt>
              <c:pt idx="1">
                <c:v>-30.4</c:v>
              </c:pt>
              <c:pt idx="2">
                <c:v>-22.8</c:v>
              </c:pt>
              <c:pt idx="3">
                <c:v>-15.2</c:v>
              </c:pt>
              <c:pt idx="4">
                <c:v>-7.6</c:v>
              </c:pt>
              <c:pt idx="5">
                <c:v>0.0</c:v>
              </c:pt>
              <c:pt idx="6">
                <c:v>7.6</c:v>
              </c:pt>
              <c:pt idx="7">
                <c:v>15.2</c:v>
              </c:pt>
              <c:pt idx="8">
                <c:v>22.8</c:v>
              </c:pt>
              <c:pt idx="9">
                <c:v>30.4</c:v>
              </c:pt>
              <c:pt idx="10">
                <c:v>38.0</c:v>
              </c:pt>
            </c:strLit>
          </c:cat>
          <c:val>
            <c:numLit>
              <c:formatCode>General</c:formatCode>
              <c:ptCount val="11"/>
              <c:pt idx="0">
                <c:v>0.37163012608731555</c:v>
              </c:pt>
              <c:pt idx="1">
                <c:v>0.81976310786341489</c:v>
              </c:pt>
              <c:pt idx="2">
                <c:v>1.5166971458152672</c:v>
              </c:pt>
              <c:pt idx="3">
                <c:v>2.3537190847921705</c:v>
              </c:pt>
              <c:pt idx="4">
                <c:v>3.0638288716373889</c:v>
              </c:pt>
              <c:pt idx="5">
                <c:v>3.345290702931889</c:v>
              </c:pt>
              <c:pt idx="6">
                <c:v>3.0638288716373872</c:v>
              </c:pt>
              <c:pt idx="7">
                <c:v>2.3537190847921714</c:v>
              </c:pt>
              <c:pt idx="8">
                <c:v>1.5166971458152645</c:v>
              </c:pt>
              <c:pt idx="9">
                <c:v>0.819763107863416</c:v>
              </c:pt>
              <c:pt idx="10">
                <c:v>0.37163012608731449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69852160"/>
        <c:axId val="69854336"/>
      </c:barChart>
      <c:catAx>
        <c:axId val="69852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 Range
</a:t>
                </a:r>
                <a:r>
                  <a:rPr lang="en-US" sz="750"/>
                  <a:t>Adjusted Anderson-Darling statistic is 0.454 (P=0.27)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69854336"/>
        <c:crosses val="autoZero"/>
        <c:auto val="1"/>
        <c:lblAlgn val="ctr"/>
        <c:lblOffset val="100"/>
        <c:noMultiLvlLbl val="0"/>
      </c:catAx>
      <c:valAx>
        <c:axId val="69854336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9852160"/>
        <c:crosses val="autoZero"/>
        <c:crossBetween val="between"/>
      </c:valAx>
      <c:spPr>
        <a:ln w="6350">
          <a:solidFill>
            <a:srgbClr val="808080"/>
          </a:solidFill>
          <a:prstDash val="solid"/>
        </a:ln>
      </c:spPr>
    </c:plotArea>
    <c:legend>
      <c:legendPos val="r"/>
      <c:overlay val="0"/>
    </c:legend>
    <c:plotVisOnly val="1"/>
    <c:dispBlanksAs val="gap"/>
    <c:showDLblsOverMax val="0"/>
  </c:chart>
  <c:spPr>
    <a:solidFill>
      <a:srgbClr val="F3F3F3"/>
    </a:solidFill>
    <a:ln w="6350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en-US" sz="1100"/>
              <a:t>Normal Quantile Plot
</a:t>
            </a:r>
            <a:r>
              <a:rPr lang="en-US" sz="1000"/>
              <a:t>Trend line model for Y    (1 variable, n=20)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Actual</c:v>
          </c:tx>
          <c:spPr>
            <a:ln w="25400">
              <a:noFill/>
            </a:ln>
          </c:spPr>
          <c:marker>
            <c:symbol val="diamond"/>
            <c:size val="8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xVal>
            <c:numLit>
              <c:formatCode>General</c:formatCode>
              <c:ptCount val="20"/>
              <c:pt idx="0">
                <c:v>-1.6683911939470788</c:v>
              </c:pt>
              <c:pt idx="1">
                <c:v>-1.3091717167857773</c:v>
              </c:pt>
              <c:pt idx="2">
                <c:v>-1.0675705238781419</c:v>
              </c:pt>
              <c:pt idx="3">
                <c:v>-0.87614284924684116</c:v>
              </c:pt>
              <c:pt idx="4">
                <c:v>-0.71244303238948903</c:v>
              </c:pt>
              <c:pt idx="5">
                <c:v>-0.56594882193286311</c:v>
              </c:pt>
              <c:pt idx="6">
                <c:v>-0.43072729929545767</c:v>
              </c:pt>
              <c:pt idx="7">
                <c:v>-0.30298044805620661</c:v>
              </c:pt>
              <c:pt idx="8">
                <c:v>-0.18001236979270516</c:v>
              </c:pt>
              <c:pt idx="9">
                <c:v>-5.9717099785322879E-2</c:v>
              </c:pt>
              <c:pt idx="10">
                <c:v>5.9717099785322879E-2</c:v>
              </c:pt>
              <c:pt idx="11">
                <c:v>0.18001236979270496</c:v>
              </c:pt>
              <c:pt idx="12">
                <c:v>0.30298044805620661</c:v>
              </c:pt>
              <c:pt idx="13">
                <c:v>0.4307272992954575</c:v>
              </c:pt>
              <c:pt idx="14">
                <c:v>0.56594882193286311</c:v>
              </c:pt>
              <c:pt idx="15">
                <c:v>0.71244303238948892</c:v>
              </c:pt>
              <c:pt idx="16">
                <c:v>0.87614284924684116</c:v>
              </c:pt>
              <c:pt idx="17">
                <c:v>1.0675705238781419</c:v>
              </c:pt>
              <c:pt idx="18">
                <c:v>1.3091717167857773</c:v>
              </c:pt>
              <c:pt idx="19">
                <c:v>1.6683911939470786</c:v>
              </c:pt>
            </c:numLit>
          </c:xVal>
          <c:yVal>
            <c:numLit>
              <c:formatCode>General</c:formatCode>
              <c:ptCount val="20"/>
              <c:pt idx="0">
                <c:v>-2.0832791843164364</c:v>
              </c:pt>
              <c:pt idx="1">
                <c:v>-1.6597200353568478</c:v>
              </c:pt>
              <c:pt idx="2">
                <c:v>-1.2970036370765317</c:v>
              </c:pt>
              <c:pt idx="3">
                <c:v>-1.0314016293035317</c:v>
              </c:pt>
              <c:pt idx="4">
                <c:v>-0.91205623374032974</c:v>
              </c:pt>
              <c:pt idx="5">
                <c:v>-0.77516004471195576</c:v>
              </c:pt>
              <c:pt idx="6">
                <c:v>-9.0679099570078234E-2</c:v>
              </c:pt>
              <c:pt idx="7">
                <c:v>-4.8557195253652596E-2</c:v>
              </c:pt>
              <c:pt idx="8">
                <c:v>4.153687786758626E-2</c:v>
              </c:pt>
              <c:pt idx="9">
                <c:v>0.19071862232158668</c:v>
              </c:pt>
              <c:pt idx="10">
                <c:v>0.21236460092863693</c:v>
              </c:pt>
              <c:pt idx="11">
                <c:v>0.34458057836629907</c:v>
              </c:pt>
              <c:pt idx="12">
                <c:v>0.43935486307824984</c:v>
              </c:pt>
              <c:pt idx="13">
                <c:v>0.61018258613930054</c:v>
              </c:pt>
              <c:pt idx="14">
                <c:v>0.67863068065348753</c:v>
              </c:pt>
              <c:pt idx="15">
                <c:v>0.71665739982803911</c:v>
              </c:pt>
              <c:pt idx="16">
                <c:v>0.75585417190026305</c:v>
              </c:pt>
              <c:pt idx="17">
                <c:v>0.84945840371453973</c:v>
              </c:pt>
              <c:pt idx="18">
                <c:v>1.4824570213585662</c:v>
              </c:pt>
              <c:pt idx="19">
                <c:v>1.5760612531728428</c:v>
              </c:pt>
            </c:numLit>
          </c:yVal>
          <c:smooth val="0"/>
        </c:ser>
        <c:ser>
          <c:idx val="1"/>
          <c:order val="1"/>
          <c:tx>
            <c:v>Theoretical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0"/>
              <c:pt idx="0">
                <c:v>-1.6683911939470788</c:v>
              </c:pt>
              <c:pt idx="1">
                <c:v>-1.3091717167857773</c:v>
              </c:pt>
              <c:pt idx="2">
                <c:v>-1.0675705238781419</c:v>
              </c:pt>
              <c:pt idx="3">
                <c:v>-0.87614284924684116</c:v>
              </c:pt>
              <c:pt idx="4">
                <c:v>-0.71244303238948903</c:v>
              </c:pt>
              <c:pt idx="5">
                <c:v>-0.56594882193286311</c:v>
              </c:pt>
              <c:pt idx="6">
                <c:v>-0.43072729929545767</c:v>
              </c:pt>
              <c:pt idx="7">
                <c:v>-0.30298044805620661</c:v>
              </c:pt>
              <c:pt idx="8">
                <c:v>-0.18001236979270516</c:v>
              </c:pt>
              <c:pt idx="9">
                <c:v>-5.9717099785322879E-2</c:v>
              </c:pt>
              <c:pt idx="10">
                <c:v>5.9717099785322879E-2</c:v>
              </c:pt>
              <c:pt idx="11">
                <c:v>0.18001236979270496</c:v>
              </c:pt>
              <c:pt idx="12">
                <c:v>0.30298044805620661</c:v>
              </c:pt>
              <c:pt idx="13">
                <c:v>0.4307272992954575</c:v>
              </c:pt>
              <c:pt idx="14">
                <c:v>0.56594882193286311</c:v>
              </c:pt>
              <c:pt idx="15">
                <c:v>0.71244303238948892</c:v>
              </c:pt>
              <c:pt idx="16">
                <c:v>0.87614284924684116</c:v>
              </c:pt>
              <c:pt idx="17">
                <c:v>1.0675705238781419</c:v>
              </c:pt>
              <c:pt idx="18">
                <c:v>1.3091717167857773</c:v>
              </c:pt>
              <c:pt idx="19">
                <c:v>1.6683911939470786</c:v>
              </c:pt>
            </c:numLit>
          </c:xVal>
          <c:yVal>
            <c:numLit>
              <c:formatCode>General</c:formatCode>
              <c:ptCount val="20"/>
              <c:pt idx="0">
                <c:v>-1.6683911939470788</c:v>
              </c:pt>
              <c:pt idx="1">
                <c:v>-1.3091717167857773</c:v>
              </c:pt>
              <c:pt idx="2">
                <c:v>-1.0675705238781419</c:v>
              </c:pt>
              <c:pt idx="3">
                <c:v>-0.87614284924684116</c:v>
              </c:pt>
              <c:pt idx="4">
                <c:v>-0.71244303238948903</c:v>
              </c:pt>
              <c:pt idx="5">
                <c:v>-0.56594882193286311</c:v>
              </c:pt>
              <c:pt idx="6">
                <c:v>-0.43072729929545767</c:v>
              </c:pt>
              <c:pt idx="7">
                <c:v>-0.30298044805620661</c:v>
              </c:pt>
              <c:pt idx="8">
                <c:v>-0.18001236979270516</c:v>
              </c:pt>
              <c:pt idx="9">
                <c:v>-5.9717099785322879E-2</c:v>
              </c:pt>
              <c:pt idx="10">
                <c:v>5.9717099785322879E-2</c:v>
              </c:pt>
              <c:pt idx="11">
                <c:v>0.18001236979270496</c:v>
              </c:pt>
              <c:pt idx="12">
                <c:v>0.30298044805620661</c:v>
              </c:pt>
              <c:pt idx="13">
                <c:v>0.4307272992954575</c:v>
              </c:pt>
              <c:pt idx="14">
                <c:v>0.56594882193286311</c:v>
              </c:pt>
              <c:pt idx="15">
                <c:v>0.71244303238948892</c:v>
              </c:pt>
              <c:pt idx="16">
                <c:v>0.87614284924684116</c:v>
              </c:pt>
              <c:pt idx="17">
                <c:v>1.0675705238781419</c:v>
              </c:pt>
              <c:pt idx="18">
                <c:v>1.3091717167857773</c:v>
              </c:pt>
              <c:pt idx="19">
                <c:v>1.6683911939470786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867776"/>
        <c:axId val="69869952"/>
      </c:scatterChart>
      <c:valAx>
        <c:axId val="69867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Theoretical Standardized Residual
</a:t>
                </a:r>
                <a:r>
                  <a:rPr lang="en-US" sz="750"/>
                  <a:t>Adjusted Anderson-Darling statistic is 0.454 (P=0.27)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9869952"/>
        <c:crosses val="autoZero"/>
        <c:crossBetween val="midCat"/>
      </c:valAx>
      <c:valAx>
        <c:axId val="698699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Actual Standardized Residual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9867776"/>
        <c:crossesAt val="-2"/>
        <c:crossBetween val="midCat"/>
      </c:valAx>
      <c:spPr>
        <a:ln w="6350">
          <a:solidFill>
            <a:srgbClr val="808080"/>
          </a:solidFill>
          <a:prstDash val="solid"/>
        </a:ln>
      </c:spPr>
    </c:plotArea>
    <c:legend>
      <c:legendPos val="r"/>
      <c:overlay val="0"/>
    </c:legend>
    <c:plotVisOnly val="1"/>
    <c:dispBlanksAs val="gap"/>
    <c:showDLblsOverMax val="0"/>
  </c:chart>
  <c:spPr>
    <a:solidFill>
      <a:srgbClr val="F3F3F3"/>
    </a:solidFill>
    <a:ln w="6350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emf"/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Relationship Id="rId9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123825</xdr:colOff>
      <xdr:row>4</xdr:row>
      <xdr:rowOff>157161</xdr:rowOff>
    </xdr:from>
    <xdr:to>
      <xdr:col>21</xdr:col>
      <xdr:colOff>585787</xdr:colOff>
      <xdr:row>20</xdr:row>
      <xdr:rowOff>9524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90487</xdr:colOff>
      <xdr:row>26</xdr:row>
      <xdr:rowOff>138112</xdr:rowOff>
    </xdr:from>
    <xdr:to>
      <xdr:col>21</xdr:col>
      <xdr:colOff>390525</xdr:colOff>
      <xdr:row>42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14</xdr:col>
      <xdr:colOff>95250</xdr:colOff>
      <xdr:row>43</xdr:row>
      <xdr:rowOff>95250</xdr:rowOff>
    </xdr:from>
    <xdr:to>
      <xdr:col>21</xdr:col>
      <xdr:colOff>409003</xdr:colOff>
      <xdr:row>69</xdr:row>
      <xdr:rowOff>161298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325100" y="8286750"/>
          <a:ext cx="4580953" cy="5019048"/>
        </a:xfrm>
        <a:prstGeom prst="rect">
          <a:avLst/>
        </a:prstGeom>
        <a:ln>
          <a:solidFill>
            <a:schemeClr val="tx2">
              <a:lumMod val="60000"/>
              <a:lumOff val="40000"/>
            </a:schemeClr>
          </a:solidFill>
        </a:ln>
      </xdr:spPr>
    </xdr:pic>
    <xdr:clientData/>
  </xdr:twoCellAnchor>
  <xdr:twoCellAnchor editAs="oneCell">
    <xdr:from>
      <xdr:col>4</xdr:col>
      <xdr:colOff>152400</xdr:colOff>
      <xdr:row>35</xdr:row>
      <xdr:rowOff>57150</xdr:rowOff>
    </xdr:from>
    <xdr:to>
      <xdr:col>9</xdr:col>
      <xdr:colOff>599444</xdr:colOff>
      <xdr:row>60</xdr:row>
      <xdr:rowOff>18459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733675" y="6724650"/>
          <a:ext cx="5047619" cy="4723809"/>
        </a:xfrm>
        <a:prstGeom prst="rect">
          <a:avLst/>
        </a:prstGeom>
        <a:ln>
          <a:solidFill>
            <a:schemeClr val="bg1">
              <a:lumMod val="65000"/>
            </a:schemeClr>
          </a:solidFill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23</xdr:row>
      <xdr:rowOff>127000</xdr:rowOff>
    </xdr:from>
    <xdr:to>
      <xdr:col>8</xdr:col>
      <xdr:colOff>460375</xdr:colOff>
      <xdr:row>41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288925</xdr:colOff>
      <xdr:row>56</xdr:row>
      <xdr:rowOff>98425</xdr:rowOff>
    </xdr:from>
    <xdr:to>
      <xdr:col>9</xdr:col>
      <xdr:colOff>12700</xdr:colOff>
      <xdr:row>74</xdr:row>
      <xdr:rowOff>98425</xdr:rowOff>
    </xdr:to>
    <xdr:graphicFrame macro="">
      <xdr:nvGraphicFramePr>
        <xdr:cNvPr id="3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127000</xdr:colOff>
      <xdr:row>78</xdr:row>
      <xdr:rowOff>127000</xdr:rowOff>
    </xdr:from>
    <xdr:to>
      <xdr:col>8</xdr:col>
      <xdr:colOff>460375</xdr:colOff>
      <xdr:row>96</xdr:row>
      <xdr:rowOff>127000</xdr:rowOff>
    </xdr:to>
    <xdr:graphicFrame macro="">
      <xdr:nvGraphicFramePr>
        <xdr:cNvPr id="4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127000</xdr:colOff>
      <xdr:row>100</xdr:row>
      <xdr:rowOff>127000</xdr:rowOff>
    </xdr:from>
    <xdr:to>
      <xdr:col>8</xdr:col>
      <xdr:colOff>460375</xdr:colOff>
      <xdr:row>118</xdr:row>
      <xdr:rowOff>127000</xdr:rowOff>
    </xdr:to>
    <xdr:graphicFrame macro="">
      <xdr:nvGraphicFramePr>
        <xdr:cNvPr id="5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127000</xdr:colOff>
      <xdr:row>122</xdr:row>
      <xdr:rowOff>127000</xdr:rowOff>
    </xdr:from>
    <xdr:to>
      <xdr:col>8</xdr:col>
      <xdr:colOff>460375</xdr:colOff>
      <xdr:row>140</xdr:row>
      <xdr:rowOff>127000</xdr:rowOff>
    </xdr:to>
    <xdr:graphicFrame macro="">
      <xdr:nvGraphicFramePr>
        <xdr:cNvPr id="6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127000</xdr:colOff>
      <xdr:row>144</xdr:row>
      <xdr:rowOff>127000</xdr:rowOff>
    </xdr:from>
    <xdr:to>
      <xdr:col>8</xdr:col>
      <xdr:colOff>460375</xdr:colOff>
      <xdr:row>162</xdr:row>
      <xdr:rowOff>127000</xdr:rowOff>
    </xdr:to>
    <xdr:graphicFrame macro="">
      <xdr:nvGraphicFramePr>
        <xdr:cNvPr id="7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127000</xdr:colOff>
      <xdr:row>166</xdr:row>
      <xdr:rowOff>127000</xdr:rowOff>
    </xdr:from>
    <xdr:to>
      <xdr:col>8</xdr:col>
      <xdr:colOff>460375</xdr:colOff>
      <xdr:row>184</xdr:row>
      <xdr:rowOff>127000</xdr:rowOff>
    </xdr:to>
    <xdr:graphicFrame macro="">
      <xdr:nvGraphicFramePr>
        <xdr:cNvPr id="8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4</xdr:col>
      <xdr:colOff>0</xdr:colOff>
      <xdr:row>0</xdr:row>
      <xdr:rowOff>0</xdr:rowOff>
    </xdr:from>
    <xdr:to>
      <xdr:col>8</xdr:col>
      <xdr:colOff>476250</xdr:colOff>
      <xdr:row>0</xdr:row>
      <xdr:rowOff>152400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19350" y="0"/>
          <a:ext cx="291465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47625</xdr:colOff>
      <xdr:row>7</xdr:row>
      <xdr:rowOff>123825</xdr:rowOff>
    </xdr:from>
    <xdr:to>
      <xdr:col>24</xdr:col>
      <xdr:colOff>303840</xdr:colOff>
      <xdr:row>44</xdr:row>
      <xdr:rowOff>82871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953375" y="1209675"/>
          <a:ext cx="6961815" cy="4692971"/>
        </a:xfrm>
        <a:prstGeom prst="rect">
          <a:avLst/>
        </a:prstGeom>
        <a:ln>
          <a:solidFill>
            <a:schemeClr val="tx2">
              <a:lumMod val="60000"/>
              <a:lumOff val="40000"/>
            </a:schemeClr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people.duke.edu/~rnau/regintro.ht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regressit.com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tabSelected="1" workbookViewId="0">
      <selection activeCell="F24" sqref="F24"/>
    </sheetView>
  </sheetViews>
  <sheetFormatPr defaultRowHeight="15" x14ac:dyDescent="0.25"/>
  <cols>
    <col min="3" max="3" width="11" bestFit="1" customWidth="1"/>
    <col min="4" max="4" width="9.42578125" bestFit="1" customWidth="1"/>
    <col min="5" max="5" width="32.42578125" customWidth="1"/>
  </cols>
  <sheetData>
    <row r="1" spans="1:16" x14ac:dyDescent="0.25">
      <c r="A1" s="1" t="s">
        <v>0</v>
      </c>
      <c r="B1" s="1" t="s">
        <v>1</v>
      </c>
      <c r="C1" s="1" t="s">
        <v>50</v>
      </c>
      <c r="D1" s="1" t="s">
        <v>51</v>
      </c>
      <c r="E1" s="2" t="s">
        <v>119</v>
      </c>
      <c r="F1" s="3"/>
      <c r="G1" s="3"/>
      <c r="O1" s="3" t="s">
        <v>129</v>
      </c>
      <c r="P1" s="56" t="s">
        <v>130</v>
      </c>
    </row>
    <row r="2" spans="1:16" x14ac:dyDescent="0.25">
      <c r="A2" s="46">
        <v>1</v>
      </c>
      <c r="B2" s="46">
        <v>126</v>
      </c>
      <c r="C2" s="52">
        <f t="shared" ref="C2:C21" si="0">INTERCEPT+A2*SLOPE</f>
        <v>112.4</v>
      </c>
      <c r="D2" s="19">
        <f>B2-C2</f>
        <v>13.599999999999994</v>
      </c>
      <c r="E2" s="4" t="s">
        <v>2</v>
      </c>
      <c r="F2" s="5">
        <f>COUNT(Y)</f>
        <v>20</v>
      </c>
      <c r="G2" s="6" t="s">
        <v>3</v>
      </c>
      <c r="H2" s="4"/>
    </row>
    <row r="3" spans="1:16" x14ac:dyDescent="0.25">
      <c r="A3" s="47">
        <v>2</v>
      </c>
      <c r="B3" s="47">
        <v>114</v>
      </c>
      <c r="C3" s="53">
        <f t="shared" si="0"/>
        <v>115.63157894736842</v>
      </c>
      <c r="D3" s="20">
        <f t="shared" ref="D3:D21" si="1">B3-C3</f>
        <v>-1.6315789473684248</v>
      </c>
      <c r="E3" s="4" t="s">
        <v>4</v>
      </c>
      <c r="F3" s="5">
        <f>AVERAGE(Y)</f>
        <v>143.1</v>
      </c>
      <c r="G3" s="6" t="s">
        <v>5</v>
      </c>
      <c r="H3" s="4"/>
    </row>
    <row r="4" spans="1:16" x14ac:dyDescent="0.25">
      <c r="A4" s="47">
        <v>3</v>
      </c>
      <c r="B4" s="47">
        <v>89</v>
      </c>
      <c r="C4" s="53">
        <f t="shared" si="0"/>
        <v>118.86315789473684</v>
      </c>
      <c r="D4" s="20">
        <f t="shared" si="1"/>
        <v>-29.863157894736844</v>
      </c>
      <c r="E4" s="4" t="s">
        <v>6</v>
      </c>
      <c r="F4" s="7">
        <f>_xlfn.STDEV.S(Y)</f>
        <v>26.253621304097209</v>
      </c>
      <c r="G4" s="8" t="s">
        <v>7</v>
      </c>
      <c r="H4" s="4"/>
      <c r="O4" s="3" t="s">
        <v>123</v>
      </c>
    </row>
    <row r="5" spans="1:16" x14ac:dyDescent="0.25">
      <c r="A5" s="47">
        <v>4</v>
      </c>
      <c r="B5" s="47">
        <v>130</v>
      </c>
      <c r="C5" s="53">
        <f t="shared" si="0"/>
        <v>122.09473684210526</v>
      </c>
      <c r="D5" s="20">
        <f t="shared" si="1"/>
        <v>7.905263157894737</v>
      </c>
      <c r="E5" s="4" t="s">
        <v>8</v>
      </c>
      <c r="F5" s="5">
        <f>AVERAGE(X)</f>
        <v>10.5</v>
      </c>
      <c r="G5" s="6" t="s">
        <v>9</v>
      </c>
      <c r="H5" s="4"/>
    </row>
    <row r="6" spans="1:16" x14ac:dyDescent="0.25">
      <c r="A6" s="47">
        <v>5</v>
      </c>
      <c r="B6" s="47">
        <v>152</v>
      </c>
      <c r="C6" s="53">
        <f t="shared" si="0"/>
        <v>125.32631578947368</v>
      </c>
      <c r="D6" s="20">
        <f t="shared" si="1"/>
        <v>26.673684210526318</v>
      </c>
      <c r="E6" s="4" t="s">
        <v>10</v>
      </c>
      <c r="F6" s="7">
        <f>_xlfn.STDEV.S(X)</f>
        <v>5.9160797830996161</v>
      </c>
      <c r="G6" s="8" t="s">
        <v>11</v>
      </c>
      <c r="H6" s="4"/>
    </row>
    <row r="7" spans="1:16" x14ac:dyDescent="0.25">
      <c r="A7" s="47">
        <v>6</v>
      </c>
      <c r="B7" s="47">
        <v>110</v>
      </c>
      <c r="C7" s="53">
        <f t="shared" si="0"/>
        <v>128.55789473684212</v>
      </c>
      <c r="D7" s="20">
        <f t="shared" si="1"/>
        <v>-18.557894736842115</v>
      </c>
      <c r="F7" s="9"/>
      <c r="G7" s="10"/>
    </row>
    <row r="8" spans="1:16" x14ac:dyDescent="0.25">
      <c r="A8" s="47">
        <v>7</v>
      </c>
      <c r="B8" s="47">
        <v>144</v>
      </c>
      <c r="C8" s="53">
        <f t="shared" si="0"/>
        <v>131.78947368421052</v>
      </c>
      <c r="D8" s="20">
        <f t="shared" si="1"/>
        <v>12.21052631578948</v>
      </c>
      <c r="E8" s="4" t="s">
        <v>12</v>
      </c>
      <c r="F8" s="7">
        <f>CORREL(Y,X)</f>
        <v>0.72821492534567023</v>
      </c>
      <c r="G8" s="8" t="s">
        <v>13</v>
      </c>
      <c r="H8" s="4"/>
    </row>
    <row r="9" spans="1:16" x14ac:dyDescent="0.25">
      <c r="A9" s="47">
        <v>8</v>
      </c>
      <c r="B9" s="47">
        <v>146</v>
      </c>
      <c r="C9" s="53">
        <f t="shared" si="0"/>
        <v>135.02105263157895</v>
      </c>
      <c r="D9" s="20">
        <f t="shared" si="1"/>
        <v>10.978947368421046</v>
      </c>
      <c r="E9" s="4" t="s">
        <v>14</v>
      </c>
      <c r="F9" s="7">
        <f>Correlation_of_Y_and_X^2</f>
        <v>0.53029697749620008</v>
      </c>
      <c r="G9" s="8" t="s">
        <v>15</v>
      </c>
      <c r="H9" s="4"/>
    </row>
    <row r="10" spans="1:16" x14ac:dyDescent="0.25">
      <c r="A10" s="47">
        <v>9</v>
      </c>
      <c r="B10" s="47">
        <v>139</v>
      </c>
      <c r="C10" s="53">
        <f t="shared" si="0"/>
        <v>138.25263157894736</v>
      </c>
      <c r="D10" s="20">
        <f t="shared" si="1"/>
        <v>0.74736842105264145</v>
      </c>
      <c r="E10" s="4" t="s">
        <v>16</v>
      </c>
      <c r="F10" s="7">
        <f>1-((n-1)/(n-2))*(1-R_squared)</f>
        <v>0.50420236513487793</v>
      </c>
      <c r="G10" s="8" t="s">
        <v>17</v>
      </c>
      <c r="H10" s="4"/>
    </row>
    <row r="11" spans="1:16" x14ac:dyDescent="0.25">
      <c r="A11" s="47">
        <v>10</v>
      </c>
      <c r="B11" s="47">
        <v>104</v>
      </c>
      <c r="C11" s="53">
        <f t="shared" si="0"/>
        <v>141.48421052631579</v>
      </c>
      <c r="D11" s="20">
        <f t="shared" si="1"/>
        <v>-37.484210526315792</v>
      </c>
      <c r="E11" s="4" t="s">
        <v>18</v>
      </c>
      <c r="F11" s="7">
        <f>SQRT(1-Adjusted_R_squared)*Std_Dev_of_Y</f>
        <v>18.48593585841418</v>
      </c>
      <c r="G11" s="8" t="s">
        <v>19</v>
      </c>
      <c r="H11" s="4"/>
    </row>
    <row r="12" spans="1:16" x14ac:dyDescent="0.25">
      <c r="A12" s="47">
        <v>11</v>
      </c>
      <c r="B12" s="47">
        <v>160</v>
      </c>
      <c r="C12" s="53">
        <f t="shared" si="0"/>
        <v>144.7157894736842</v>
      </c>
      <c r="D12" s="20">
        <f t="shared" si="1"/>
        <v>15.284210526315803</v>
      </c>
      <c r="F12" s="9"/>
      <c r="G12" s="10"/>
    </row>
    <row r="13" spans="1:16" x14ac:dyDescent="0.25">
      <c r="A13" s="47">
        <v>12</v>
      </c>
      <c r="B13" s="47">
        <v>134</v>
      </c>
      <c r="C13" s="53">
        <f t="shared" si="0"/>
        <v>147.94736842105263</v>
      </c>
      <c r="D13" s="20">
        <f t="shared" si="1"/>
        <v>-13.94736842105263</v>
      </c>
      <c r="E13" s="4" t="s">
        <v>20</v>
      </c>
      <c r="F13" s="7">
        <f>Correlation_of_Y_and_X*Std_Dev_of_Y/Std_Dev_of_X</f>
        <v>3.2315789473684196</v>
      </c>
      <c r="G13" s="8" t="s">
        <v>21</v>
      </c>
      <c r="H13" s="4"/>
    </row>
    <row r="14" spans="1:16" x14ac:dyDescent="0.25">
      <c r="A14" s="47">
        <v>13</v>
      </c>
      <c r="B14" s="47">
        <v>155</v>
      </c>
      <c r="C14" s="53">
        <f t="shared" si="0"/>
        <v>151.17894736842103</v>
      </c>
      <c r="D14" s="20">
        <f t="shared" si="1"/>
        <v>3.821052631578965</v>
      </c>
      <c r="E14" s="4" t="s">
        <v>22</v>
      </c>
      <c r="F14" s="7">
        <f>(Std_error_of_regression/SQRT(n))*(1/_xlfn.STDEV.P(X))</f>
        <v>0.71685384523672702</v>
      </c>
      <c r="G14" s="8" t="s">
        <v>23</v>
      </c>
      <c r="H14" s="4"/>
    </row>
    <row r="15" spans="1:16" x14ac:dyDescent="0.25">
      <c r="A15" s="47">
        <v>14</v>
      </c>
      <c r="B15" s="47">
        <v>138</v>
      </c>
      <c r="C15" s="53">
        <f t="shared" si="0"/>
        <v>154.41052631578947</v>
      </c>
      <c r="D15" s="20">
        <f t="shared" si="1"/>
        <v>-16.410526315789468</v>
      </c>
      <c r="E15" s="4" t="s">
        <v>24</v>
      </c>
      <c r="F15" s="7">
        <f>SLOPE/Std_error_of_SLOPE</f>
        <v>4.5080025291644406</v>
      </c>
      <c r="G15" s="8" t="s">
        <v>25</v>
      </c>
      <c r="H15" s="4"/>
    </row>
    <row r="16" spans="1:16" x14ac:dyDescent="0.25">
      <c r="A16" s="47">
        <v>15</v>
      </c>
      <c r="B16" s="47">
        <v>186</v>
      </c>
      <c r="C16" s="53">
        <f t="shared" si="0"/>
        <v>157.64210526315787</v>
      </c>
      <c r="D16" s="20">
        <f t="shared" si="1"/>
        <v>28.357894736842127</v>
      </c>
      <c r="E16" s="4" t="s">
        <v>26</v>
      </c>
      <c r="F16" s="7">
        <f>_xlfn.T.DIST.2T(ABS(t_stat_of_SLOPE),n-2)</f>
        <v>2.7215376329114033E-4</v>
      </c>
      <c r="G16" s="8" t="s">
        <v>27</v>
      </c>
    </row>
    <row r="17" spans="1:16" x14ac:dyDescent="0.25">
      <c r="A17" s="47">
        <v>16</v>
      </c>
      <c r="B17" s="47">
        <v>160</v>
      </c>
      <c r="C17" s="53">
        <f t="shared" si="0"/>
        <v>160.87368421052631</v>
      </c>
      <c r="D17" s="20">
        <f t="shared" si="1"/>
        <v>-0.87368421052630652</v>
      </c>
      <c r="E17" s="4" t="s">
        <v>28</v>
      </c>
      <c r="F17" s="7">
        <f>Mean_of_Y-SLOPE*Mean_of_X</f>
        <v>109.16842105263159</v>
      </c>
      <c r="G17" s="8" t="s">
        <v>29</v>
      </c>
      <c r="H17" s="4"/>
    </row>
    <row r="18" spans="1:16" x14ac:dyDescent="0.25">
      <c r="A18" s="47">
        <v>17</v>
      </c>
      <c r="B18" s="47">
        <v>177</v>
      </c>
      <c r="C18" s="53">
        <f t="shared" si="0"/>
        <v>164.10526315789471</v>
      </c>
      <c r="D18" s="20">
        <f t="shared" si="1"/>
        <v>12.894736842105289</v>
      </c>
      <c r="E18" s="4" t="s">
        <v>30</v>
      </c>
      <c r="F18" s="7">
        <f>(Std_error_of_regression/SQRT(n))*SQRT(1+Mean_of_X^2/_xlfn.VAR.P(X))</f>
        <v>8.5872987012391029</v>
      </c>
      <c r="G18" s="8" t="s">
        <v>128</v>
      </c>
      <c r="H18" s="4"/>
    </row>
    <row r="19" spans="1:16" x14ac:dyDescent="0.25">
      <c r="A19" s="47">
        <v>18</v>
      </c>
      <c r="B19" s="47">
        <v>144</v>
      </c>
      <c r="C19" s="53">
        <f t="shared" si="0"/>
        <v>167.33684210526314</v>
      </c>
      <c r="D19" s="20">
        <f t="shared" si="1"/>
        <v>-23.336842105263145</v>
      </c>
      <c r="E19" s="4" t="s">
        <v>31</v>
      </c>
      <c r="F19" s="7">
        <f>INTERCEPT/Std_error_of_INTERCEPT</f>
        <v>12.712777888683336</v>
      </c>
      <c r="G19" s="8" t="s">
        <v>32</v>
      </c>
      <c r="H19" s="4"/>
    </row>
    <row r="20" spans="1:16" x14ac:dyDescent="0.25">
      <c r="A20" s="47">
        <v>19</v>
      </c>
      <c r="B20" s="47">
        <v>174</v>
      </c>
      <c r="C20" s="53">
        <f t="shared" si="0"/>
        <v>170.56842105263155</v>
      </c>
      <c r="D20" s="20">
        <f t="shared" si="1"/>
        <v>3.4315789473684504</v>
      </c>
      <c r="G20" s="11"/>
    </row>
    <row r="21" spans="1:16" x14ac:dyDescent="0.25">
      <c r="A21" s="48">
        <v>20</v>
      </c>
      <c r="B21" s="48">
        <v>180</v>
      </c>
      <c r="C21" s="54">
        <f t="shared" si="0"/>
        <v>173.79999999999998</v>
      </c>
      <c r="D21" s="21">
        <f t="shared" si="1"/>
        <v>6.2000000000000171</v>
      </c>
      <c r="E21" s="4" t="s">
        <v>33</v>
      </c>
      <c r="F21" s="12">
        <v>0.95</v>
      </c>
      <c r="G21" s="13" t="s">
        <v>116</v>
      </c>
      <c r="H21" s="4"/>
    </row>
    <row r="22" spans="1:16" x14ac:dyDescent="0.25">
      <c r="A22" s="17"/>
      <c r="B22" s="43"/>
      <c r="C22" s="18"/>
      <c r="D22" s="17"/>
      <c r="E22" s="4" t="s">
        <v>34</v>
      </c>
      <c r="F22" s="41">
        <f>_xlfn.T.INV.2T(1-Confidence_level,n-2)</f>
        <v>2.1009220402410378</v>
      </c>
      <c r="G22" s="8" t="s">
        <v>35</v>
      </c>
    </row>
    <row r="23" spans="1:16" x14ac:dyDescent="0.25">
      <c r="A23" s="51" t="s">
        <v>126</v>
      </c>
      <c r="B23" s="55"/>
      <c r="C23" s="55"/>
      <c r="D23" s="55"/>
    </row>
    <row r="24" spans="1:16" x14ac:dyDescent="0.25">
      <c r="A24" s="51" t="s">
        <v>127</v>
      </c>
      <c r="B24" s="55"/>
      <c r="C24" s="55"/>
      <c r="D24" s="55"/>
      <c r="E24" s="4" t="s">
        <v>36</v>
      </c>
      <c r="F24" s="14">
        <v>21</v>
      </c>
      <c r="G24" s="13" t="s">
        <v>117</v>
      </c>
    </row>
    <row r="25" spans="1:16" x14ac:dyDescent="0.25">
      <c r="A25" s="17"/>
      <c r="B25" s="17"/>
      <c r="C25" s="17"/>
      <c r="D25" s="17"/>
      <c r="E25" s="4" t="s">
        <v>37</v>
      </c>
      <c r="F25" s="41">
        <f>INTERCEPT+SLOPE*x_</f>
        <v>177.03157894736842</v>
      </c>
      <c r="G25" s="15" t="s">
        <v>125</v>
      </c>
    </row>
    <row r="26" spans="1:16" x14ac:dyDescent="0.25">
      <c r="A26" s="17"/>
      <c r="B26" s="17"/>
      <c r="C26" s="17"/>
      <c r="D26" s="17"/>
      <c r="F26" s="42"/>
      <c r="G26" s="9"/>
      <c r="P26" s="3" t="s">
        <v>120</v>
      </c>
    </row>
    <row r="27" spans="1:16" x14ac:dyDescent="0.25">
      <c r="A27" s="17"/>
      <c r="B27" s="17"/>
      <c r="C27" s="17"/>
      <c r="D27" s="17"/>
      <c r="E27" s="4" t="s">
        <v>38</v>
      </c>
      <c r="F27" s="41">
        <f>(Std_error_of_regression/SQRT(n))*SQRT(1+(x_-Mean_of_X)^2/_xlfn.VAR.P(X))</f>
        <v>8.5872987012391029</v>
      </c>
      <c r="G27" s="15" t="s">
        <v>39</v>
      </c>
    </row>
    <row r="28" spans="1:16" x14ac:dyDescent="0.25">
      <c r="A28" s="17"/>
      <c r="B28" s="17"/>
      <c r="C28" s="17"/>
      <c r="D28" s="17"/>
      <c r="E28" s="4" t="s">
        <v>40</v>
      </c>
      <c r="F28" s="41">
        <f>Forecast_at_x-Critical_t_value_95_percent*Std_error_of_mean_at_x</f>
        <v>158.99033383980193</v>
      </c>
      <c r="G28" s="15" t="s">
        <v>41</v>
      </c>
    </row>
    <row r="29" spans="1:16" x14ac:dyDescent="0.25">
      <c r="A29" s="17"/>
      <c r="B29" s="17"/>
      <c r="C29" s="17"/>
      <c r="D29" s="17"/>
      <c r="E29" s="4" t="s">
        <v>42</v>
      </c>
      <c r="F29" s="41">
        <f>Forecast_at_x+Critical_t_value_95_percent*Std_error_of_mean_at_x</f>
        <v>195.0728240549349</v>
      </c>
      <c r="G29" s="15" t="s">
        <v>43</v>
      </c>
    </row>
    <row r="30" spans="1:16" x14ac:dyDescent="0.25">
      <c r="A30" s="17"/>
      <c r="B30" s="17"/>
      <c r="C30" s="17"/>
      <c r="D30" s="17"/>
      <c r="F30" s="42"/>
      <c r="G30" s="9"/>
    </row>
    <row r="31" spans="1:16" x14ac:dyDescent="0.25">
      <c r="A31" s="17"/>
      <c r="B31" s="17"/>
      <c r="C31" s="17"/>
      <c r="D31" s="17"/>
      <c r="E31" s="4" t="s">
        <v>44</v>
      </c>
      <c r="F31" s="41">
        <f>SQRT(Std_error_of_regression^2+Std_error_of_mean_at_x^2)</f>
        <v>20.38311859224947</v>
      </c>
      <c r="G31" s="15" t="s">
        <v>45</v>
      </c>
    </row>
    <row r="32" spans="1:16" x14ac:dyDescent="0.25">
      <c r="E32" s="4" t="s">
        <v>46</v>
      </c>
      <c r="F32" s="41">
        <f>Forecast_at_x-Critical_t_value_95_percent*Std_error_of_forecast_at_x</f>
        <v>134.20823584806465</v>
      </c>
      <c r="G32" s="15" t="s">
        <v>47</v>
      </c>
    </row>
    <row r="33" spans="5:7" x14ac:dyDescent="0.25">
      <c r="E33" s="4" t="s">
        <v>48</v>
      </c>
      <c r="F33" s="41">
        <f>Forecast_at_x+Critical_t_value_95_percent*Std_error_of_forecast_at_x</f>
        <v>219.85492204667219</v>
      </c>
      <c r="G33" s="15" t="s">
        <v>49</v>
      </c>
    </row>
    <row r="35" spans="5:7" x14ac:dyDescent="0.25">
      <c r="E35" s="51" t="s">
        <v>121</v>
      </c>
    </row>
    <row r="36" spans="5:7" x14ac:dyDescent="0.25">
      <c r="E36" s="16"/>
    </row>
  </sheetData>
  <hyperlinks>
    <hyperlink ref="P1" r:id="rId1"/>
  </hyperlinks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209"/>
  <sheetViews>
    <sheetView showGridLines="0" showRowColHeaders="0" workbookViewId="0">
      <selection activeCell="B1" sqref="B1"/>
    </sheetView>
  </sheetViews>
  <sheetFormatPr defaultRowHeight="11.25" outlineLevelRow="1" x14ac:dyDescent="0.2"/>
  <cols>
    <col min="1" max="1" width="8.85546875" style="22" customWidth="1"/>
    <col min="2" max="77" width="9.140625" style="22"/>
    <col min="78" max="78" width="43.5703125" style="22" bestFit="1" customWidth="1"/>
    <col min="79" max="16384" width="9.140625" style="22"/>
  </cols>
  <sheetData>
    <row r="1" spans="1:78" ht="15" x14ac:dyDescent="0.25">
      <c r="A1" s="23" t="s">
        <v>52</v>
      </c>
      <c r="B1" s="22" t="s">
        <v>53</v>
      </c>
      <c r="E1"/>
      <c r="Z1" s="32" t="s">
        <v>54</v>
      </c>
      <c r="BZ1"/>
    </row>
    <row r="2" spans="1:78" x14ac:dyDescent="0.2">
      <c r="A2" s="23" t="s">
        <v>55</v>
      </c>
      <c r="C2" s="22" t="s">
        <v>1</v>
      </c>
      <c r="AA2" s="32" t="str">
        <f>"Forecasts and " &amp; TEXT($H$10, "00.0%") &amp; " confidence limits for means and forecasts
Trend line model for Y    (1 variable, n=20)"</f>
        <v>Forecasts and 95.0% confidence limits for means and forecasts
Trend line model for Y    (1 variable, n=20)</v>
      </c>
    </row>
    <row r="3" spans="1:78" ht="11.25" customHeight="1" outlineLevel="1" x14ac:dyDescent="0.2">
      <c r="A3" s="23" t="s">
        <v>56</v>
      </c>
      <c r="AA3" s="32" t="str">
        <f>IF($A$52 &lt;&gt; "","Actual and predicted-vs-Obs# with " &amp; TEXT($H$10, "00.0%") &amp; " confidence limits
Trend line model for Y    (1 variable, n=20)","Actual and predicted-vs-Obs#
Trend line model for Y    (1 variable, n=20)")</f>
        <v>Actual and predicted-vs-Obs# with 95.0% confidence limits
Trend line model for Y    (1 variable, n=20)</v>
      </c>
    </row>
    <row r="4" spans="1:78" outlineLevel="1" x14ac:dyDescent="0.2">
      <c r="A4" s="22" t="s">
        <v>0</v>
      </c>
    </row>
    <row r="5" spans="1:78" ht="15" outlineLevel="1" x14ac:dyDescent="0.25">
      <c r="A5" s="23" t="s">
        <v>57</v>
      </c>
      <c r="N5" s="50" t="s">
        <v>131</v>
      </c>
    </row>
    <row r="6" spans="1:78" ht="15" outlineLevel="1" x14ac:dyDescent="0.25">
      <c r="A6" s="57" t="s">
        <v>58</v>
      </c>
      <c r="B6" s="57"/>
      <c r="C6" s="57"/>
      <c r="N6" s="61" t="s">
        <v>132</v>
      </c>
    </row>
    <row r="8" spans="1:78" x14ac:dyDescent="0.2">
      <c r="A8" s="24" t="s">
        <v>59</v>
      </c>
    </row>
    <row r="9" spans="1:78" ht="12" outlineLevel="1" thickBot="1" x14ac:dyDescent="0.25">
      <c r="A9" s="25"/>
      <c r="B9" s="26" t="s">
        <v>60</v>
      </c>
      <c r="C9" s="26" t="s">
        <v>61</v>
      </c>
      <c r="D9" s="26" t="s">
        <v>62</v>
      </c>
      <c r="E9" s="26" t="s">
        <v>63</v>
      </c>
      <c r="F9" s="26" t="s">
        <v>64</v>
      </c>
      <c r="G9" s="26" t="str">
        <f>"t("&amp;TEXT((1-H10)/2,"0.00%") &amp; ",18)"</f>
        <v>t(2.50%,18)</v>
      </c>
      <c r="H9" s="26" t="s">
        <v>65</v>
      </c>
    </row>
    <row r="10" spans="1:78" outlineLevel="1" x14ac:dyDescent="0.2">
      <c r="B10" s="27">
        <f xml:space="preserve"> 1 - C20 / C21</f>
        <v>0.53029697749620008</v>
      </c>
      <c r="C10" s="27">
        <f xml:space="preserve"> 1 - B21 / B20 * C20 / C21</f>
        <v>0.50420236513487782</v>
      </c>
      <c r="D10" s="27">
        <f xml:space="preserve"> SQRT(D20)</f>
        <v>18.485935858414187</v>
      </c>
      <c r="E10" s="28">
        <v>20</v>
      </c>
      <c r="F10" s="28">
        <v>0</v>
      </c>
      <c r="G10" s="22">
        <f>TINV(1 - $H$10, E10 - 1 - 1)</f>
        <v>2.1009220402410378</v>
      </c>
      <c r="H10" s="44">
        <v>0.95</v>
      </c>
      <c r="I10" s="45" t="s">
        <v>122</v>
      </c>
      <c r="J10" s="23"/>
      <c r="K10" s="23"/>
    </row>
    <row r="12" spans="1:78" x14ac:dyDescent="0.2">
      <c r="A12" s="24" t="s">
        <v>66</v>
      </c>
    </row>
    <row r="13" spans="1:78" ht="12" outlineLevel="1" thickBot="1" x14ac:dyDescent="0.25">
      <c r="A13" s="29" t="s">
        <v>67</v>
      </c>
      <c r="B13" s="26" t="s">
        <v>68</v>
      </c>
      <c r="C13" s="26" t="s">
        <v>69</v>
      </c>
      <c r="D13" s="26" t="s">
        <v>70</v>
      </c>
      <c r="E13" s="26" t="s">
        <v>71</v>
      </c>
      <c r="F13" s="26" t="str">
        <f>IF($H$10&gt;99%,("Lower"&amp;TEXT($H$10,"0.0%")),("Lower"&amp;TEXT($H$10,"0%")))</f>
        <v>Lower95%</v>
      </c>
      <c r="G13" s="26" t="str">
        <f>IF($H$10&gt;99%,("Upper"&amp;TEXT($H$10,"0.0%")),("Upper"&amp;TEXT($H$10,"0%")))</f>
        <v>Upper95%</v>
      </c>
    </row>
    <row r="14" spans="1:78" outlineLevel="1" x14ac:dyDescent="0.2">
      <c r="A14" s="22" t="s">
        <v>72</v>
      </c>
      <c r="B14" s="27">
        <v>109.16842105263159</v>
      </c>
      <c r="C14" s="27">
        <v>8.5872987012391064</v>
      </c>
      <c r="D14" s="27">
        <f>(B14 - 0) / C14</f>
        <v>12.71277788868333</v>
      </c>
      <c r="E14" s="27">
        <f>TDIST(ABS(D14),$E$10 - 2,2)</f>
        <v>1.9824012495799638E-10</v>
      </c>
      <c r="F14" s="27">
        <f>B14 - TINV(1 - $H$10, $E$10 - 2) * C14</f>
        <v>91.127175945065105</v>
      </c>
      <c r="G14" s="27">
        <f>B14 + TINV(1 - $H$10, $E$10 - 2) * C14</f>
        <v>127.20966616019807</v>
      </c>
    </row>
    <row r="15" spans="1:78" outlineLevel="1" x14ac:dyDescent="0.2">
      <c r="A15" s="22" t="s">
        <v>0</v>
      </c>
      <c r="B15" s="27">
        <v>3.2315789473684173</v>
      </c>
      <c r="C15" s="27">
        <v>0.71685384523672735</v>
      </c>
      <c r="D15" s="27">
        <f>(B15 - 0) / C15</f>
        <v>4.5080025291644352</v>
      </c>
      <c r="E15" s="27">
        <f>TDIST(ABS(D15),$E$10 - 2,2)</f>
        <v>2.7215376329114364E-4</v>
      </c>
      <c r="F15" s="27">
        <f>B15 - TINV(1 - $H$10, $E$10 - 2) * C15</f>
        <v>1.725524904279039</v>
      </c>
      <c r="G15" s="27">
        <f>B15 + TINV(1 - $H$10, $E$10 - 2) * C15</f>
        <v>4.7376329904577954</v>
      </c>
    </row>
    <row r="17" spans="1:7" x14ac:dyDescent="0.2">
      <c r="A17" s="24" t="s">
        <v>73</v>
      </c>
    </row>
    <row r="18" spans="1:7" ht="12" hidden="1" outlineLevel="1" thickBot="1" x14ac:dyDescent="0.25">
      <c r="A18" s="29" t="s">
        <v>74</v>
      </c>
      <c r="B18" s="26" t="s">
        <v>78</v>
      </c>
      <c r="C18" s="26" t="s">
        <v>79</v>
      </c>
      <c r="D18" s="26" t="s">
        <v>80</v>
      </c>
      <c r="E18" s="26" t="s">
        <v>81</v>
      </c>
      <c r="F18" s="26" t="s">
        <v>71</v>
      </c>
    </row>
    <row r="19" spans="1:7" hidden="1" outlineLevel="1" x14ac:dyDescent="0.2">
      <c r="A19" s="22" t="s">
        <v>75</v>
      </c>
      <c r="B19" s="28">
        <v>1</v>
      </c>
      <c r="C19" s="22">
        <f>C21 - C20</f>
        <v>6944.6631578947363</v>
      </c>
      <c r="D19" s="22">
        <f>C19/B19</f>
        <v>6944.6631578947363</v>
      </c>
      <c r="E19" s="27">
        <f>D19/D20</f>
        <v>20.322086802952981</v>
      </c>
      <c r="F19" s="27">
        <f>FDIST(E19,1,18)</f>
        <v>2.7215376329114136E-4</v>
      </c>
    </row>
    <row r="20" spans="1:7" hidden="1" outlineLevel="1" x14ac:dyDescent="0.2">
      <c r="A20" s="22" t="s">
        <v>76</v>
      </c>
      <c r="B20" s="28">
        <v>18</v>
      </c>
      <c r="C20" s="22">
        <v>6151.136842105263</v>
      </c>
      <c r="D20" s="22">
        <f>C20/B20</f>
        <v>341.72982456140352</v>
      </c>
    </row>
    <row r="21" spans="1:7" hidden="1" outlineLevel="1" x14ac:dyDescent="0.2">
      <c r="A21" s="22" t="s">
        <v>77</v>
      </c>
      <c r="B21" s="28">
        <f>B19 + B20</f>
        <v>19</v>
      </c>
      <c r="C21" s="22">
        <v>13095.8</v>
      </c>
    </row>
    <row r="22" spans="1:7" collapsed="1" x14ac:dyDescent="0.2"/>
    <row r="23" spans="1:7" x14ac:dyDescent="0.2">
      <c r="A23" s="24" t="s">
        <v>82</v>
      </c>
    </row>
    <row r="24" spans="1:7" outlineLevel="1" x14ac:dyDescent="0.2"/>
    <row r="25" spans="1:7" outlineLevel="1" x14ac:dyDescent="0.2">
      <c r="B25" s="30" t="s">
        <v>0</v>
      </c>
      <c r="C25" s="30" t="s">
        <v>83</v>
      </c>
      <c r="D25" s="30" t="s">
        <v>84</v>
      </c>
      <c r="E25" s="30" t="s">
        <v>85</v>
      </c>
      <c r="F25" s="30" t="str">
        <f>IF($H$10&gt;99%,("Lower "&amp;TEXT($H$10,"0.0%")),("Lower "&amp;TEXT($H$10,"0%")))</f>
        <v>Lower 95%</v>
      </c>
      <c r="G25" s="30" t="str">
        <f>IF($H$10&gt;99%,("Upper "&amp;TEXT($H$10,"0.0%")),("Upper "&amp;TEXT($H$10,"0%")))</f>
        <v>Upper 95%</v>
      </c>
    </row>
    <row r="26" spans="1:7" outlineLevel="1" x14ac:dyDescent="0.2">
      <c r="B26" s="30">
        <v>1</v>
      </c>
      <c r="C26" s="30">
        <f>$D$10/SQRT($E$10)*SQRT(1+(B26- 10.5)^2/33.25)</f>
        <v>7.966436485385997</v>
      </c>
      <c r="D26" s="30">
        <f>SQRT($D$10^2 + C26^2)</f>
        <v>20.129429570583781</v>
      </c>
      <c r="E26" s="30">
        <f>109.168421052632 + 3.23157894736842 * B26</f>
        <v>112.40000000000042</v>
      </c>
      <c r="F26" s="30">
        <f>E26 - $G$10*D26</f>
        <v>70.10963775768127</v>
      </c>
      <c r="G26" s="30">
        <f>E26 + $G$10*D26</f>
        <v>154.69036224231957</v>
      </c>
    </row>
    <row r="27" spans="1:7" outlineLevel="1" x14ac:dyDescent="0.2">
      <c r="B27" s="30">
        <v>5.75</v>
      </c>
      <c r="C27" s="30">
        <f>$D$10/SQRT($E$10)*SQRT(1+(B27- 10.5)^2/33.25)</f>
        <v>5.3554547883419694</v>
      </c>
      <c r="D27" s="30">
        <f>SQRT($D$10^2 + C27^2)</f>
        <v>19.246057272890425</v>
      </c>
      <c r="E27" s="30">
        <f>109.168421052632 + 3.23157894736842 * B27</f>
        <v>127.75000000000041</v>
      </c>
      <c r="F27" s="30">
        <f>E27 - $G$10*D27</f>
        <v>87.315534087643599</v>
      </c>
      <c r="G27" s="30">
        <f>E27 + $G$10*D27</f>
        <v>168.18446591235721</v>
      </c>
    </row>
    <row r="28" spans="1:7" outlineLevel="1" x14ac:dyDescent="0.2">
      <c r="B28" s="30">
        <v>10.5</v>
      </c>
      <c r="C28" s="30">
        <f>$D$10/SQRT($E$10)*SQRT(1+(B28- 10.5)^2/33.25)</f>
        <v>4.1335809207115046</v>
      </c>
      <c r="D28" s="30">
        <f>SQRT($D$10^2 + C28^2)</f>
        <v>18.942447460385726</v>
      </c>
      <c r="E28" s="30">
        <f>109.168421052632 + 3.23157894736842 * B28</f>
        <v>143.10000000000042</v>
      </c>
      <c r="F28" s="30">
        <f>E28 - $G$10*D28</f>
        <v>103.30339463436817</v>
      </c>
      <c r="G28" s="30">
        <f>E28 + $G$10*D28</f>
        <v>182.89660536563267</v>
      </c>
    </row>
    <row r="29" spans="1:7" outlineLevel="1" x14ac:dyDescent="0.2">
      <c r="B29" s="30">
        <v>15.25</v>
      </c>
      <c r="C29" s="30">
        <f>$D$10/SQRT($E$10)*SQRT(1+(B29- 10.5)^2/33.25)</f>
        <v>5.3554547883419694</v>
      </c>
      <c r="D29" s="30">
        <f>SQRT($D$10^2 + C29^2)</f>
        <v>19.246057272890425</v>
      </c>
      <c r="E29" s="30">
        <f>109.168421052632 + 3.23157894736842 * B29</f>
        <v>158.45000000000039</v>
      </c>
      <c r="F29" s="30">
        <f>E29 - $G$10*D29</f>
        <v>118.01553408764357</v>
      </c>
      <c r="G29" s="30">
        <f>E29 + $G$10*D29</f>
        <v>198.8844659123572</v>
      </c>
    </row>
    <row r="30" spans="1:7" outlineLevel="1" x14ac:dyDescent="0.2">
      <c r="B30" s="30">
        <v>20</v>
      </c>
      <c r="C30" s="30">
        <f>$D$10/SQRT($E$10)*SQRT(1+(B30- 10.5)^2/33.25)</f>
        <v>7.966436485385997</v>
      </c>
      <c r="D30" s="30">
        <f>SQRT($D$10^2 + C30^2)</f>
        <v>20.129429570583781</v>
      </c>
      <c r="E30" s="30">
        <f>109.168421052632 + 3.23157894736842 * B30</f>
        <v>173.80000000000041</v>
      </c>
      <c r="F30" s="30">
        <f>E30 - $G$10*D30</f>
        <v>131.50963775768125</v>
      </c>
      <c r="G30" s="30">
        <f>E30 + $G$10*D30</f>
        <v>216.09036224231957</v>
      </c>
    </row>
    <row r="31" spans="1:7" outlineLevel="1" x14ac:dyDescent="0.2"/>
    <row r="32" spans="1:7" outlineLevel="1" x14ac:dyDescent="0.2"/>
    <row r="33" spans="1:6" outlineLevel="1" x14ac:dyDescent="0.2"/>
    <row r="34" spans="1:6" outlineLevel="1" x14ac:dyDescent="0.2"/>
    <row r="35" spans="1:6" outlineLevel="1" x14ac:dyDescent="0.2"/>
    <row r="36" spans="1:6" outlineLevel="1" x14ac:dyDescent="0.2"/>
    <row r="37" spans="1:6" outlineLevel="1" x14ac:dyDescent="0.2"/>
    <row r="38" spans="1:6" outlineLevel="1" x14ac:dyDescent="0.2"/>
    <row r="39" spans="1:6" outlineLevel="1" x14ac:dyDescent="0.2"/>
    <row r="40" spans="1:6" outlineLevel="1" x14ac:dyDescent="0.2"/>
    <row r="41" spans="1:6" outlineLevel="1" x14ac:dyDescent="0.2"/>
    <row r="42" spans="1:6" outlineLevel="1" x14ac:dyDescent="0.2"/>
    <row r="43" spans="1:6" outlineLevel="1" x14ac:dyDescent="0.2"/>
    <row r="45" spans="1:6" x14ac:dyDescent="0.2">
      <c r="A45" s="24" t="s">
        <v>86</v>
      </c>
    </row>
    <row r="46" spans="1:6" ht="12" outlineLevel="1" thickBot="1" x14ac:dyDescent="0.25">
      <c r="A46" s="26" t="s">
        <v>87</v>
      </c>
      <c r="B46" s="26" t="s">
        <v>88</v>
      </c>
      <c r="C46" s="26" t="s">
        <v>89</v>
      </c>
      <c r="D46" s="26" t="s">
        <v>71</v>
      </c>
      <c r="E46" s="26" t="s">
        <v>91</v>
      </c>
      <c r="F46" s="26" t="s">
        <v>92</v>
      </c>
    </row>
    <row r="47" spans="1:6" outlineLevel="1" x14ac:dyDescent="0.2">
      <c r="A47" s="28">
        <v>12</v>
      </c>
      <c r="B47" s="28">
        <v>8</v>
      </c>
      <c r="C47" s="22">
        <v>0.45381315515711457</v>
      </c>
      <c r="D47" s="22">
        <v>0.27025954740667535</v>
      </c>
      <c r="E47" s="27">
        <v>-2.0277150593516851</v>
      </c>
      <c r="F47" s="27">
        <v>1.5340253776729718</v>
      </c>
    </row>
    <row r="48" spans="1:6" outlineLevel="1" x14ac:dyDescent="0.2">
      <c r="A48" s="22" t="s">
        <v>90</v>
      </c>
    </row>
    <row r="50" spans="1:85" x14ac:dyDescent="0.2">
      <c r="A50" s="24" t="s">
        <v>93</v>
      </c>
    </row>
    <row r="51" spans="1:85" ht="12" outlineLevel="1" thickBot="1" x14ac:dyDescent="0.25">
      <c r="A51" s="26" t="s">
        <v>94</v>
      </c>
      <c r="B51" s="26" t="s">
        <v>95</v>
      </c>
      <c r="C51" s="26" t="s">
        <v>96</v>
      </c>
      <c r="D51" s="26" t="str">
        <f>IF($H$10&gt;99%,("Low"&amp;TEXT($H$10,"0.0%")&amp;"F"),("Lower"&amp;TEXT($H$10,"0%")&amp;"F"))</f>
        <v>Lower95%F</v>
      </c>
      <c r="E51" s="26" t="str">
        <f>IF($H$10&gt;99%,("Up"&amp;TEXT($H$10,"0.0%")&amp;"F"),("Upper"&amp;TEXT($H$10,"0%")&amp;"F"))</f>
        <v>Upper95%F</v>
      </c>
      <c r="F51" s="26" t="s">
        <v>97</v>
      </c>
      <c r="G51" s="26" t="str">
        <f>IF($H$10&gt;99%,("Low"&amp;TEXT($H$10,"0.0%")&amp;"M"),("Lower"&amp;TEXT($H$10,"0%")&amp;"M"))</f>
        <v>Lower95%M</v>
      </c>
      <c r="H51" s="26" t="str">
        <f>IF($H$10&gt;99%,("Up"&amp;TEXT($H$10,"0.0%")&amp;"M"),("Upper"&amp;TEXT($H$10,"0%")&amp;"M"))</f>
        <v>Upper95%M</v>
      </c>
      <c r="I51" s="29" t="s">
        <v>98</v>
      </c>
    </row>
    <row r="52" spans="1:85" outlineLevel="1" x14ac:dyDescent="0.2">
      <c r="A52" s="57">
        <v>21</v>
      </c>
      <c r="B52" s="58">
        <v>177.03157894736836</v>
      </c>
      <c r="C52" s="59">
        <f>SQRT($D$10^2 + F52^2)</f>
        <v>20.383118592249478</v>
      </c>
      <c r="D52" s="59">
        <f xml:space="preserve"> B52 - $G$10 * C52</f>
        <v>134.20823584806456</v>
      </c>
      <c r="E52" s="59">
        <f xml:space="preserve"> B52 + $G$10 * C52</f>
        <v>219.85492204667216</v>
      </c>
      <c r="F52" s="59">
        <f>$D$10/SQRT($E$10)*SQRT(1+(I52- 10.5)^2/33.25)</f>
        <v>8.5872987012391064</v>
      </c>
      <c r="G52" s="59">
        <f xml:space="preserve"> B52 - $G$10 * F52</f>
        <v>158.99033383980188</v>
      </c>
      <c r="H52" s="59">
        <f xml:space="preserve"> B52 + $G$10 * F52</f>
        <v>195.07282405493484</v>
      </c>
      <c r="I52" s="60">
        <v>21</v>
      </c>
      <c r="J52" s="45" t="s">
        <v>124</v>
      </c>
      <c r="CG52" s="22">
        <f xml:space="preserve"> $C$52 * $G$10</f>
        <v>42.823343099303806</v>
      </c>
    </row>
    <row r="53" spans="1:85" outlineLevel="1" x14ac:dyDescent="0.2">
      <c r="A53" s="28">
        <v>22</v>
      </c>
      <c r="B53" s="22">
        <v>180.26315789473676</v>
      </c>
      <c r="C53" s="27">
        <f>SQRT($D$10^2 + F53^2)</f>
        <v>20.658578632741925</v>
      </c>
      <c r="D53" s="27">
        <f xml:space="preserve"> B53 - $G$10 * C53</f>
        <v>136.8610947251567</v>
      </c>
      <c r="E53" s="27">
        <f xml:space="preserve"> B53 + $G$10 * C53</f>
        <v>223.66522106431682</v>
      </c>
      <c r="F53" s="27">
        <f>$D$10/SQRT($E$10)*SQRT(1+(I53- 10.5)^2/33.25)</f>
        <v>9.2220955624943421</v>
      </c>
      <c r="G53" s="27">
        <f xml:space="preserve"> B53 - $G$10 * F53</f>
        <v>160.88825407028332</v>
      </c>
      <c r="H53" s="27">
        <f xml:space="preserve"> B53 + $G$10 * F53</f>
        <v>199.6380617191902</v>
      </c>
      <c r="I53" s="31">
        <v>22</v>
      </c>
      <c r="J53" s="31"/>
      <c r="CG53" s="22">
        <f xml:space="preserve"> $C$53 * $G$10</f>
        <v>43.402063169580074</v>
      </c>
    </row>
    <row r="54" spans="1:85" outlineLevel="1" x14ac:dyDescent="0.2">
      <c r="A54" s="28">
        <v>23</v>
      </c>
      <c r="B54" s="22">
        <v>183.49473684210517</v>
      </c>
      <c r="C54" s="27">
        <f>SQRT($D$10^2 + F54^2)</f>
        <v>20.954951147056335</v>
      </c>
      <c r="D54" s="27">
        <f xml:space="preserve"> B54 - $G$10 * C54</f>
        <v>139.47001812508029</v>
      </c>
      <c r="E54" s="27">
        <f xml:space="preserve"> B54 + $G$10 * C54</f>
        <v>227.51945555913005</v>
      </c>
      <c r="F54" s="27">
        <f>$D$10/SQRT($E$10)*SQRT(1+(I54- 10.5)^2/33.25)</f>
        <v>9.8681382749794402</v>
      </c>
      <c r="G54" s="27">
        <f xml:space="preserve"> B54 - $G$10 * F54</f>
        <v>162.76254764405468</v>
      </c>
      <c r="H54" s="27">
        <f xml:space="preserve"> B54 + $G$10 * F54</f>
        <v>204.22692604015566</v>
      </c>
      <c r="I54" s="31">
        <v>23</v>
      </c>
      <c r="J54" s="31"/>
      <c r="CG54" s="22">
        <f xml:space="preserve"> $C$54 * $G$10</f>
        <v>44.024718717024868</v>
      </c>
    </row>
    <row r="55" spans="1:85" outlineLevel="1" x14ac:dyDescent="0.2">
      <c r="A55" s="28">
        <v>24</v>
      </c>
      <c r="B55" s="22">
        <v>186.7263157894736</v>
      </c>
      <c r="C55" s="27">
        <f>SQRT($D$10^2 + F55^2)</f>
        <v>21.271362036708307</v>
      </c>
      <c r="D55" s="27">
        <f xml:space="preserve"> B55 - $G$10 * C55</f>
        <v>142.03684246060664</v>
      </c>
      <c r="E55" s="27">
        <f xml:space="preserve"> B55 + $G$10 * C55</f>
        <v>231.41578911834057</v>
      </c>
      <c r="F55" s="27">
        <f>$D$10/SQRT($E$10)*SQRT(1+(I55- 10.5)^2/33.25)</f>
        <v>10.523355849505039</v>
      </c>
      <c r="G55" s="27">
        <f xml:space="preserve"> B55 - $G$10 * F55</f>
        <v>164.61756554794903</v>
      </c>
      <c r="H55" s="27">
        <f xml:space="preserve"> B55 + $G$10 * F55</f>
        <v>208.83506603099818</v>
      </c>
      <c r="I55" s="31">
        <v>24</v>
      </c>
      <c r="J55" s="31"/>
      <c r="CG55" s="22">
        <f xml:space="preserve"> $C$55 * $G$10</f>
        <v>44.689473328866974</v>
      </c>
    </row>
    <row r="56" spans="1:85" outlineLevel="1" x14ac:dyDescent="0.2">
      <c r="A56" s="28">
        <v>25</v>
      </c>
      <c r="B56" s="22">
        <v>189.95789473684204</v>
      </c>
      <c r="C56" s="27">
        <f>SQRT($D$10^2 + F56^2)</f>
        <v>21.606930996529204</v>
      </c>
      <c r="D56" s="27">
        <f xml:space="preserve"> B56 - $G$10 * C56</f>
        <v>144.5634171842666</v>
      </c>
      <c r="E56" s="27">
        <f xml:space="preserve"> B56 + $G$10 * C56</f>
        <v>235.35237228941747</v>
      </c>
      <c r="F56" s="27">
        <f>$D$10/SQRT($E$10)*SQRT(1+(I56- 10.5)^2/33.25)</f>
        <v>11.186136175077211</v>
      </c>
      <c r="G56" s="27">
        <f xml:space="preserve"> B56 - $G$10 * F56</f>
        <v>166.45669470148474</v>
      </c>
      <c r="H56" s="27">
        <f xml:space="preserve"> B56 + $G$10 * F56</f>
        <v>213.45909477219934</v>
      </c>
      <c r="I56" s="31">
        <v>25</v>
      </c>
      <c r="J56" s="31"/>
      <c r="K56" s="49" t="s">
        <v>118</v>
      </c>
      <c r="CG56" s="22">
        <f xml:space="preserve"> $C$56 * $G$10</f>
        <v>45.394477552575452</v>
      </c>
    </row>
    <row r="57" spans="1:85" outlineLevel="1" x14ac:dyDescent="0.2"/>
    <row r="58" spans="1:85" outlineLevel="1" x14ac:dyDescent="0.2"/>
    <row r="59" spans="1:85" outlineLevel="1" x14ac:dyDescent="0.2"/>
    <row r="60" spans="1:85" outlineLevel="1" x14ac:dyDescent="0.2"/>
    <row r="61" spans="1:85" outlineLevel="1" x14ac:dyDescent="0.2"/>
    <row r="62" spans="1:85" outlineLevel="1" x14ac:dyDescent="0.2"/>
    <row r="63" spans="1:85" outlineLevel="1" x14ac:dyDescent="0.2"/>
    <row r="64" spans="1:85" outlineLevel="1" x14ac:dyDescent="0.2"/>
    <row r="65" spans="1:1" outlineLevel="1" x14ac:dyDescent="0.2"/>
    <row r="66" spans="1:1" outlineLevel="1" x14ac:dyDescent="0.2"/>
    <row r="67" spans="1:1" outlineLevel="1" x14ac:dyDescent="0.2"/>
    <row r="68" spans="1:1" outlineLevel="1" x14ac:dyDescent="0.2"/>
    <row r="69" spans="1:1" outlineLevel="1" x14ac:dyDescent="0.2"/>
    <row r="70" spans="1:1" outlineLevel="1" x14ac:dyDescent="0.2"/>
    <row r="71" spans="1:1" outlineLevel="1" x14ac:dyDescent="0.2"/>
    <row r="72" spans="1:1" outlineLevel="1" x14ac:dyDescent="0.2"/>
    <row r="73" spans="1:1" outlineLevel="1" x14ac:dyDescent="0.2"/>
    <row r="74" spans="1:1" outlineLevel="1" x14ac:dyDescent="0.2"/>
    <row r="75" spans="1:1" outlineLevel="1" x14ac:dyDescent="0.2"/>
    <row r="76" spans="1:1" outlineLevel="1" x14ac:dyDescent="0.2"/>
    <row r="78" spans="1:1" x14ac:dyDescent="0.2">
      <c r="A78" s="24" t="s">
        <v>99</v>
      </c>
    </row>
    <row r="79" spans="1:1" outlineLevel="1" x14ac:dyDescent="0.2"/>
    <row r="80" spans="1:1" outlineLevel="1" x14ac:dyDescent="0.2"/>
    <row r="81" spans="3:3" outlineLevel="1" x14ac:dyDescent="0.2">
      <c r="C81" s="33" t="b">
        <v>0</v>
      </c>
    </row>
    <row r="82" spans="3:3" outlineLevel="1" x14ac:dyDescent="0.2"/>
    <row r="83" spans="3:3" outlineLevel="1" x14ac:dyDescent="0.2"/>
    <row r="84" spans="3:3" outlineLevel="1" x14ac:dyDescent="0.2"/>
    <row r="85" spans="3:3" outlineLevel="1" x14ac:dyDescent="0.2"/>
    <row r="86" spans="3:3" outlineLevel="1" x14ac:dyDescent="0.2"/>
    <row r="87" spans="3:3" outlineLevel="1" x14ac:dyDescent="0.2"/>
    <row r="88" spans="3:3" outlineLevel="1" x14ac:dyDescent="0.2"/>
    <row r="89" spans="3:3" outlineLevel="1" x14ac:dyDescent="0.2"/>
    <row r="90" spans="3:3" outlineLevel="1" x14ac:dyDescent="0.2"/>
    <row r="91" spans="3:3" outlineLevel="1" x14ac:dyDescent="0.2"/>
    <row r="92" spans="3:3" outlineLevel="1" x14ac:dyDescent="0.2"/>
    <row r="93" spans="3:3" outlineLevel="1" x14ac:dyDescent="0.2"/>
    <row r="94" spans="3:3" outlineLevel="1" x14ac:dyDescent="0.2"/>
    <row r="95" spans="3:3" outlineLevel="1" x14ac:dyDescent="0.2"/>
    <row r="96" spans="3:3" outlineLevel="1" x14ac:dyDescent="0.2"/>
    <row r="97" spans="1:1" outlineLevel="1" x14ac:dyDescent="0.2"/>
    <row r="98" spans="1:1" outlineLevel="1" x14ac:dyDescent="0.2"/>
    <row r="100" spans="1:1" x14ac:dyDescent="0.2">
      <c r="A100" s="24" t="s">
        <v>100</v>
      </c>
    </row>
    <row r="101" spans="1:1" outlineLevel="1" x14ac:dyDescent="0.2"/>
    <row r="102" spans="1:1" outlineLevel="1" x14ac:dyDescent="0.2"/>
    <row r="103" spans="1:1" outlineLevel="1" x14ac:dyDescent="0.2"/>
    <row r="104" spans="1:1" outlineLevel="1" x14ac:dyDescent="0.2"/>
    <row r="105" spans="1:1" outlineLevel="1" x14ac:dyDescent="0.2"/>
    <row r="106" spans="1:1" outlineLevel="1" x14ac:dyDescent="0.2"/>
    <row r="107" spans="1:1" outlineLevel="1" x14ac:dyDescent="0.2"/>
    <row r="108" spans="1:1" outlineLevel="1" x14ac:dyDescent="0.2"/>
    <row r="109" spans="1:1" outlineLevel="1" x14ac:dyDescent="0.2"/>
    <row r="110" spans="1:1" outlineLevel="1" x14ac:dyDescent="0.2"/>
    <row r="111" spans="1:1" outlineLevel="1" x14ac:dyDescent="0.2"/>
    <row r="112" spans="1:1" outlineLevel="1" x14ac:dyDescent="0.2"/>
    <row r="113" spans="1:1" outlineLevel="1" x14ac:dyDescent="0.2"/>
    <row r="114" spans="1:1" outlineLevel="1" x14ac:dyDescent="0.2"/>
    <row r="115" spans="1:1" outlineLevel="1" x14ac:dyDescent="0.2"/>
    <row r="116" spans="1:1" outlineLevel="1" x14ac:dyDescent="0.2"/>
    <row r="117" spans="1:1" outlineLevel="1" x14ac:dyDescent="0.2"/>
    <row r="118" spans="1:1" outlineLevel="1" x14ac:dyDescent="0.2"/>
    <row r="119" spans="1:1" outlineLevel="1" x14ac:dyDescent="0.2"/>
    <row r="120" spans="1:1" outlineLevel="1" x14ac:dyDescent="0.2"/>
    <row r="122" spans="1:1" x14ac:dyDescent="0.2">
      <c r="A122" s="24" t="s">
        <v>101</v>
      </c>
    </row>
    <row r="123" spans="1:1" outlineLevel="1" x14ac:dyDescent="0.2"/>
    <row r="124" spans="1:1" outlineLevel="1" x14ac:dyDescent="0.2"/>
    <row r="125" spans="1:1" outlineLevel="1" x14ac:dyDescent="0.2"/>
    <row r="126" spans="1:1" outlineLevel="1" x14ac:dyDescent="0.2"/>
    <row r="127" spans="1:1" outlineLevel="1" x14ac:dyDescent="0.2"/>
    <row r="128" spans="1:1" outlineLevel="1" x14ac:dyDescent="0.2"/>
    <row r="129" spans="1:1" outlineLevel="1" x14ac:dyDescent="0.2"/>
    <row r="130" spans="1:1" outlineLevel="1" x14ac:dyDescent="0.2"/>
    <row r="131" spans="1:1" outlineLevel="1" x14ac:dyDescent="0.2"/>
    <row r="132" spans="1:1" outlineLevel="1" x14ac:dyDescent="0.2"/>
    <row r="133" spans="1:1" outlineLevel="1" x14ac:dyDescent="0.2"/>
    <row r="134" spans="1:1" outlineLevel="1" x14ac:dyDescent="0.2"/>
    <row r="135" spans="1:1" outlineLevel="1" x14ac:dyDescent="0.2"/>
    <row r="136" spans="1:1" outlineLevel="1" x14ac:dyDescent="0.2"/>
    <row r="137" spans="1:1" outlineLevel="1" x14ac:dyDescent="0.2"/>
    <row r="138" spans="1:1" outlineLevel="1" x14ac:dyDescent="0.2"/>
    <row r="139" spans="1:1" outlineLevel="1" x14ac:dyDescent="0.2"/>
    <row r="140" spans="1:1" outlineLevel="1" x14ac:dyDescent="0.2"/>
    <row r="141" spans="1:1" outlineLevel="1" x14ac:dyDescent="0.2"/>
    <row r="142" spans="1:1" outlineLevel="1" x14ac:dyDescent="0.2"/>
    <row r="144" spans="1:1" x14ac:dyDescent="0.2">
      <c r="A144" s="24" t="s">
        <v>102</v>
      </c>
    </row>
    <row r="145" outlineLevel="1" x14ac:dyDescent="0.2"/>
    <row r="146" outlineLevel="1" x14ac:dyDescent="0.2"/>
    <row r="147" outlineLevel="1" x14ac:dyDescent="0.2"/>
    <row r="148" outlineLevel="1" x14ac:dyDescent="0.2"/>
    <row r="149" outlineLevel="1" x14ac:dyDescent="0.2"/>
    <row r="150" outlineLevel="1" x14ac:dyDescent="0.2"/>
    <row r="151" outlineLevel="1" x14ac:dyDescent="0.2"/>
    <row r="152" outlineLevel="1" x14ac:dyDescent="0.2"/>
    <row r="153" outlineLevel="1" x14ac:dyDescent="0.2"/>
    <row r="154" outlineLevel="1" x14ac:dyDescent="0.2"/>
    <row r="155" outlineLevel="1" x14ac:dyDescent="0.2"/>
    <row r="156" outlineLevel="1" x14ac:dyDescent="0.2"/>
    <row r="157" outlineLevel="1" x14ac:dyDescent="0.2"/>
    <row r="158" outlineLevel="1" x14ac:dyDescent="0.2"/>
    <row r="159" outlineLevel="1" x14ac:dyDescent="0.2"/>
    <row r="160" outlineLevel="1" x14ac:dyDescent="0.2"/>
    <row r="161" spans="1:1" outlineLevel="1" x14ac:dyDescent="0.2"/>
    <row r="162" spans="1:1" outlineLevel="1" x14ac:dyDescent="0.2"/>
    <row r="163" spans="1:1" outlineLevel="1" x14ac:dyDescent="0.2"/>
    <row r="164" spans="1:1" outlineLevel="1" x14ac:dyDescent="0.2"/>
    <row r="166" spans="1:1" x14ac:dyDescent="0.2">
      <c r="A166" s="24" t="s">
        <v>103</v>
      </c>
    </row>
    <row r="167" spans="1:1" outlineLevel="1" x14ac:dyDescent="0.2"/>
    <row r="168" spans="1:1" outlineLevel="1" x14ac:dyDescent="0.2"/>
    <row r="169" spans="1:1" outlineLevel="1" x14ac:dyDescent="0.2"/>
    <row r="170" spans="1:1" outlineLevel="1" x14ac:dyDescent="0.2"/>
    <row r="171" spans="1:1" outlineLevel="1" x14ac:dyDescent="0.2"/>
    <row r="172" spans="1:1" outlineLevel="1" x14ac:dyDescent="0.2"/>
    <row r="173" spans="1:1" outlineLevel="1" x14ac:dyDescent="0.2"/>
    <row r="174" spans="1:1" outlineLevel="1" x14ac:dyDescent="0.2"/>
    <row r="175" spans="1:1" outlineLevel="1" x14ac:dyDescent="0.2"/>
    <row r="176" spans="1:1" outlineLevel="1" x14ac:dyDescent="0.2"/>
    <row r="177" spans="1:6" outlineLevel="1" x14ac:dyDescent="0.2"/>
    <row r="178" spans="1:6" outlineLevel="1" x14ac:dyDescent="0.2"/>
    <row r="179" spans="1:6" outlineLevel="1" x14ac:dyDescent="0.2"/>
    <row r="180" spans="1:6" outlineLevel="1" x14ac:dyDescent="0.2"/>
    <row r="181" spans="1:6" outlineLevel="1" x14ac:dyDescent="0.2"/>
    <row r="182" spans="1:6" outlineLevel="1" x14ac:dyDescent="0.2"/>
    <row r="183" spans="1:6" outlineLevel="1" x14ac:dyDescent="0.2"/>
    <row r="184" spans="1:6" outlineLevel="1" x14ac:dyDescent="0.2"/>
    <row r="185" spans="1:6" outlineLevel="1" x14ac:dyDescent="0.2"/>
    <row r="186" spans="1:6" outlineLevel="1" x14ac:dyDescent="0.2"/>
    <row r="188" spans="1:6" x14ac:dyDescent="0.2">
      <c r="A188" s="24" t="s">
        <v>104</v>
      </c>
    </row>
    <row r="189" spans="1:6" ht="12" outlineLevel="1" thickBot="1" x14ac:dyDescent="0.25">
      <c r="A189" s="26" t="s">
        <v>94</v>
      </c>
      <c r="B189" s="26" t="s">
        <v>105</v>
      </c>
      <c r="C189" s="26" t="s">
        <v>85</v>
      </c>
      <c r="D189" s="26" t="s">
        <v>76</v>
      </c>
      <c r="E189" s="26" t="s">
        <v>106</v>
      </c>
    </row>
    <row r="190" spans="1:6" ht="15" outlineLevel="1" x14ac:dyDescent="0.25">
      <c r="A190" s="28">
        <v>10</v>
      </c>
      <c r="B190" s="27">
        <v>104</v>
      </c>
      <c r="C190" s="27">
        <v>141.48421052631576</v>
      </c>
      <c r="D190" s="27">
        <f t="shared" ref="D190:D209" si="0">B190 - C190</f>
        <v>-37.484210526315763</v>
      </c>
      <c r="E190" s="22">
        <f t="shared" ref="E190:E209" si="1">D190 /18.4859358584142</f>
        <v>-2.0277150593516833</v>
      </c>
      <c r="F190"/>
    </row>
    <row r="191" spans="1:6" ht="15" outlineLevel="1" x14ac:dyDescent="0.25">
      <c r="A191" s="28">
        <v>3</v>
      </c>
      <c r="B191" s="27">
        <v>89</v>
      </c>
      <c r="C191" s="27">
        <v>118.86315789473684</v>
      </c>
      <c r="D191" s="27">
        <f t="shared" si="0"/>
        <v>-29.863157894736844</v>
      </c>
      <c r="E191" s="22">
        <f t="shared" si="1"/>
        <v>-1.6154528568887194</v>
      </c>
      <c r="F191"/>
    </row>
    <row r="192" spans="1:6" ht="15" outlineLevel="1" x14ac:dyDescent="0.25">
      <c r="A192" s="28">
        <v>15</v>
      </c>
      <c r="B192" s="27">
        <v>186</v>
      </c>
      <c r="C192" s="27">
        <v>157.64210526315784</v>
      </c>
      <c r="D192" s="27">
        <f t="shared" si="0"/>
        <v>28.357894736842155</v>
      </c>
      <c r="E192" s="22">
        <f t="shared" si="1"/>
        <v>1.5340253776729706</v>
      </c>
      <c r="F192"/>
    </row>
    <row r="193" spans="1:6" ht="15" outlineLevel="1" x14ac:dyDescent="0.25">
      <c r="A193" s="28">
        <v>5</v>
      </c>
      <c r="B193" s="27">
        <v>152</v>
      </c>
      <c r="C193" s="27">
        <v>125.32631578947368</v>
      </c>
      <c r="D193" s="27">
        <f t="shared" si="0"/>
        <v>26.673684210526318</v>
      </c>
      <c r="E193" s="22">
        <f t="shared" si="1"/>
        <v>1.442917708620379</v>
      </c>
      <c r="F193"/>
    </row>
    <row r="194" spans="1:6" ht="15" outlineLevel="1" x14ac:dyDescent="0.25">
      <c r="A194" s="28">
        <v>18</v>
      </c>
      <c r="B194" s="27">
        <v>144</v>
      </c>
      <c r="C194" s="27">
        <v>167.33684210526309</v>
      </c>
      <c r="D194" s="27">
        <f t="shared" si="0"/>
        <v>-23.336842105263088</v>
      </c>
      <c r="E194" s="22">
        <f t="shared" si="1"/>
        <v>-1.262410639309933</v>
      </c>
      <c r="F194"/>
    </row>
    <row r="195" spans="1:6" ht="15" outlineLevel="1" x14ac:dyDescent="0.25">
      <c r="A195" s="28">
        <v>6</v>
      </c>
      <c r="B195" s="27">
        <v>110</v>
      </c>
      <c r="C195" s="27">
        <v>128.55789473684209</v>
      </c>
      <c r="D195" s="27">
        <f t="shared" si="0"/>
        <v>-18.557894736842087</v>
      </c>
      <c r="E195" s="22">
        <f t="shared" si="1"/>
        <v>-1.0038926283732144</v>
      </c>
      <c r="F195"/>
    </row>
    <row r="196" spans="1:6" ht="15" outlineLevel="1" x14ac:dyDescent="0.25">
      <c r="A196" s="28">
        <v>14</v>
      </c>
      <c r="B196" s="27">
        <v>138</v>
      </c>
      <c r="C196" s="27">
        <v>154.41052631578941</v>
      </c>
      <c r="D196" s="27">
        <f t="shared" si="0"/>
        <v>-16.410526315789411</v>
      </c>
      <c r="E196" s="22">
        <f t="shared" si="1"/>
        <v>-0.8877303503311611</v>
      </c>
      <c r="F196"/>
    </row>
    <row r="197" spans="1:6" ht="15" outlineLevel="1" x14ac:dyDescent="0.25">
      <c r="A197" s="28">
        <v>11</v>
      </c>
      <c r="B197" s="27">
        <v>160</v>
      </c>
      <c r="C197" s="27">
        <v>144.71578947368417</v>
      </c>
      <c r="D197" s="27">
        <f t="shared" si="0"/>
        <v>15.284210526315832</v>
      </c>
      <c r="E197" s="22">
        <f t="shared" si="1"/>
        <v>0.8268020966522478</v>
      </c>
      <c r="F197"/>
    </row>
    <row r="198" spans="1:6" ht="15" outlineLevel="1" x14ac:dyDescent="0.25">
      <c r="A198" s="28">
        <v>12</v>
      </c>
      <c r="B198" s="27">
        <v>134</v>
      </c>
      <c r="C198" s="27">
        <v>147.9473684210526</v>
      </c>
      <c r="D198" s="27">
        <f t="shared" si="0"/>
        <v>-13.947368421052602</v>
      </c>
      <c r="E198" s="22">
        <f t="shared" si="1"/>
        <v>-0.75448538434175139</v>
      </c>
      <c r="F198"/>
    </row>
    <row r="199" spans="1:6" ht="15" outlineLevel="1" x14ac:dyDescent="0.25">
      <c r="A199" s="28">
        <v>1</v>
      </c>
      <c r="B199" s="27">
        <v>126</v>
      </c>
      <c r="C199" s="27">
        <v>112.4</v>
      </c>
      <c r="D199" s="27">
        <f t="shared" si="0"/>
        <v>13.599999999999994</v>
      </c>
      <c r="E199" s="22">
        <f t="shared" si="1"/>
        <v>0.7356944275996562</v>
      </c>
      <c r="F199"/>
    </row>
    <row r="200" spans="1:6" ht="15" outlineLevel="1" x14ac:dyDescent="0.25">
      <c r="A200" s="28">
        <v>17</v>
      </c>
      <c r="B200" s="27">
        <v>177</v>
      </c>
      <c r="C200" s="27">
        <v>164.10526315789468</v>
      </c>
      <c r="D200" s="27">
        <f t="shared" si="0"/>
        <v>12.894736842105317</v>
      </c>
      <c r="E200" s="22">
        <f t="shared" si="1"/>
        <v>0.69754309118388769</v>
      </c>
      <c r="F200"/>
    </row>
    <row r="201" spans="1:6" ht="15" outlineLevel="1" x14ac:dyDescent="0.25">
      <c r="A201" s="28">
        <v>7</v>
      </c>
      <c r="B201" s="27">
        <v>144</v>
      </c>
      <c r="C201" s="27">
        <v>131.78947368421052</v>
      </c>
      <c r="D201" s="27">
        <f t="shared" si="0"/>
        <v>12.21052631578948</v>
      </c>
      <c r="E201" s="22">
        <f t="shared" si="1"/>
        <v>0.66053060063127078</v>
      </c>
      <c r="F201"/>
    </row>
    <row r="202" spans="1:6" ht="15" outlineLevel="1" x14ac:dyDescent="0.25">
      <c r="A202" s="28">
        <v>8</v>
      </c>
      <c r="B202" s="27">
        <v>146</v>
      </c>
      <c r="C202" s="27">
        <v>135.02105263157893</v>
      </c>
      <c r="D202" s="27">
        <f t="shared" si="0"/>
        <v>10.978947368421075</v>
      </c>
      <c r="E202" s="22">
        <f t="shared" si="1"/>
        <v>0.59390811763656592</v>
      </c>
      <c r="F202"/>
    </row>
    <row r="203" spans="1:6" ht="15" outlineLevel="1" x14ac:dyDescent="0.25">
      <c r="A203" s="28">
        <v>4</v>
      </c>
      <c r="B203" s="27">
        <v>130</v>
      </c>
      <c r="C203" s="27">
        <v>122.09473684210525</v>
      </c>
      <c r="D203" s="27">
        <f t="shared" si="0"/>
        <v>7.9052631578947512</v>
      </c>
      <c r="E203" s="22">
        <f t="shared" si="1"/>
        <v>0.42763662161559057</v>
      </c>
      <c r="F203"/>
    </row>
    <row r="204" spans="1:6" ht="15" outlineLevel="1" x14ac:dyDescent="0.25">
      <c r="A204" s="28">
        <v>20</v>
      </c>
      <c r="B204" s="27">
        <v>180</v>
      </c>
      <c r="C204" s="27">
        <v>173.79999999999995</v>
      </c>
      <c r="D204" s="27">
        <f t="shared" si="0"/>
        <v>6.2000000000000455</v>
      </c>
      <c r="E204" s="22">
        <f t="shared" si="1"/>
        <v>0.33539010669984587</v>
      </c>
      <c r="F204"/>
    </row>
    <row r="205" spans="1:6" ht="15" outlineLevel="1" x14ac:dyDescent="0.25">
      <c r="A205" s="28">
        <v>13</v>
      </c>
      <c r="B205" s="27">
        <v>155</v>
      </c>
      <c r="C205" s="27">
        <v>151.17894736842101</v>
      </c>
      <c r="D205" s="27">
        <f t="shared" si="0"/>
        <v>3.8210526315789934</v>
      </c>
      <c r="E205" s="22">
        <f t="shared" si="1"/>
        <v>0.20670052416306386</v>
      </c>
      <c r="F205"/>
    </row>
    <row r="206" spans="1:6" ht="15" outlineLevel="1" x14ac:dyDescent="0.25">
      <c r="A206" s="28">
        <v>19</v>
      </c>
      <c r="B206" s="27">
        <v>174</v>
      </c>
      <c r="C206" s="27">
        <v>170.56842105263152</v>
      </c>
      <c r="D206" s="27">
        <f t="shared" si="0"/>
        <v>3.4315789473684788</v>
      </c>
      <c r="E206" s="22">
        <f t="shared" si="1"/>
        <v>0.18563187569465328</v>
      </c>
      <c r="F206"/>
    </row>
    <row r="207" spans="1:6" ht="15" outlineLevel="1" x14ac:dyDescent="0.25">
      <c r="A207" s="28">
        <v>2</v>
      </c>
      <c r="B207" s="27">
        <v>114</v>
      </c>
      <c r="C207" s="27">
        <v>115.63157894736842</v>
      </c>
      <c r="D207" s="27">
        <f t="shared" si="0"/>
        <v>-1.6315789473684248</v>
      </c>
      <c r="E207" s="22">
        <f t="shared" si="1"/>
        <v>-8.8260554394695837E-2</v>
      </c>
      <c r="F207"/>
    </row>
    <row r="208" spans="1:6" ht="15" outlineLevel="1" x14ac:dyDescent="0.25">
      <c r="A208" s="28">
        <v>16</v>
      </c>
      <c r="B208" s="27">
        <v>160</v>
      </c>
      <c r="C208" s="27">
        <v>160.87368421052628</v>
      </c>
      <c r="D208" s="27">
        <f t="shared" si="0"/>
        <v>-0.87368421052627809</v>
      </c>
      <c r="E208" s="22">
        <f t="shared" si="1"/>
        <v>-4.7262103321028523E-2</v>
      </c>
      <c r="F208"/>
    </row>
    <row r="209" spans="1:6" ht="15" outlineLevel="1" x14ac:dyDescent="0.25">
      <c r="A209" s="28">
        <v>9</v>
      </c>
      <c r="B209" s="27">
        <v>139</v>
      </c>
      <c r="C209" s="27">
        <v>138.25263157894733</v>
      </c>
      <c r="D209" s="27">
        <f t="shared" si="0"/>
        <v>0.74736842105266987</v>
      </c>
      <c r="E209" s="22">
        <f t="shared" si="1"/>
        <v>4.0429028142088458E-2</v>
      </c>
      <c r="F209"/>
    </row>
  </sheetData>
  <sortState ref="A190:F209">
    <sortCondition descending="1" ref="F190"/>
    <sortCondition ref="A1"/>
  </sortState>
  <dataValidations disablePrompts="1" count="1">
    <dataValidation type="decimal" allowBlank="1" showInputMessage="1" showErrorMessage="1" error="Please enter a confidence level between 0 and 1." prompt="Confidence level can be adjusted between 0 and 100% to dynamically change confidence limits on this sheet." sqref="H10">
      <formula1>0</formula1>
      <formula2>1</formula2>
    </dataValidation>
  </dataValidations>
  <hyperlinks>
    <hyperlink ref="N6" r:id="rId1"/>
  </hyperlinks>
  <pageMargins left="0.7" right="0.7" top="0.75" bottom="0.75" header="0.3" footer="0.3"/>
  <pageSetup fitToHeight="0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13"/>
  <sheetViews>
    <sheetView showGridLines="0" showRowColHeaders="0" workbookViewId="0">
      <pane xSplit="1" topLeftCell="B1" activePane="topRight" state="frozenSplit"/>
      <selection pane="topRight"/>
    </sheetView>
  </sheetViews>
  <sheetFormatPr defaultRowHeight="11.25" x14ac:dyDescent="0.2"/>
  <cols>
    <col min="1" max="1" width="32.5703125" style="34" bestFit="1" customWidth="1"/>
    <col min="2" max="2" width="16" style="34" customWidth="1"/>
    <col min="3" max="16384" width="9.140625" style="34"/>
  </cols>
  <sheetData>
    <row r="1" spans="1:2" x14ac:dyDescent="0.2">
      <c r="A1" s="35" t="s">
        <v>107</v>
      </c>
    </row>
    <row r="3" spans="1:2" x14ac:dyDescent="0.2">
      <c r="A3" s="37" t="s">
        <v>108</v>
      </c>
    </row>
    <row r="4" spans="1:2" x14ac:dyDescent="0.2">
      <c r="A4" s="36" t="s">
        <v>109</v>
      </c>
      <c r="B4" s="34" t="s">
        <v>53</v>
      </c>
    </row>
    <row r="5" spans="1:2" x14ac:dyDescent="0.2">
      <c r="A5" s="36" t="s">
        <v>110</v>
      </c>
      <c r="B5" s="39">
        <v>41876.666666666664</v>
      </c>
    </row>
    <row r="6" spans="1:2" x14ac:dyDescent="0.2">
      <c r="A6" s="38" t="s">
        <v>111</v>
      </c>
    </row>
    <row r="7" spans="1:2" x14ac:dyDescent="0.2">
      <c r="A7" s="36" t="s">
        <v>14</v>
      </c>
      <c r="B7" s="34">
        <v>0.53029697749620008</v>
      </c>
    </row>
    <row r="8" spans="1:2" x14ac:dyDescent="0.2">
      <c r="A8" s="36" t="s">
        <v>16</v>
      </c>
      <c r="B8" s="34">
        <v>0.50420236513487782</v>
      </c>
    </row>
    <row r="9" spans="1:2" x14ac:dyDescent="0.2">
      <c r="A9" s="36" t="s">
        <v>112</v>
      </c>
      <c r="B9" s="34">
        <v>18.485935858414187</v>
      </c>
    </row>
    <row r="10" spans="1:2" x14ac:dyDescent="0.2">
      <c r="A10" s="36" t="s">
        <v>63</v>
      </c>
      <c r="B10" s="40">
        <v>20</v>
      </c>
    </row>
    <row r="11" spans="1:2" x14ac:dyDescent="0.2">
      <c r="A11" s="38" t="s">
        <v>113</v>
      </c>
    </row>
    <row r="12" spans="1:2" x14ac:dyDescent="0.2">
      <c r="A12" s="36" t="s">
        <v>72</v>
      </c>
      <c r="B12" s="34" t="s">
        <v>114</v>
      </c>
    </row>
    <row r="13" spans="1:2" x14ac:dyDescent="0.2">
      <c r="A13" s="36" t="s">
        <v>0</v>
      </c>
      <c r="B13" s="34" t="s">
        <v>115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23</vt:i4>
      </vt:variant>
    </vt:vector>
  </HeadingPairs>
  <TitlesOfParts>
    <vt:vector size="26" baseType="lpstr">
      <vt:lpstr>Excel formulas</vt:lpstr>
      <vt:lpstr>Trend line model--RegressIt</vt:lpstr>
      <vt:lpstr>Model Summaries</vt:lpstr>
      <vt:lpstr>Adjusted_R_squared</vt:lpstr>
      <vt:lpstr>Confidence_level</vt:lpstr>
      <vt:lpstr>Correlation_of_Y_and_X</vt:lpstr>
      <vt:lpstr>Critical_t_value_95_percent</vt:lpstr>
      <vt:lpstr>Forecast_at_x</vt:lpstr>
      <vt:lpstr>INTERCEPT</vt:lpstr>
      <vt:lpstr>Mean_of_X</vt:lpstr>
      <vt:lpstr>Mean_of_Y</vt:lpstr>
      <vt:lpstr>n</vt:lpstr>
      <vt:lpstr>'Trend line model--RegressIt'!Print_Area</vt:lpstr>
      <vt:lpstr>R_squared</vt:lpstr>
      <vt:lpstr>SLOPE</vt:lpstr>
      <vt:lpstr>Std_Dev_of_X</vt:lpstr>
      <vt:lpstr>Std_Dev_of_Y</vt:lpstr>
      <vt:lpstr>Std_error_of_forecast_at_x</vt:lpstr>
      <vt:lpstr>Std_error_of_INTERCEPT</vt:lpstr>
      <vt:lpstr>Std_error_of_mean_at_x</vt:lpstr>
      <vt:lpstr>Std_error_of_regression</vt:lpstr>
      <vt:lpstr>Std_error_of_SLOPE</vt:lpstr>
      <vt:lpstr>t_stat_of_SLOPE</vt:lpstr>
      <vt:lpstr>X</vt:lpstr>
      <vt:lpstr>x_</vt:lpstr>
      <vt:lpstr>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 Nau</dc:creator>
  <cp:lastModifiedBy>Bob Nau</cp:lastModifiedBy>
  <dcterms:created xsi:type="dcterms:W3CDTF">2014-08-25T19:19:46Z</dcterms:created>
  <dcterms:modified xsi:type="dcterms:W3CDTF">2014-09-01T17:20:31Z</dcterms:modified>
</cp:coreProperties>
</file>