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TYCE 2022\PSL-II\"/>
    </mc:Choice>
  </mc:AlternateContent>
  <bookViews>
    <workbookView xWindow="0" yWindow="0" windowWidth="20490" windowHeight="7665"/>
  </bookViews>
  <sheets>
    <sheet name="Sheet1" sheetId="1" r:id="rId1"/>
    <sheet name="Sheet2" sheetId="2" r:id="rId2"/>
  </sheets>
  <definedNames>
    <definedName name="solver_adj" localSheetId="0" hidden="1">Sheet1!$D$114,Sheet1!$F$114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Sheet1!$H$151</definedName>
    <definedName name="solver_lhs2" localSheetId="0" hidden="1">Sheet1!$H$151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Sheet1!$P$126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0.3</definedName>
    <definedName name="solver_rhs2" localSheetId="0" hidden="1">0.3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0" i="1" l="1"/>
  <c r="P118" i="1"/>
  <c r="P119" i="1"/>
  <c r="P120" i="1"/>
  <c r="P121" i="1"/>
  <c r="P122" i="1"/>
  <c r="P123" i="1"/>
  <c r="P124" i="1"/>
  <c r="P125" i="1"/>
  <c r="P126" i="1"/>
  <c r="P127" i="1"/>
  <c r="P117" i="1"/>
  <c r="M155" i="1" l="1" a="1"/>
  <c r="D131" i="1"/>
  <c r="D117" i="1" a="1"/>
  <c r="D117" i="1" s="1"/>
  <c r="G117" i="1" l="1"/>
  <c r="H117" i="1"/>
  <c r="D124" i="1"/>
  <c r="D123" i="1"/>
  <c r="D122" i="1"/>
  <c r="D118" i="1"/>
  <c r="D120" i="1"/>
  <c r="D127" i="1"/>
  <c r="D119" i="1"/>
  <c r="D126" i="1"/>
  <c r="D125" i="1"/>
  <c r="D121" i="1"/>
  <c r="F23" i="1"/>
  <c r="G23" i="1"/>
  <c r="F24" i="1"/>
  <c r="G24" i="1"/>
  <c r="F25" i="1"/>
  <c r="G25" i="1"/>
  <c r="H25" i="1" s="1"/>
  <c r="E23" i="1"/>
  <c r="E24" i="1"/>
  <c r="E25" i="1"/>
  <c r="H120" i="1" l="1"/>
  <c r="G120" i="1"/>
  <c r="H126" i="1"/>
  <c r="G126" i="1"/>
  <c r="G118" i="1"/>
  <c r="H118" i="1"/>
  <c r="H125" i="1"/>
  <c r="G125" i="1"/>
  <c r="H124" i="1"/>
  <c r="G124" i="1"/>
  <c r="G119" i="1"/>
  <c r="H119" i="1"/>
  <c r="G122" i="1"/>
  <c r="H122" i="1"/>
  <c r="H24" i="1"/>
  <c r="H121" i="1"/>
  <c r="G121" i="1"/>
  <c r="G127" i="1"/>
  <c r="H127" i="1"/>
  <c r="G123" i="1"/>
  <c r="H123" i="1"/>
  <c r="D155" i="1" a="1"/>
  <c r="H23" i="1"/>
  <c r="G41" i="1"/>
  <c r="I41" i="1" s="1"/>
  <c r="K49" i="1"/>
  <c r="J42" i="1"/>
  <c r="J43" i="1"/>
  <c r="J44" i="1"/>
  <c r="J45" i="1"/>
  <c r="J46" i="1"/>
  <c r="J47" i="1"/>
  <c r="J48" i="1"/>
  <c r="J49" i="1"/>
  <c r="G50" i="1"/>
  <c r="H50" i="1" s="1"/>
  <c r="I50" i="1"/>
  <c r="G22" i="1"/>
  <c r="F22" i="1"/>
  <c r="E22" i="1"/>
  <c r="K46" i="1"/>
  <c r="J6" i="1"/>
  <c r="D165" i="1" l="1"/>
  <c r="D163" i="1"/>
  <c r="D160" i="1"/>
  <c r="D164" i="1"/>
  <c r="D157" i="1"/>
  <c r="D158" i="1"/>
  <c r="D155" i="1"/>
  <c r="D161" i="1"/>
  <c r="D162" i="1"/>
  <c r="D159" i="1"/>
  <c r="D156" i="1"/>
  <c r="H41" i="1"/>
  <c r="H22" i="1"/>
  <c r="K47" i="1"/>
  <c r="K45" i="1"/>
  <c r="K44" i="1"/>
  <c r="K42" i="1"/>
  <c r="K41" i="1"/>
  <c r="K43" i="1"/>
  <c r="K48" i="1"/>
  <c r="J41" i="1"/>
  <c r="G47" i="1"/>
  <c r="G45" i="1"/>
  <c r="G44" i="1"/>
  <c r="G42" i="1"/>
  <c r="G40" i="1"/>
  <c r="G43" i="1"/>
  <c r="G48" i="1"/>
  <c r="G46" i="1"/>
  <c r="G49" i="1"/>
  <c r="G13" i="1"/>
  <c r="G14" i="1"/>
  <c r="G15" i="1"/>
  <c r="G16" i="1"/>
  <c r="G17" i="1"/>
  <c r="G18" i="1"/>
  <c r="G19" i="1"/>
  <c r="G20" i="1"/>
  <c r="G21" i="1"/>
  <c r="G12" i="1"/>
  <c r="F13" i="1"/>
  <c r="F14" i="1"/>
  <c r="F15" i="1"/>
  <c r="F16" i="1"/>
  <c r="F17" i="1"/>
  <c r="F18" i="1"/>
  <c r="F19" i="1"/>
  <c r="H19" i="1" s="1"/>
  <c r="F20" i="1"/>
  <c r="F21" i="1"/>
  <c r="F12" i="1"/>
  <c r="E13" i="1"/>
  <c r="E14" i="1"/>
  <c r="E15" i="1"/>
  <c r="E16" i="1"/>
  <c r="E17" i="1"/>
  <c r="E18" i="1"/>
  <c r="E19" i="1"/>
  <c r="E20" i="1"/>
  <c r="E21" i="1"/>
  <c r="E12" i="1"/>
  <c r="F161" i="1" l="1"/>
  <c r="H161" i="1" s="1"/>
  <c r="E161" i="1"/>
  <c r="E164" i="1"/>
  <c r="F164" i="1"/>
  <c r="H164" i="1" s="1"/>
  <c r="I40" i="1"/>
  <c r="H40" i="1"/>
  <c r="C78" i="1" a="1"/>
  <c r="E156" i="1"/>
  <c r="F156" i="1"/>
  <c r="H156" i="1" s="1"/>
  <c r="F155" i="1"/>
  <c r="H155" i="1" s="1"/>
  <c r="E155" i="1"/>
  <c r="E160" i="1"/>
  <c r="F160" i="1"/>
  <c r="H160" i="1" s="1"/>
  <c r="C83" i="1"/>
  <c r="B78" i="1" a="1"/>
  <c r="E159" i="1"/>
  <c r="F159" i="1"/>
  <c r="H159" i="1" s="1"/>
  <c r="F158" i="1"/>
  <c r="H158" i="1" s="1"/>
  <c r="E158" i="1"/>
  <c r="E163" i="1"/>
  <c r="F163" i="1"/>
  <c r="H163" i="1" s="1"/>
  <c r="C82" i="1"/>
  <c r="F162" i="1"/>
  <c r="H162" i="1" s="1"/>
  <c r="E162" i="1"/>
  <c r="F157" i="1"/>
  <c r="H157" i="1" s="1"/>
  <c r="E157" i="1"/>
  <c r="F165" i="1"/>
  <c r="H165" i="1" s="1"/>
  <c r="E165" i="1"/>
  <c r="G165" i="1" s="1"/>
  <c r="H49" i="1"/>
  <c r="I49" i="1"/>
  <c r="I48" i="1"/>
  <c r="H48" i="1"/>
  <c r="I47" i="1"/>
  <c r="H47" i="1"/>
  <c r="H46" i="1"/>
  <c r="I46" i="1"/>
  <c r="H45" i="1"/>
  <c r="I45" i="1"/>
  <c r="H44" i="1"/>
  <c r="I44" i="1"/>
  <c r="I43" i="1"/>
  <c r="H43" i="1"/>
  <c r="H42" i="1"/>
  <c r="I42" i="1"/>
  <c r="H18" i="1"/>
  <c r="H14" i="1"/>
  <c r="H12" i="1"/>
  <c r="H21" i="1"/>
  <c r="H17" i="1"/>
  <c r="H13" i="1"/>
  <c r="H15" i="1"/>
  <c r="H20" i="1"/>
  <c r="H16" i="1"/>
  <c r="G162" i="1" l="1"/>
  <c r="G163" i="1"/>
  <c r="G159" i="1"/>
  <c r="G160" i="1"/>
  <c r="G156" i="1"/>
  <c r="G158" i="1"/>
  <c r="G155" i="1"/>
  <c r="G164" i="1"/>
  <c r="G157" i="1"/>
  <c r="G161" i="1"/>
  <c r="C78" i="1"/>
  <c r="C84" i="1"/>
  <c r="C87" i="1"/>
  <c r="C88" i="1"/>
  <c r="C86" i="1"/>
  <c r="C80" i="1"/>
  <c r="C79" i="1"/>
  <c r="C81" i="1"/>
  <c r="B78" i="1"/>
  <c r="B117" i="1" s="1" a="1"/>
  <c r="B80" i="1"/>
  <c r="B86" i="1"/>
  <c r="B84" i="1"/>
  <c r="B85" i="1"/>
  <c r="B81" i="1"/>
  <c r="B87" i="1"/>
  <c r="B82" i="1"/>
  <c r="J82" i="1" s="1"/>
  <c r="B88" i="1"/>
  <c r="B83" i="1"/>
  <c r="J83" i="1" s="1"/>
  <c r="I83" i="1"/>
  <c r="B79" i="1"/>
  <c r="C85" i="1"/>
  <c r="J81" i="1" l="1"/>
  <c r="I81" i="1"/>
  <c r="E81" i="1"/>
  <c r="E82" i="1"/>
  <c r="C117" i="1" a="1"/>
  <c r="I86" i="1"/>
  <c r="J86" i="1"/>
  <c r="E86" i="1"/>
  <c r="I84" i="1"/>
  <c r="K84" i="1" s="1"/>
  <c r="J84" i="1"/>
  <c r="E84" i="1"/>
  <c r="B117" i="1"/>
  <c r="B124" i="1"/>
  <c r="B119" i="1"/>
  <c r="B121" i="1"/>
  <c r="B120" i="1"/>
  <c r="B126" i="1"/>
  <c r="B118" i="1"/>
  <c r="B123" i="1"/>
  <c r="B127" i="1"/>
  <c r="I127" i="1" s="1"/>
  <c r="B122" i="1"/>
  <c r="B125" i="1"/>
  <c r="I82" i="1"/>
  <c r="K82" i="1" s="1"/>
  <c r="K86" i="1"/>
  <c r="I79" i="1"/>
  <c r="J79" i="1"/>
  <c r="E79" i="1"/>
  <c r="J85" i="1"/>
  <c r="E85" i="1"/>
  <c r="I85" i="1"/>
  <c r="K83" i="1"/>
  <c r="E83" i="1"/>
  <c r="I80" i="1"/>
  <c r="E80" i="1"/>
  <c r="J80" i="1"/>
  <c r="J87" i="1"/>
  <c r="E87" i="1"/>
  <c r="I87" i="1"/>
  <c r="K87" i="1" l="1"/>
  <c r="K85" i="1"/>
  <c r="K80" i="1"/>
  <c r="F89" i="1"/>
  <c r="I125" i="1"/>
  <c r="J125" i="1"/>
  <c r="L125" i="1" s="1"/>
  <c r="C139" i="1" s="1"/>
  <c r="I118" i="1"/>
  <c r="J118" i="1"/>
  <c r="L118" i="1" s="1"/>
  <c r="C132" i="1" s="1"/>
  <c r="J119" i="1"/>
  <c r="L119" i="1" s="1"/>
  <c r="C133" i="1" s="1"/>
  <c r="I119" i="1"/>
  <c r="K81" i="1"/>
  <c r="I123" i="1"/>
  <c r="J123" i="1"/>
  <c r="L123" i="1" s="1"/>
  <c r="C137" i="1" s="1"/>
  <c r="J122" i="1"/>
  <c r="L122" i="1" s="1"/>
  <c r="C136" i="1" s="1"/>
  <c r="I122" i="1"/>
  <c r="J126" i="1"/>
  <c r="L126" i="1" s="1"/>
  <c r="C140" i="1" s="1"/>
  <c r="I126" i="1"/>
  <c r="J124" i="1"/>
  <c r="L124" i="1" s="1"/>
  <c r="C138" i="1" s="1"/>
  <c r="I124" i="1"/>
  <c r="C117" i="1"/>
  <c r="J117" i="1" s="1"/>
  <c r="L117" i="1" s="1"/>
  <c r="C126" i="1"/>
  <c r="C119" i="1"/>
  <c r="C123" i="1"/>
  <c r="C120" i="1"/>
  <c r="C122" i="1"/>
  <c r="C125" i="1"/>
  <c r="C127" i="1"/>
  <c r="C118" i="1"/>
  <c r="C121" i="1"/>
  <c r="C124" i="1"/>
  <c r="J121" i="1"/>
  <c r="L121" i="1" s="1"/>
  <c r="C135" i="1" s="1"/>
  <c r="I121" i="1"/>
  <c r="E117" i="1" a="1"/>
  <c r="K79" i="1"/>
  <c r="K127" i="1"/>
  <c r="J120" i="1"/>
  <c r="L120" i="1" s="1"/>
  <c r="C134" i="1" s="1"/>
  <c r="I120" i="1"/>
  <c r="B155" i="1" a="1"/>
  <c r="K124" i="1" l="1"/>
  <c r="N124" i="1" s="1"/>
  <c r="K118" i="1"/>
  <c r="N118" i="1" s="1"/>
  <c r="K120" i="1"/>
  <c r="N120" i="1" s="1"/>
  <c r="M117" i="1" a="1"/>
  <c r="K119" i="1"/>
  <c r="N119" i="1" s="1"/>
  <c r="B162" i="1"/>
  <c r="B155" i="1"/>
  <c r="J155" i="1" s="1"/>
  <c r="L155" i="1" s="1"/>
  <c r="C169" i="1" s="1"/>
  <c r="D169" i="1" s="1"/>
  <c r="B157" i="1"/>
  <c r="B158" i="1"/>
  <c r="B159" i="1"/>
  <c r="B156" i="1"/>
  <c r="B161" i="1"/>
  <c r="B164" i="1"/>
  <c r="B163" i="1"/>
  <c r="B160" i="1"/>
  <c r="B165" i="1"/>
  <c r="I165" i="1" s="1"/>
  <c r="K165" i="1" s="1"/>
  <c r="B179" i="1" s="1"/>
  <c r="D179" i="1" s="1"/>
  <c r="E117" i="1"/>
  <c r="E126" i="1"/>
  <c r="F126" i="1" s="1"/>
  <c r="E123" i="1"/>
  <c r="F123" i="1" s="1"/>
  <c r="B137" i="1" s="1"/>
  <c r="D137" i="1" s="1"/>
  <c r="E124" i="1"/>
  <c r="F124" i="1" s="1"/>
  <c r="B138" i="1" s="1"/>
  <c r="D138" i="1" s="1"/>
  <c r="E122" i="1"/>
  <c r="F122" i="1" s="1"/>
  <c r="E125" i="1"/>
  <c r="F125" i="1" s="1"/>
  <c r="E119" i="1"/>
  <c r="F119" i="1" s="1"/>
  <c r="B133" i="1" s="1"/>
  <c r="D133" i="1" s="1"/>
  <c r="E120" i="1"/>
  <c r="F120" i="1" s="1"/>
  <c r="B134" i="1" s="1"/>
  <c r="D134" i="1" s="1"/>
  <c r="E127" i="1"/>
  <c r="F127" i="1" s="1"/>
  <c r="B141" i="1" s="1"/>
  <c r="D141" i="1" s="1"/>
  <c r="E118" i="1"/>
  <c r="F118" i="1" s="1"/>
  <c r="B132" i="1" s="1"/>
  <c r="D132" i="1" s="1"/>
  <c r="E121" i="1"/>
  <c r="F121" i="1" s="1"/>
  <c r="B135" i="1" s="1"/>
  <c r="D135" i="1" s="1"/>
  <c r="B140" i="1"/>
  <c r="D140" i="1" s="1"/>
  <c r="K126" i="1"/>
  <c r="N126" i="1" s="1"/>
  <c r="B139" i="1"/>
  <c r="D139" i="1" s="1"/>
  <c r="K125" i="1"/>
  <c r="N125" i="1" s="1"/>
  <c r="K122" i="1"/>
  <c r="N122" i="1" s="1"/>
  <c r="B136" i="1"/>
  <c r="D136" i="1" s="1"/>
  <c r="K121" i="1"/>
  <c r="N121" i="1" s="1"/>
  <c r="C155" i="1" a="1"/>
  <c r="K123" i="1"/>
  <c r="N123" i="1" s="1"/>
  <c r="H88" i="1"/>
  <c r="H85" i="1"/>
  <c r="H84" i="1"/>
  <c r="H86" i="1"/>
  <c r="H83" i="1"/>
  <c r="H78" i="1"/>
  <c r="H79" i="1"/>
  <c r="H82" i="1"/>
  <c r="H80" i="1"/>
  <c r="H87" i="1"/>
  <c r="H81" i="1"/>
  <c r="I160" i="1" l="1"/>
  <c r="K160" i="1" s="1"/>
  <c r="B174" i="1" s="1"/>
  <c r="J160" i="1"/>
  <c r="L160" i="1" s="1"/>
  <c r="C174" i="1" s="1"/>
  <c r="I163" i="1"/>
  <c r="K163" i="1" s="1"/>
  <c r="B177" i="1" s="1"/>
  <c r="J163" i="1"/>
  <c r="L163" i="1" s="1"/>
  <c r="C177" i="1" s="1"/>
  <c r="I159" i="1"/>
  <c r="K159" i="1" s="1"/>
  <c r="J159" i="1"/>
  <c r="L159" i="1" s="1"/>
  <c r="C173" i="1" s="1"/>
  <c r="I162" i="1"/>
  <c r="K162" i="1" s="1"/>
  <c r="B176" i="1" s="1"/>
  <c r="J162" i="1"/>
  <c r="L162" i="1" s="1"/>
  <c r="C176" i="1" s="1"/>
  <c r="I161" i="1"/>
  <c r="K161" i="1" s="1"/>
  <c r="B175" i="1" s="1"/>
  <c r="J161" i="1"/>
  <c r="L161" i="1" s="1"/>
  <c r="C175" i="1" s="1"/>
  <c r="I157" i="1"/>
  <c r="K157" i="1" s="1"/>
  <c r="B171" i="1" s="1"/>
  <c r="J157" i="1"/>
  <c r="L157" i="1" s="1"/>
  <c r="C171" i="1" s="1"/>
  <c r="I156" i="1"/>
  <c r="K156" i="1" s="1"/>
  <c r="B170" i="1" s="1"/>
  <c r="J156" i="1"/>
  <c r="L156" i="1" s="1"/>
  <c r="C170" i="1" s="1"/>
  <c r="I164" i="1"/>
  <c r="K164" i="1" s="1"/>
  <c r="B178" i="1" s="1"/>
  <c r="J164" i="1"/>
  <c r="L164" i="1" s="1"/>
  <c r="C178" i="1" s="1"/>
  <c r="I158" i="1"/>
  <c r="K158" i="1" s="1"/>
  <c r="J158" i="1"/>
  <c r="L158" i="1" s="1"/>
  <c r="C172" i="1" s="1"/>
  <c r="H132" i="1"/>
  <c r="M117" i="1"/>
  <c r="M155" i="1" s="1"/>
  <c r="M119" i="1"/>
  <c r="M157" i="1" s="1"/>
  <c r="M124" i="1"/>
  <c r="M162" i="1" s="1"/>
  <c r="M126" i="1"/>
  <c r="M164" i="1" s="1"/>
  <c r="M123" i="1"/>
  <c r="M161" i="1" s="1"/>
  <c r="M127" i="1"/>
  <c r="M165" i="1" s="1"/>
  <c r="M118" i="1"/>
  <c r="M156" i="1" s="1"/>
  <c r="M121" i="1"/>
  <c r="M159" i="1" s="1"/>
  <c r="M120" i="1"/>
  <c r="M158" i="1" s="1"/>
  <c r="M122" i="1"/>
  <c r="M160" i="1" s="1"/>
  <c r="M125" i="1"/>
  <c r="M163" i="1" s="1"/>
  <c r="C165" i="1"/>
  <c r="C159" i="1"/>
  <c r="C156" i="1"/>
  <c r="C161" i="1"/>
  <c r="C162" i="1"/>
  <c r="C163" i="1"/>
  <c r="C160" i="1"/>
  <c r="C155" i="1"/>
  <c r="C157" i="1"/>
  <c r="C164" i="1"/>
  <c r="C158" i="1"/>
  <c r="D174" i="1" l="1"/>
  <c r="N158" i="1"/>
  <c r="D175" i="1"/>
  <c r="N159" i="1"/>
  <c r="N160" i="1"/>
  <c r="B173" i="1"/>
  <c r="D173" i="1" s="1"/>
  <c r="N161" i="1"/>
  <c r="B172" i="1"/>
  <c r="D172" i="1" s="1"/>
  <c r="N156" i="1"/>
  <c r="N157" i="1"/>
  <c r="N163" i="1"/>
  <c r="D177" i="1"/>
  <c r="D170" i="1"/>
  <c r="D171" i="1"/>
  <c r="N162" i="1"/>
  <c r="N164" i="1"/>
  <c r="D178" i="1"/>
  <c r="D176" i="1"/>
  <c r="H170" i="1" l="1"/>
</calcChain>
</file>

<file path=xl/sharedStrings.xml><?xml version="1.0" encoding="utf-8"?>
<sst xmlns="http://schemas.openxmlformats.org/spreadsheetml/2006/main" count="106" uniqueCount="80">
  <si>
    <t>Caliberation:</t>
  </si>
  <si>
    <t>V1 (mL)</t>
  </si>
  <si>
    <t>Sr. no</t>
  </si>
  <si>
    <t>V2 (mL)</t>
  </si>
  <si>
    <t>Heating Load Level:</t>
  </si>
  <si>
    <t>Density of acetone (g/mL)</t>
  </si>
  <si>
    <t>Density of benzene (g/mL)</t>
  </si>
  <si>
    <t>Mol wt of acetone (g/gmol)</t>
  </si>
  <si>
    <t>Mol wt of benzene (g/gmol)</t>
  </si>
  <si>
    <t>Molar volume acetone(gmol/mL)</t>
  </si>
  <si>
    <t>Molar volume benzene(gmol/mL)</t>
  </si>
  <si>
    <t>ln(P) = C1 + C2/T +C3ln(T) + C4(T^C5); P in Pa; T in K</t>
  </si>
  <si>
    <t>C1</t>
  </si>
  <si>
    <t>C2</t>
  </si>
  <si>
    <t>C3</t>
  </si>
  <si>
    <t>C4</t>
  </si>
  <si>
    <t>C5</t>
  </si>
  <si>
    <t>Benzene</t>
  </si>
  <si>
    <t>Acetone</t>
  </si>
  <si>
    <t>Vapour Pressure Correlation:</t>
  </si>
  <si>
    <t>Mass Fraction(1)</t>
  </si>
  <si>
    <t>moles (1)</t>
  </si>
  <si>
    <t>moles(2)</t>
  </si>
  <si>
    <r>
      <t>RI</t>
    </r>
    <r>
      <rPr>
        <vertAlign val="subscript"/>
        <sz val="10"/>
        <color theme="1"/>
        <rFont val="Calibri"/>
        <family val="2"/>
        <scheme val="minor"/>
      </rPr>
      <t>x</t>
    </r>
  </si>
  <si>
    <t>mole fraction (x1)</t>
  </si>
  <si>
    <t xml:space="preserve">RI vs x Caliberation Curve gave : </t>
  </si>
  <si>
    <t>Observations:</t>
  </si>
  <si>
    <t>RI x</t>
  </si>
  <si>
    <t>RI y</t>
  </si>
  <si>
    <r>
      <t>T (</t>
    </r>
    <r>
      <rPr>
        <sz val="11"/>
        <color theme="1"/>
        <rFont val="Calibri"/>
        <family val="2"/>
      </rPr>
      <t>°C)</t>
    </r>
  </si>
  <si>
    <t>T (K)</t>
  </si>
  <si>
    <t>VP 1 (KPa)</t>
  </si>
  <si>
    <t>VP 2 (KPa)</t>
  </si>
  <si>
    <t>x1 expt</t>
  </si>
  <si>
    <t>y1 expt</t>
  </si>
  <si>
    <t>Intercept:</t>
  </si>
  <si>
    <t>Slope:</t>
  </si>
  <si>
    <r>
      <t>Total Pressure P</t>
    </r>
    <r>
      <rPr>
        <vertAlign val="subscript"/>
        <sz val="10"/>
        <color theme="1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 xml:space="preserve"> = </t>
    </r>
  </si>
  <si>
    <t>Data:</t>
  </si>
  <si>
    <r>
      <t>α</t>
    </r>
    <r>
      <rPr>
        <vertAlign val="subscript"/>
        <sz val="10"/>
        <color theme="1"/>
        <rFont val="Calibri"/>
        <family val="2"/>
      </rPr>
      <t>12</t>
    </r>
  </si>
  <si>
    <r>
      <t>α</t>
    </r>
    <r>
      <rPr>
        <vertAlign val="subscript"/>
        <sz val="10"/>
        <color theme="1"/>
        <rFont val="Calibri"/>
        <family val="2"/>
      </rPr>
      <t>GM</t>
    </r>
  </si>
  <si>
    <t>kPa</t>
  </si>
  <si>
    <t>y1 by α correlation</t>
  </si>
  <si>
    <r>
      <t xml:space="preserve">Correlation of VLE data using </t>
    </r>
    <r>
      <rPr>
        <b/>
        <i/>
        <sz val="10"/>
        <color theme="1"/>
        <rFont val="Calibri"/>
        <family val="2"/>
      </rPr>
      <t>α method and finding activity coefficients and Excess Gibbs Free Energy</t>
    </r>
  </si>
  <si>
    <r>
      <t>γ</t>
    </r>
    <r>
      <rPr>
        <vertAlign val="subscript"/>
        <sz val="10"/>
        <color theme="1"/>
        <rFont val="Calibri"/>
        <family val="2"/>
      </rPr>
      <t>1expt</t>
    </r>
  </si>
  <si>
    <r>
      <t>γ</t>
    </r>
    <r>
      <rPr>
        <vertAlign val="subscript"/>
        <sz val="10"/>
        <color theme="1"/>
        <rFont val="Calibri"/>
        <family val="2"/>
      </rPr>
      <t>2expt</t>
    </r>
    <r>
      <rPr>
        <sz val="10"/>
        <color theme="1"/>
        <rFont val="Calibri"/>
        <family val="2"/>
      </rPr>
      <t xml:space="preserve"> </t>
    </r>
  </si>
  <si>
    <r>
      <t>G</t>
    </r>
    <r>
      <rPr>
        <vertAlign val="superscript"/>
        <sz val="10"/>
        <color theme="1"/>
        <rFont val="Calibri"/>
        <family val="2"/>
      </rPr>
      <t>E</t>
    </r>
    <r>
      <rPr>
        <sz val="10"/>
        <color theme="1"/>
        <rFont val="Calibri"/>
        <family val="2"/>
      </rPr>
      <t xml:space="preserve"> (J/mol)</t>
    </r>
  </si>
  <si>
    <t>-</t>
  </si>
  <si>
    <r>
      <t>Correlation of VLE data using Wilson's Correlation</t>
    </r>
    <r>
      <rPr>
        <b/>
        <i/>
        <sz val="10"/>
        <color theme="1"/>
        <rFont val="Calibri"/>
        <family val="2"/>
      </rPr>
      <t xml:space="preserve"> and finding activity coefficients and Excess Gibbs Free Energy</t>
    </r>
  </si>
  <si>
    <t>y1</t>
  </si>
  <si>
    <t>x1</t>
  </si>
  <si>
    <t xml:space="preserve">T (K) </t>
  </si>
  <si>
    <r>
      <t>Λ</t>
    </r>
    <r>
      <rPr>
        <vertAlign val="subscript"/>
        <sz val="10"/>
        <color theme="1"/>
        <rFont val="Calibri"/>
        <family val="2"/>
      </rPr>
      <t>12</t>
    </r>
  </si>
  <si>
    <r>
      <t>Λ</t>
    </r>
    <r>
      <rPr>
        <vertAlign val="subscript"/>
        <sz val="10"/>
        <color theme="1"/>
        <rFont val="Calibri"/>
        <family val="2"/>
      </rPr>
      <t>21</t>
    </r>
  </si>
  <si>
    <r>
      <t>ln(γ</t>
    </r>
    <r>
      <rPr>
        <vertAlign val="sub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>)</t>
    </r>
    <r>
      <rPr>
        <vertAlign val="subscript"/>
        <sz val="10"/>
        <color theme="1"/>
        <rFont val="Calibri"/>
        <family val="2"/>
      </rPr>
      <t>predicted</t>
    </r>
  </si>
  <si>
    <r>
      <t>ln(γ</t>
    </r>
    <r>
      <rPr>
        <vertAlign val="sub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>)</t>
    </r>
    <r>
      <rPr>
        <vertAlign val="subscript"/>
        <sz val="10"/>
        <color theme="1"/>
        <rFont val="Calibri"/>
        <family val="2"/>
      </rPr>
      <t>expt</t>
    </r>
  </si>
  <si>
    <r>
      <t>γ</t>
    </r>
    <r>
      <rPr>
        <vertAlign val="subscript"/>
        <sz val="10"/>
        <color theme="1"/>
        <rFont val="Calibri"/>
        <family val="2"/>
      </rPr>
      <t>1pred</t>
    </r>
  </si>
  <si>
    <r>
      <t>G</t>
    </r>
    <r>
      <rPr>
        <vertAlign val="superscript"/>
        <sz val="10"/>
        <color theme="1"/>
        <rFont val="Calibri"/>
        <family val="2"/>
      </rPr>
      <t>E</t>
    </r>
    <r>
      <rPr>
        <vertAlign val="subscript"/>
        <sz val="10"/>
        <color theme="1"/>
        <rFont val="Calibri"/>
        <family val="2"/>
      </rPr>
      <t>expt</t>
    </r>
    <r>
      <rPr>
        <sz val="10"/>
        <color theme="1"/>
        <rFont val="Calibri"/>
        <family val="2"/>
      </rPr>
      <t xml:space="preserve"> (J/mol)</t>
    </r>
  </si>
  <si>
    <r>
      <t>G</t>
    </r>
    <r>
      <rPr>
        <vertAlign val="superscript"/>
        <sz val="10"/>
        <color theme="1"/>
        <rFont val="Calibri"/>
        <family val="2"/>
      </rPr>
      <t xml:space="preserve">E </t>
    </r>
    <r>
      <rPr>
        <vertAlign val="subscript"/>
        <sz val="10"/>
        <color theme="1"/>
        <rFont val="Calibri"/>
        <family val="2"/>
      </rPr>
      <t>pred</t>
    </r>
    <r>
      <rPr>
        <sz val="10"/>
        <color theme="1"/>
        <rFont val="Calibri"/>
        <family val="2"/>
      </rPr>
      <t xml:space="preserve"> (J/mol)</t>
    </r>
  </si>
  <si>
    <r>
      <t>γ</t>
    </r>
    <r>
      <rPr>
        <vertAlign val="subscript"/>
        <sz val="10"/>
        <color theme="1"/>
        <rFont val="Calibri"/>
        <family val="2"/>
      </rPr>
      <t>2pred</t>
    </r>
  </si>
  <si>
    <t>error (gamma1)</t>
  </si>
  <si>
    <r>
      <t>ln(γ2)</t>
    </r>
    <r>
      <rPr>
        <vertAlign val="subscript"/>
        <sz val="10"/>
        <color theme="1"/>
        <rFont val="Calibri"/>
        <family val="2"/>
      </rPr>
      <t>predicted</t>
    </r>
  </si>
  <si>
    <t>error (gamma2)</t>
  </si>
  <si>
    <t>sqr errors</t>
  </si>
  <si>
    <t xml:space="preserve">sum of sqr errors = </t>
  </si>
  <si>
    <r>
      <t>Correlation of VLE data using Renon and Prausnitz NRTL model</t>
    </r>
    <r>
      <rPr>
        <b/>
        <i/>
        <sz val="10"/>
        <color theme="1"/>
        <rFont val="Calibri"/>
        <family val="2"/>
      </rPr>
      <t xml:space="preserve"> and finding activity coefficients and Excess Gibbs Free Energy</t>
    </r>
  </si>
  <si>
    <t>parameters:</t>
  </si>
  <si>
    <r>
      <t>λ</t>
    </r>
    <r>
      <rPr>
        <b/>
        <vertAlign val="subscript"/>
        <sz val="10"/>
        <color theme="1"/>
        <rFont val="Calibri"/>
        <family val="2"/>
      </rPr>
      <t>12</t>
    </r>
    <r>
      <rPr>
        <b/>
        <sz val="10"/>
        <color theme="1"/>
        <rFont val="Calibri"/>
        <family val="2"/>
      </rPr>
      <t xml:space="preserve"> - λ</t>
    </r>
    <r>
      <rPr>
        <b/>
        <vertAlign val="subscript"/>
        <sz val="10"/>
        <color theme="1"/>
        <rFont val="Calibri"/>
        <family val="2"/>
      </rPr>
      <t>11</t>
    </r>
  </si>
  <si>
    <r>
      <t>λ</t>
    </r>
    <r>
      <rPr>
        <b/>
        <vertAlign val="subscript"/>
        <sz val="10"/>
        <color theme="1"/>
        <rFont val="Calibri"/>
        <family val="2"/>
      </rPr>
      <t>12</t>
    </r>
    <r>
      <rPr>
        <b/>
        <sz val="10"/>
        <color theme="1"/>
        <rFont val="Calibri"/>
        <family val="2"/>
      </rPr>
      <t xml:space="preserve"> - λ</t>
    </r>
    <r>
      <rPr>
        <b/>
        <vertAlign val="subscript"/>
        <sz val="10"/>
        <color theme="1"/>
        <rFont val="Calibri"/>
        <family val="2"/>
      </rPr>
      <t>22</t>
    </r>
  </si>
  <si>
    <r>
      <t>α</t>
    </r>
    <r>
      <rPr>
        <b/>
        <vertAlign val="subscript"/>
        <sz val="10"/>
        <color theme="1"/>
        <rFont val="Calibri"/>
        <family val="2"/>
      </rPr>
      <t>12</t>
    </r>
  </si>
  <si>
    <r>
      <t>τ</t>
    </r>
    <r>
      <rPr>
        <b/>
        <vertAlign val="subscript"/>
        <sz val="10"/>
        <color theme="1"/>
        <rFont val="Calibri"/>
        <family val="2"/>
      </rPr>
      <t>12</t>
    </r>
  </si>
  <si>
    <r>
      <t>τ</t>
    </r>
    <r>
      <rPr>
        <b/>
        <vertAlign val="subscript"/>
        <sz val="10"/>
        <color theme="1"/>
        <rFont val="Calibri"/>
        <family val="2"/>
      </rPr>
      <t>21</t>
    </r>
  </si>
  <si>
    <t>(fixed)</t>
  </si>
  <si>
    <r>
      <rPr>
        <b/>
        <sz val="10"/>
        <color theme="1"/>
        <rFont val="Calibri"/>
        <family val="2"/>
        <scheme val="minor"/>
      </rPr>
      <t>G</t>
    </r>
    <r>
      <rPr>
        <b/>
        <vertAlign val="subscript"/>
        <sz val="10"/>
        <color theme="1"/>
        <rFont val="Calibri"/>
        <family val="2"/>
        <scheme val="minor"/>
      </rPr>
      <t>21</t>
    </r>
  </si>
  <si>
    <r>
      <rPr>
        <b/>
        <sz val="10"/>
        <color theme="1"/>
        <rFont val="Calibri"/>
        <family val="2"/>
        <scheme val="minor"/>
      </rPr>
      <t>G</t>
    </r>
    <r>
      <rPr>
        <b/>
        <vertAlign val="subscript"/>
        <sz val="10"/>
        <color theme="1"/>
        <rFont val="Calibri"/>
        <family val="2"/>
        <scheme val="minor"/>
      </rPr>
      <t>12</t>
    </r>
  </si>
  <si>
    <r>
      <t>b</t>
    </r>
    <r>
      <rPr>
        <b/>
        <vertAlign val="subscript"/>
        <sz val="10"/>
        <color theme="1"/>
        <rFont val="Calibri"/>
        <family val="2"/>
        <scheme val="minor"/>
      </rPr>
      <t>12</t>
    </r>
  </si>
  <si>
    <r>
      <t>b</t>
    </r>
    <r>
      <rPr>
        <b/>
        <vertAlign val="subscript"/>
        <sz val="10"/>
        <color theme="1"/>
        <rFont val="Calibri"/>
        <family val="2"/>
        <scheme val="minor"/>
      </rPr>
      <t>21</t>
    </r>
  </si>
  <si>
    <r>
      <t>ln(γ</t>
    </r>
    <r>
      <rPr>
        <vertAlign val="sub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>)</t>
    </r>
    <r>
      <rPr>
        <vertAlign val="subscript"/>
        <sz val="10"/>
        <color theme="1"/>
        <rFont val="Calibri"/>
        <family val="2"/>
      </rPr>
      <t>pred</t>
    </r>
  </si>
  <si>
    <r>
      <t>ln(γ2)</t>
    </r>
    <r>
      <rPr>
        <vertAlign val="subscript"/>
        <sz val="10"/>
        <color theme="1"/>
        <rFont val="Calibri"/>
        <family val="2"/>
      </rPr>
      <t>pred</t>
    </r>
  </si>
  <si>
    <t>parameters :  (J/mol)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</si>
</sst>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E+00"/>
    <numFmt numFmtId="165" formatCode="0.000"/>
    <numFmt numFmtId="166" formatCode="0.0000"/>
    <numFmt numFmtId="167" formatCode="0.00000"/>
    <numFmt numFmtId="168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vertAlign val="subscript"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/>
    <xf numFmtId="165" fontId="2" fillId="0" borderId="1" xfId="0" applyNumberFormat="1" applyFont="1" applyBorder="1"/>
    <xf numFmtId="0" fontId="2" fillId="0" borderId="0" xfId="0" applyFont="1"/>
    <xf numFmtId="164" fontId="2" fillId="0" borderId="1" xfId="0" applyNumberFormat="1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applyFont="1" applyFill="1" applyBorder="1"/>
    <xf numFmtId="0" fontId="5" fillId="0" borderId="0" xfId="0" applyFont="1"/>
    <xf numFmtId="0" fontId="4" fillId="0" borderId="1" xfId="0" applyFont="1" applyBorder="1"/>
    <xf numFmtId="0" fontId="2" fillId="0" borderId="2" xfId="0" applyFont="1" applyBorder="1"/>
    <xf numFmtId="0" fontId="2" fillId="0" borderId="0" xfId="0" applyFont="1" applyBorder="1"/>
    <xf numFmtId="165" fontId="2" fillId="0" borderId="2" xfId="0" applyNumberFormat="1" applyFont="1" applyBorder="1"/>
    <xf numFmtId="0" fontId="4" fillId="0" borderId="1" xfId="0" applyFont="1" applyBorder="1" applyAlignment="1">
      <alignment wrapText="1"/>
    </xf>
    <xf numFmtId="165" fontId="2" fillId="0" borderId="0" xfId="0" applyNumberFormat="1" applyFont="1"/>
    <xf numFmtId="2" fontId="2" fillId="0" borderId="1" xfId="0" applyNumberFormat="1" applyFont="1" applyBorder="1"/>
    <xf numFmtId="0" fontId="2" fillId="0" borderId="1" xfId="0" quotePrefix="1" applyFont="1" applyBorder="1"/>
    <xf numFmtId="0" fontId="10" fillId="0" borderId="1" xfId="0" applyFont="1" applyBorder="1"/>
    <xf numFmtId="0" fontId="13" fillId="0" borderId="1" xfId="0" applyFont="1" applyBorder="1"/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horizontal="right" wrapText="1"/>
    </xf>
    <xf numFmtId="0" fontId="12" fillId="0" borderId="1" xfId="0" applyFont="1" applyBorder="1"/>
    <xf numFmtId="0" fontId="10" fillId="0" borderId="3" xfId="0" applyFont="1" applyBorder="1"/>
    <xf numFmtId="0" fontId="5" fillId="0" borderId="1" xfId="0" applyFont="1" applyBorder="1"/>
    <xf numFmtId="0" fontId="12" fillId="0" borderId="3" xfId="0" applyFont="1" applyBorder="1"/>
    <xf numFmtId="0" fontId="2" fillId="0" borderId="3" xfId="0" applyFont="1" applyBorder="1"/>
    <xf numFmtId="0" fontId="2" fillId="0" borderId="1" xfId="0" applyFont="1" applyBorder="1" applyAlignment="1">
      <alignment horizontal="right" wrapText="1"/>
    </xf>
    <xf numFmtId="167" fontId="2" fillId="0" borderId="1" xfId="0" applyNumberFormat="1" applyFont="1" applyBorder="1"/>
    <xf numFmtId="2" fontId="2" fillId="0" borderId="2" xfId="0" applyNumberFormat="1" applyFont="1" applyBorder="1"/>
    <xf numFmtId="2" fontId="2" fillId="0" borderId="3" xfId="0" applyNumberFormat="1" applyFont="1" applyBorder="1" applyAlignment="1">
      <alignment horizontal="left"/>
    </xf>
    <xf numFmtId="2" fontId="2" fillId="0" borderId="3" xfId="0" applyNumberFormat="1" applyFont="1" applyBorder="1"/>
    <xf numFmtId="168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RIx vs x1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ref vs 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5029986536657"/>
                  <c:y val="-0.28903905999091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Sheet1!$H$12:$H$25</c:f>
              <c:numCache>
                <c:formatCode>0.000</c:formatCode>
                <c:ptCount val="14"/>
                <c:pt idx="0">
                  <c:v>0</c:v>
                </c:pt>
                <c:pt idx="1">
                  <c:v>0.10807931258734488</c:v>
                </c:pt>
                <c:pt idx="2">
                  <c:v>0.24421967577031911</c:v>
                </c:pt>
                <c:pt idx="3">
                  <c:v>0.32646493354509742</c:v>
                </c:pt>
                <c:pt idx="4">
                  <c:v>0.42097982501841441</c:v>
                </c:pt>
                <c:pt idx="5">
                  <c:v>0.4922330402999654</c:v>
                </c:pt>
                <c:pt idx="6">
                  <c:v>0.54787122115452058</c:v>
                </c:pt>
                <c:pt idx="7">
                  <c:v>0.59252048144027514</c:v>
                </c:pt>
                <c:pt idx="8">
                  <c:v>0.62914379739261517</c:v>
                </c:pt>
                <c:pt idx="9">
                  <c:v>0.65972676787938933</c:v>
                </c:pt>
                <c:pt idx="10">
                  <c:v>0.68564991368295802</c:v>
                </c:pt>
                <c:pt idx="11">
                  <c:v>0.70790284574950157</c:v>
                </c:pt>
                <c:pt idx="12">
                  <c:v>0.90649026605158567</c:v>
                </c:pt>
                <c:pt idx="13">
                  <c:v>1</c:v>
                </c:pt>
              </c:numCache>
            </c:numRef>
          </c:xVal>
          <c:yVal>
            <c:numRef>
              <c:f>Sheet1!$D$12:$D$25</c:f>
              <c:numCache>
                <c:formatCode>General</c:formatCode>
                <c:ptCount val="14"/>
                <c:pt idx="0">
                  <c:v>1.504</c:v>
                </c:pt>
                <c:pt idx="1">
                  <c:v>1.49</c:v>
                </c:pt>
                <c:pt idx="2">
                  <c:v>1.4510000000000001</c:v>
                </c:pt>
                <c:pt idx="3">
                  <c:v>1.44</c:v>
                </c:pt>
                <c:pt idx="4">
                  <c:v>1.427</c:v>
                </c:pt>
                <c:pt idx="5">
                  <c:v>1.417</c:v>
                </c:pt>
                <c:pt idx="6">
                  <c:v>1.41</c:v>
                </c:pt>
                <c:pt idx="7">
                  <c:v>1.4039999999999999</c:v>
                </c:pt>
                <c:pt idx="8">
                  <c:v>1.399</c:v>
                </c:pt>
                <c:pt idx="9">
                  <c:v>1.395</c:v>
                </c:pt>
                <c:pt idx="10">
                  <c:v>1.391</c:v>
                </c:pt>
                <c:pt idx="11">
                  <c:v>1.3879999999999999</c:v>
                </c:pt>
                <c:pt idx="12">
                  <c:v>1.361</c:v>
                </c:pt>
                <c:pt idx="13">
                  <c:v>1.3480000000000001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7-46F7-93FA-F21704EB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148847"/>
        <c:axId val="712150511"/>
      </c:scatterChart>
      <c:valAx>
        <c:axId val="71214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50511"/>
        <c:crosses val="autoZero"/>
        <c:crossBetween val="midCat"/>
      </c:valAx>
      <c:valAx>
        <c:axId val="7121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RIx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148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</a:t>
            </a:r>
            <a:r>
              <a:rPr lang="en-IN" baseline="0"/>
              <a:t> vs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Sheet1!$J$40:$J$50</c:f>
              <c:numCache>
                <c:formatCode>0.000</c:formatCode>
                <c:ptCount val="11"/>
                <c:pt idx="0">
                  <c:v>0</c:v>
                </c:pt>
                <c:pt idx="1">
                  <c:v>8.8311688311687231E-2</c:v>
                </c:pt>
                <c:pt idx="2">
                  <c:v>0.17272727272727245</c:v>
                </c:pt>
                <c:pt idx="3">
                  <c:v>0.25714285714285623</c:v>
                </c:pt>
                <c:pt idx="4">
                  <c:v>0.34155844155844145</c:v>
                </c:pt>
                <c:pt idx="5">
                  <c:v>0.42597402597402523</c:v>
                </c:pt>
                <c:pt idx="6">
                  <c:v>0.51688311688311617</c:v>
                </c:pt>
                <c:pt idx="7">
                  <c:v>0.60779220779220722</c:v>
                </c:pt>
                <c:pt idx="8">
                  <c:v>0.70519480519480537</c:v>
                </c:pt>
                <c:pt idx="9">
                  <c:v>0.80909090909090797</c:v>
                </c:pt>
                <c:pt idx="10" formatCode="General">
                  <c:v>1</c:v>
                </c:pt>
              </c:numCache>
            </c:numRef>
          </c:xVal>
          <c:yVal>
            <c:numRef>
              <c:f>Sheet1!$K$40:$K$50</c:f>
              <c:numCache>
                <c:formatCode>0.000</c:formatCode>
                <c:ptCount val="11"/>
                <c:pt idx="0">
                  <c:v>0</c:v>
                </c:pt>
                <c:pt idx="1">
                  <c:v>0.21818181818181723</c:v>
                </c:pt>
                <c:pt idx="2">
                  <c:v>0.34805194805194722</c:v>
                </c:pt>
                <c:pt idx="3">
                  <c:v>0.43896103896103822</c:v>
                </c:pt>
                <c:pt idx="4">
                  <c:v>0.52337662337662338</c:v>
                </c:pt>
                <c:pt idx="5">
                  <c:v>0.58831168831168845</c:v>
                </c:pt>
                <c:pt idx="6">
                  <c:v>0.65974025974025918</c:v>
                </c:pt>
                <c:pt idx="7">
                  <c:v>0.71818181818181837</c:v>
                </c:pt>
                <c:pt idx="8">
                  <c:v>0.78311688311688343</c:v>
                </c:pt>
                <c:pt idx="9">
                  <c:v>0.84155844155844117</c:v>
                </c:pt>
                <c:pt idx="10" formatCode="General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30-4F7D-B3BB-F513F82E7DEE}"/>
            </c:ext>
          </c:extLst>
        </c:ser>
        <c:ser>
          <c:idx val="1"/>
          <c:order val="1"/>
          <c:tx>
            <c:v>45 deg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D30-4F7D-B3BB-F513F82E7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6707280"/>
        <c:axId val="1866707696"/>
      </c:scatterChart>
      <c:valAx>
        <c:axId val="186670728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07696"/>
        <c:crosses val="autoZero"/>
        <c:crossBetween val="midCat"/>
      </c:valAx>
      <c:valAx>
        <c:axId val="1866707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707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T-x-y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Sheet1!$J$40:$J$50</c:f>
              <c:numCache>
                <c:formatCode>0.000</c:formatCode>
                <c:ptCount val="11"/>
                <c:pt idx="0">
                  <c:v>0</c:v>
                </c:pt>
                <c:pt idx="1">
                  <c:v>8.8311688311687231E-2</c:v>
                </c:pt>
                <c:pt idx="2">
                  <c:v>0.17272727272727245</c:v>
                </c:pt>
                <c:pt idx="3">
                  <c:v>0.25714285714285623</c:v>
                </c:pt>
                <c:pt idx="4">
                  <c:v>0.34155844155844145</c:v>
                </c:pt>
                <c:pt idx="5">
                  <c:v>0.42597402597402523</c:v>
                </c:pt>
                <c:pt idx="6">
                  <c:v>0.51688311688311617</c:v>
                </c:pt>
                <c:pt idx="7">
                  <c:v>0.60779220779220722</c:v>
                </c:pt>
                <c:pt idx="8">
                  <c:v>0.70519480519480537</c:v>
                </c:pt>
                <c:pt idx="9">
                  <c:v>0.80909090909090797</c:v>
                </c:pt>
                <c:pt idx="10" formatCode="General">
                  <c:v>1</c:v>
                </c:pt>
              </c:numCache>
            </c:numRef>
          </c:xVal>
          <c:yVal>
            <c:numRef>
              <c:f>Sheet1!$G$40:$G$50</c:f>
              <c:numCache>
                <c:formatCode>General</c:formatCode>
                <c:ptCount val="11"/>
                <c:pt idx="0">
                  <c:v>353.16</c:v>
                </c:pt>
                <c:pt idx="1">
                  <c:v>347.46000000000004</c:v>
                </c:pt>
                <c:pt idx="2">
                  <c:v>343.56000000000006</c:v>
                </c:pt>
                <c:pt idx="3">
                  <c:v>340.66</c:v>
                </c:pt>
                <c:pt idx="4">
                  <c:v>338.36</c:v>
                </c:pt>
                <c:pt idx="5">
                  <c:v>336.36</c:v>
                </c:pt>
                <c:pt idx="6">
                  <c:v>334.66</c:v>
                </c:pt>
                <c:pt idx="7">
                  <c:v>333.16</c:v>
                </c:pt>
                <c:pt idx="8">
                  <c:v>331.76000000000005</c:v>
                </c:pt>
                <c:pt idx="9">
                  <c:v>330.46000000000004</c:v>
                </c:pt>
                <c:pt idx="10">
                  <c:v>329.16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347-4E2F-85F7-5CA10CE9EB9D}"/>
            </c:ext>
          </c:extLst>
        </c:ser>
        <c:ser>
          <c:idx val="1"/>
          <c:order val="1"/>
          <c:tx>
            <c:v>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Sheet1!$K$40:$K$50</c:f>
              <c:numCache>
                <c:formatCode>0.000</c:formatCode>
                <c:ptCount val="11"/>
                <c:pt idx="0">
                  <c:v>0</c:v>
                </c:pt>
                <c:pt idx="1">
                  <c:v>0.21818181818181723</c:v>
                </c:pt>
                <c:pt idx="2">
                  <c:v>0.34805194805194722</c:v>
                </c:pt>
                <c:pt idx="3">
                  <c:v>0.43896103896103822</c:v>
                </c:pt>
                <c:pt idx="4">
                  <c:v>0.52337662337662338</c:v>
                </c:pt>
                <c:pt idx="5">
                  <c:v>0.58831168831168845</c:v>
                </c:pt>
                <c:pt idx="6">
                  <c:v>0.65974025974025918</c:v>
                </c:pt>
                <c:pt idx="7">
                  <c:v>0.71818181818181837</c:v>
                </c:pt>
                <c:pt idx="8">
                  <c:v>0.78311688311688343</c:v>
                </c:pt>
                <c:pt idx="9">
                  <c:v>0.84155844155844117</c:v>
                </c:pt>
                <c:pt idx="10" formatCode="General">
                  <c:v>1</c:v>
                </c:pt>
              </c:numCache>
            </c:numRef>
          </c:xVal>
          <c:yVal>
            <c:numRef>
              <c:f>Sheet1!$G$40:$G$50</c:f>
              <c:numCache>
                <c:formatCode>General</c:formatCode>
                <c:ptCount val="11"/>
                <c:pt idx="0">
                  <c:v>353.16</c:v>
                </c:pt>
                <c:pt idx="1">
                  <c:v>347.46000000000004</c:v>
                </c:pt>
                <c:pt idx="2">
                  <c:v>343.56000000000006</c:v>
                </c:pt>
                <c:pt idx="3">
                  <c:v>340.66</c:v>
                </c:pt>
                <c:pt idx="4">
                  <c:v>338.36</c:v>
                </c:pt>
                <c:pt idx="5">
                  <c:v>336.36</c:v>
                </c:pt>
                <c:pt idx="6">
                  <c:v>334.66</c:v>
                </c:pt>
                <c:pt idx="7">
                  <c:v>333.16</c:v>
                </c:pt>
                <c:pt idx="8">
                  <c:v>331.76000000000005</c:v>
                </c:pt>
                <c:pt idx="9">
                  <c:v>330.46000000000004</c:v>
                </c:pt>
                <c:pt idx="10">
                  <c:v>329.16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347-4E2F-85F7-5CA10CE9E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39584"/>
        <c:axId val="99535424"/>
      </c:scatterChart>
      <c:valAx>
        <c:axId val="995395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5424"/>
        <c:crosses val="autoZero"/>
        <c:crossBetween val="midCat"/>
      </c:valAx>
      <c:valAx>
        <c:axId val="995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γ</a:t>
            </a:r>
            <a:r>
              <a:rPr lang="en-IN" sz="1400" b="0" i="0" u="none" strike="noStrike" baseline="-25000">
                <a:effectLst/>
              </a:rPr>
              <a:t>expt</a:t>
            </a:r>
            <a:r>
              <a:rPr lang="en-IN" sz="1400" b="0" i="0" u="none" strike="noStrike" baseline="0"/>
              <a:t>  vs x1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gamma1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Sheet1!$B$79:$B$88</c:f>
              <c:numCache>
                <c:formatCode>0.000</c:formatCode>
                <c:ptCount val="10"/>
                <c:pt idx="0">
                  <c:v>8.8311688311687231E-2</c:v>
                </c:pt>
                <c:pt idx="1">
                  <c:v>0.17272727272727245</c:v>
                </c:pt>
                <c:pt idx="2">
                  <c:v>0.25714285714285623</c:v>
                </c:pt>
                <c:pt idx="3">
                  <c:v>0.34155844155844145</c:v>
                </c:pt>
                <c:pt idx="4">
                  <c:v>0.42597402597402523</c:v>
                </c:pt>
                <c:pt idx="5">
                  <c:v>0.51688311688311617</c:v>
                </c:pt>
                <c:pt idx="6">
                  <c:v>0.60779220779220722</c:v>
                </c:pt>
                <c:pt idx="7">
                  <c:v>0.70519480519480537</c:v>
                </c:pt>
                <c:pt idx="8">
                  <c:v>0.80909090909090797</c:v>
                </c:pt>
                <c:pt idx="9" formatCode="General">
                  <c:v>1</c:v>
                </c:pt>
              </c:numCache>
            </c:numRef>
          </c:xVal>
          <c:yVal>
            <c:numRef>
              <c:f>Sheet1!$I$79:$I$88</c:f>
              <c:numCache>
                <c:formatCode>0.000</c:formatCode>
                <c:ptCount val="10"/>
                <c:pt idx="0">
                  <c:v>1.3768727266762997</c:v>
                </c:pt>
                <c:pt idx="1">
                  <c:v>1.2656490975595041</c:v>
                </c:pt>
                <c:pt idx="2">
                  <c:v>1.1742761426253885</c:v>
                </c:pt>
                <c:pt idx="3">
                  <c:v>1.1343054087516882</c:v>
                </c:pt>
                <c:pt idx="4">
                  <c:v>1.0907157765595792</c:v>
                </c:pt>
                <c:pt idx="5">
                  <c:v>1.0657550290684603</c:v>
                </c:pt>
                <c:pt idx="6">
                  <c:v>1.03688827881724</c:v>
                </c:pt>
                <c:pt idx="7">
                  <c:v>1.0211917284291132</c:v>
                </c:pt>
                <c:pt idx="8">
                  <c:v>0.99939298157119161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C4-4D5E-8453-4DA26635EE4C}"/>
            </c:ext>
          </c:extLst>
        </c:ser>
        <c:ser>
          <c:idx val="1"/>
          <c:order val="1"/>
          <c:tx>
            <c:v>gamma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Sheet1!$B$78:$B$87</c:f>
              <c:numCache>
                <c:formatCode>0.000</c:formatCode>
                <c:ptCount val="10"/>
                <c:pt idx="0">
                  <c:v>0</c:v>
                </c:pt>
                <c:pt idx="1">
                  <c:v>8.8311688311687231E-2</c:v>
                </c:pt>
                <c:pt idx="2">
                  <c:v>0.17272727272727245</c:v>
                </c:pt>
                <c:pt idx="3">
                  <c:v>0.25714285714285623</c:v>
                </c:pt>
                <c:pt idx="4">
                  <c:v>0.34155844155844145</c:v>
                </c:pt>
                <c:pt idx="5">
                  <c:v>0.42597402597402523</c:v>
                </c:pt>
                <c:pt idx="6">
                  <c:v>0.51688311688311617</c:v>
                </c:pt>
                <c:pt idx="7">
                  <c:v>0.60779220779220722</c:v>
                </c:pt>
                <c:pt idx="8">
                  <c:v>0.70519480519480537</c:v>
                </c:pt>
                <c:pt idx="9">
                  <c:v>0.80909090909090797</c:v>
                </c:pt>
              </c:numCache>
            </c:numRef>
          </c:xVal>
          <c:yVal>
            <c:numRef>
              <c:f>Sheet1!$J$78:$J$87</c:f>
              <c:numCache>
                <c:formatCode>0.000</c:formatCode>
                <c:ptCount val="10"/>
                <c:pt idx="0">
                  <c:v>1</c:v>
                </c:pt>
                <c:pt idx="1">
                  <c:v>1.0295766268117414</c:v>
                </c:pt>
                <c:pt idx="2">
                  <c:v>1.0739231277568901</c:v>
                </c:pt>
                <c:pt idx="3">
                  <c:v>1.1333748345259149</c:v>
                </c:pt>
                <c:pt idx="4">
                  <c:v>1.1742622058384848</c:v>
                </c:pt>
                <c:pt idx="5">
                  <c:v>1.2462412062061194</c:v>
                </c:pt>
                <c:pt idx="6">
                  <c:v>1.2984874701485909</c:v>
                </c:pt>
                <c:pt idx="7">
                  <c:v>1.3966304385534956</c:v>
                </c:pt>
                <c:pt idx="8">
                  <c:v>1.5030115910784443</c:v>
                </c:pt>
                <c:pt idx="9">
                  <c:v>1.7766730204261847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4C4-4D5E-8453-4DA26635E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25024"/>
        <c:axId val="99529184"/>
      </c:scatterChart>
      <c:valAx>
        <c:axId val="995250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29184"/>
        <c:crosses val="autoZero"/>
        <c:crossBetween val="midCat"/>
      </c:valAx>
      <c:valAx>
        <c:axId val="9952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Activity</a:t>
                </a:r>
                <a:r>
                  <a:rPr lang="en-IN" baseline="0"/>
                  <a:t> Coefficient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25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>
                <a:effectLst/>
              </a:rPr>
              <a:t>G</a:t>
            </a:r>
            <a:r>
              <a:rPr lang="en-IN" sz="1400" b="0" i="0" u="none" strike="noStrike" baseline="30000">
                <a:effectLst/>
              </a:rPr>
              <a:t>E</a:t>
            </a:r>
            <a:r>
              <a:rPr lang="en-IN" sz="1400" b="0" i="0" u="none" strike="noStrike" baseline="0">
                <a:effectLst/>
              </a:rPr>
              <a:t> (J/mol)</a:t>
            </a:r>
            <a:r>
              <a:rPr lang="en-IN" sz="1400" b="0" i="0" u="none" strike="noStrike" baseline="0"/>
              <a:t>  vs x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Sheet1!$B$78:$B$88</c:f>
              <c:numCache>
                <c:formatCode>0.000</c:formatCode>
                <c:ptCount val="11"/>
                <c:pt idx="0">
                  <c:v>0</c:v>
                </c:pt>
                <c:pt idx="1">
                  <c:v>8.8311688311687231E-2</c:v>
                </c:pt>
                <c:pt idx="2">
                  <c:v>0.17272727272727245</c:v>
                </c:pt>
                <c:pt idx="3">
                  <c:v>0.25714285714285623</c:v>
                </c:pt>
                <c:pt idx="4">
                  <c:v>0.34155844155844145</c:v>
                </c:pt>
                <c:pt idx="5">
                  <c:v>0.42597402597402523</c:v>
                </c:pt>
                <c:pt idx="6">
                  <c:v>0.51688311688311617</c:v>
                </c:pt>
                <c:pt idx="7">
                  <c:v>0.60779220779220722</c:v>
                </c:pt>
                <c:pt idx="8">
                  <c:v>0.70519480519480537</c:v>
                </c:pt>
                <c:pt idx="9">
                  <c:v>0.80909090909090797</c:v>
                </c:pt>
                <c:pt idx="10" formatCode="General">
                  <c:v>1</c:v>
                </c:pt>
              </c:numCache>
            </c:numRef>
          </c:xVal>
          <c:yVal>
            <c:numRef>
              <c:f>Sheet1!$K$78:$K$88</c:f>
              <c:numCache>
                <c:formatCode>0.00</c:formatCode>
                <c:ptCount val="11"/>
                <c:pt idx="0">
                  <c:v>0</c:v>
                </c:pt>
                <c:pt idx="1">
                  <c:v>158.36312644836588</c:v>
                </c:pt>
                <c:pt idx="2">
                  <c:v>284.77115184614263</c:v>
                </c:pt>
                <c:pt idx="3">
                  <c:v>380.4373377695224</c:v>
                </c:pt>
                <c:pt idx="4">
                  <c:v>418.65970487020752</c:v>
                </c:pt>
                <c:pt idx="5">
                  <c:v>456.83477810676453</c:v>
                </c:pt>
                <c:pt idx="6">
                  <c:v>442.71835479446918</c:v>
                </c:pt>
                <c:pt idx="7">
                  <c:v>423.92425603369639</c:v>
                </c:pt>
                <c:pt idx="8">
                  <c:v>372.14389694660576</c:v>
                </c:pt>
                <c:pt idx="9">
                  <c:v>300.12632700863855</c:v>
                </c:pt>
                <c:pt idx="10" formatCode="0.0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F1-4AE5-95A0-062DB61A8238}"/>
            </c:ext>
          </c:extLst>
        </c:ser>
        <c:ser>
          <c:idx val="1"/>
          <c:order val="1"/>
          <c:tx>
            <c:v>Wilson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Sheet1!$B$117:$B$127</c:f>
              <c:numCache>
                <c:formatCode>0.000</c:formatCode>
                <c:ptCount val="11"/>
                <c:pt idx="0">
                  <c:v>0</c:v>
                </c:pt>
                <c:pt idx="1">
                  <c:v>8.8311688311687231E-2</c:v>
                </c:pt>
                <c:pt idx="2">
                  <c:v>0.17272727272727245</c:v>
                </c:pt>
                <c:pt idx="3">
                  <c:v>0.25714285714285623</c:v>
                </c:pt>
                <c:pt idx="4">
                  <c:v>0.34155844155844145</c:v>
                </c:pt>
                <c:pt idx="5">
                  <c:v>0.42597402597402523</c:v>
                </c:pt>
                <c:pt idx="6">
                  <c:v>0.51688311688311617</c:v>
                </c:pt>
                <c:pt idx="7">
                  <c:v>0.60779220779220722</c:v>
                </c:pt>
                <c:pt idx="8">
                  <c:v>0.70519480519480537</c:v>
                </c:pt>
                <c:pt idx="9">
                  <c:v>0.80909090909090797</c:v>
                </c:pt>
                <c:pt idx="10" formatCode="General">
                  <c:v>1</c:v>
                </c:pt>
              </c:numCache>
            </c:numRef>
          </c:xVal>
          <c:yVal>
            <c:numRef>
              <c:f>Sheet1!$N$117:$N$127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160.67550944223737</c:v>
                </c:pt>
                <c:pt idx="2">
                  <c:v>280.024392086457</c:v>
                </c:pt>
                <c:pt idx="3">
                  <c:v>368.03920463031915</c:v>
                </c:pt>
                <c:pt idx="4">
                  <c:v>426.48045656820904</c:v>
                </c:pt>
                <c:pt idx="5">
                  <c:v>456.83475001623083</c:v>
                </c:pt>
                <c:pt idx="6">
                  <c:v>459.60211229499066</c:v>
                </c:pt>
                <c:pt idx="7">
                  <c:v>432.64403350796971</c:v>
                </c:pt>
                <c:pt idx="8">
                  <c:v>372.08265154438322</c:v>
                </c:pt>
                <c:pt idx="9">
                  <c:v>272.66445385575537</c:v>
                </c:pt>
                <c:pt idx="1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F1-4AE5-95A0-062DB61A8238}"/>
            </c:ext>
          </c:extLst>
        </c:ser>
        <c:ser>
          <c:idx val="2"/>
          <c:order val="2"/>
          <c:tx>
            <c:v>NRTL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3"/>
                </a:solidFill>
                <a:prstDash val="dash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Sheet1!$B$155:$B$165</c:f>
              <c:numCache>
                <c:formatCode>0.000</c:formatCode>
                <c:ptCount val="11"/>
                <c:pt idx="0">
                  <c:v>0</c:v>
                </c:pt>
                <c:pt idx="1">
                  <c:v>8.8311688311687231E-2</c:v>
                </c:pt>
                <c:pt idx="2">
                  <c:v>0.17272727272727245</c:v>
                </c:pt>
                <c:pt idx="3">
                  <c:v>0.25714285714285623</c:v>
                </c:pt>
                <c:pt idx="4">
                  <c:v>0.34155844155844145</c:v>
                </c:pt>
                <c:pt idx="5">
                  <c:v>0.42597402597402523</c:v>
                </c:pt>
                <c:pt idx="6">
                  <c:v>0.51688311688311617</c:v>
                </c:pt>
                <c:pt idx="7">
                  <c:v>0.60779220779220722</c:v>
                </c:pt>
                <c:pt idx="8">
                  <c:v>0.70519480519480537</c:v>
                </c:pt>
                <c:pt idx="9">
                  <c:v>0.80909090909090797</c:v>
                </c:pt>
                <c:pt idx="10" formatCode="General">
                  <c:v>1</c:v>
                </c:pt>
              </c:numCache>
            </c:numRef>
          </c:xVal>
          <c:yVal>
            <c:numRef>
              <c:f>Sheet1!$N$155:$N$165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158.7093738498248</c:v>
                </c:pt>
                <c:pt idx="2">
                  <c:v>277.41958410195201</c:v>
                </c:pt>
                <c:pt idx="3">
                  <c:v>365.45499838120975</c:v>
                </c:pt>
                <c:pt idx="4">
                  <c:v>424.25925276667363</c:v>
                </c:pt>
                <c:pt idx="5">
                  <c:v>455.13098354648025</c:v>
                </c:pt>
                <c:pt idx="6">
                  <c:v>458.51415367713122</c:v>
                </c:pt>
                <c:pt idx="7">
                  <c:v>432.15281394633683</c:v>
                </c:pt>
                <c:pt idx="8">
                  <c:v>372.14391488360189</c:v>
                </c:pt>
                <c:pt idx="9">
                  <c:v>273.11741227581081</c:v>
                </c:pt>
                <c:pt idx="10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F1-4AE5-95A0-062DB61A8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391743"/>
        <c:axId val="493392159"/>
      </c:scatterChart>
      <c:valAx>
        <c:axId val="49339174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x1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92159"/>
        <c:crosses val="autoZero"/>
        <c:crossBetween val="midCat"/>
        <c:majorUnit val="0.1"/>
      </c:valAx>
      <c:valAx>
        <c:axId val="49339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effectLst/>
                  </a:rPr>
                  <a:t>G</a:t>
                </a:r>
                <a:r>
                  <a:rPr lang="en-IN" sz="1000" b="0" i="0" u="none" strike="noStrike" baseline="30000">
                    <a:effectLst/>
                  </a:rPr>
                  <a:t>E</a:t>
                </a:r>
                <a:r>
                  <a:rPr lang="en-IN" sz="1000" b="0" i="0" u="none" strike="noStrike" baseline="0">
                    <a:effectLst/>
                  </a:rPr>
                  <a:t> (J/mol)</a:t>
                </a:r>
                <a:r>
                  <a:rPr lang="en-IN" sz="1000" b="0" i="0" u="none" strike="noStrike" baseline="0"/>
                  <a:t> 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391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88912492595711234"/>
          <c:y val="0.30224931895512536"/>
          <c:w val="9.0501769503272933E-2"/>
          <c:h val="0.10414373974869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9</xdr:row>
      <xdr:rowOff>161924</xdr:rowOff>
    </xdr:from>
    <xdr:to>
      <xdr:col>13</xdr:col>
      <xdr:colOff>590550</xdr:colOff>
      <xdr:row>25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47625</xdr:colOff>
      <xdr:row>27</xdr:row>
      <xdr:rowOff>4762</xdr:rowOff>
    </xdr:from>
    <xdr:ext cx="17429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771900" y="5129212"/>
              <a:ext cx="1742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100" b="0" i="1">
                        <a:latin typeface="Cambria Math" panose="02040503050406030204" pitchFamily="18" charset="0"/>
                      </a:rPr>
                      <m:t>𝑅𝐼𝑥</m:t>
                    </m:r>
                    <m:r>
                      <a:rPr lang="en-IN" sz="1100" b="0" i="1">
                        <a:latin typeface="Cambria Math" panose="02040503050406030204" pitchFamily="18" charset="0"/>
                      </a:rPr>
                      <m:t>=−0.154</m:t>
                    </m:r>
                    <m:d>
                      <m:dPr>
                        <m:ctrlPr>
                          <a:rPr lang="en-I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IN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n-IN" sz="1100" b="0" i="1">
                        <a:latin typeface="Cambria Math" panose="02040503050406030204" pitchFamily="18" charset="0"/>
                      </a:rPr>
                      <m:t>+1.4966</m:t>
                    </m:r>
                  </m:oMath>
                </m:oMathPara>
              </a14:m>
              <a:endParaRPr lang="en-IN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771900" y="5129212"/>
              <a:ext cx="17429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IN" sz="1100" b="0" i="0">
                  <a:latin typeface="Cambria Math" panose="02040503050406030204" pitchFamily="18" charset="0"/>
                </a:rPr>
                <a:t>𝑅𝐼𝑥=−0.154(𝑥1)+1.4966</a:t>
              </a:r>
              <a:endParaRPr lang="en-IN" sz="1100"/>
            </a:p>
          </xdr:txBody>
        </xdr:sp>
      </mc:Fallback>
    </mc:AlternateContent>
    <xdr:clientData/>
  </xdr:oneCellAnchor>
  <xdr:twoCellAnchor>
    <xdr:from>
      <xdr:col>7</xdr:col>
      <xdr:colOff>314325</xdr:colOff>
      <xdr:row>52</xdr:row>
      <xdr:rowOff>33337</xdr:rowOff>
    </xdr:from>
    <xdr:to>
      <xdr:col>13</xdr:col>
      <xdr:colOff>476250</xdr:colOff>
      <xdr:row>68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95249</xdr:colOff>
      <xdr:row>52</xdr:row>
      <xdr:rowOff>28574</xdr:rowOff>
    </xdr:from>
    <xdr:to>
      <xdr:col>7</xdr:col>
      <xdr:colOff>209549</xdr:colOff>
      <xdr:row>68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161925</xdr:colOff>
      <xdr:row>91</xdr:row>
      <xdr:rowOff>61912</xdr:rowOff>
    </xdr:from>
    <xdr:to>
      <xdr:col>10</xdr:col>
      <xdr:colOff>104775</xdr:colOff>
      <xdr:row>107</xdr:row>
      <xdr:rowOff>42862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30254</xdr:colOff>
      <xdr:row>0</xdr:row>
      <xdr:rowOff>3080</xdr:rowOff>
    </xdr:from>
    <xdr:to>
      <xdr:col>28</xdr:col>
      <xdr:colOff>593911</xdr:colOff>
      <xdr:row>36</xdr:row>
      <xdr:rowOff>103094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605118</xdr:colOff>
      <xdr:row>33</xdr:row>
      <xdr:rowOff>100853</xdr:rowOff>
    </xdr:from>
    <xdr:to>
      <xdr:col>13</xdr:col>
      <xdr:colOff>582706</xdr:colOff>
      <xdr:row>36</xdr:row>
      <xdr:rowOff>100853</xdr:rowOff>
    </xdr:to>
    <xdr:sp macro="" textlink="">
      <xdr:nvSpPr>
        <xdr:cNvPr id="5" name="TextBox 4"/>
        <xdr:cNvSpPr txBox="1"/>
      </xdr:nvSpPr>
      <xdr:spPr>
        <a:xfrm>
          <a:off x="7082118" y="5703794"/>
          <a:ext cx="1938617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Harikrishnan R N</a:t>
          </a:r>
        </a:p>
        <a:p>
          <a:r>
            <a:rPr lang="en-IN" sz="1100"/>
            <a:t>18CHE147</a:t>
          </a:r>
        </a:p>
      </xdr:txBody>
    </xdr:sp>
    <xdr:clientData/>
  </xdr:twoCellAnchor>
  <xdr:twoCellAnchor>
    <xdr:from>
      <xdr:col>10</xdr:col>
      <xdr:colOff>605117</xdr:colOff>
      <xdr:row>70</xdr:row>
      <xdr:rowOff>112059</xdr:rowOff>
    </xdr:from>
    <xdr:to>
      <xdr:col>13</xdr:col>
      <xdr:colOff>582705</xdr:colOff>
      <xdr:row>73</xdr:row>
      <xdr:rowOff>112059</xdr:rowOff>
    </xdr:to>
    <xdr:sp macro="" textlink="">
      <xdr:nvSpPr>
        <xdr:cNvPr id="9" name="TextBox 8"/>
        <xdr:cNvSpPr txBox="1"/>
      </xdr:nvSpPr>
      <xdr:spPr>
        <a:xfrm>
          <a:off x="7082117" y="11923059"/>
          <a:ext cx="1938617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Harikrishnan R N</a:t>
          </a:r>
        </a:p>
        <a:p>
          <a:r>
            <a:rPr lang="en-IN" sz="1100"/>
            <a:t>18CHE147</a:t>
          </a:r>
        </a:p>
      </xdr:txBody>
    </xdr:sp>
    <xdr:clientData/>
  </xdr:twoCellAnchor>
  <xdr:twoCellAnchor>
    <xdr:from>
      <xdr:col>10</xdr:col>
      <xdr:colOff>593912</xdr:colOff>
      <xdr:row>108</xdr:row>
      <xdr:rowOff>123265</xdr:rowOff>
    </xdr:from>
    <xdr:to>
      <xdr:col>13</xdr:col>
      <xdr:colOff>571500</xdr:colOff>
      <xdr:row>111</xdr:row>
      <xdr:rowOff>123265</xdr:rowOff>
    </xdr:to>
    <xdr:sp macro="" textlink="">
      <xdr:nvSpPr>
        <xdr:cNvPr id="11" name="TextBox 10"/>
        <xdr:cNvSpPr txBox="1"/>
      </xdr:nvSpPr>
      <xdr:spPr>
        <a:xfrm>
          <a:off x="7070912" y="18097500"/>
          <a:ext cx="1938617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Harikrishnan R N</a:t>
          </a:r>
        </a:p>
        <a:p>
          <a:r>
            <a:rPr lang="en-IN" sz="1100"/>
            <a:t>18CHE147</a:t>
          </a:r>
        </a:p>
      </xdr:txBody>
    </xdr:sp>
    <xdr:clientData/>
  </xdr:twoCellAnchor>
  <xdr:twoCellAnchor>
    <xdr:from>
      <xdr:col>10</xdr:col>
      <xdr:colOff>593912</xdr:colOff>
      <xdr:row>145</xdr:row>
      <xdr:rowOff>112059</xdr:rowOff>
    </xdr:from>
    <xdr:to>
      <xdr:col>13</xdr:col>
      <xdr:colOff>571500</xdr:colOff>
      <xdr:row>148</xdr:row>
      <xdr:rowOff>112059</xdr:rowOff>
    </xdr:to>
    <xdr:sp macro="" textlink="">
      <xdr:nvSpPr>
        <xdr:cNvPr id="12" name="TextBox 11"/>
        <xdr:cNvSpPr txBox="1"/>
      </xdr:nvSpPr>
      <xdr:spPr>
        <a:xfrm>
          <a:off x="7070912" y="24294353"/>
          <a:ext cx="1938617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Harikrishnan R N</a:t>
          </a:r>
        </a:p>
        <a:p>
          <a:r>
            <a:rPr lang="en-IN" sz="1100"/>
            <a:t>18CHE147</a:t>
          </a:r>
        </a:p>
      </xdr:txBody>
    </xdr:sp>
    <xdr:clientData/>
  </xdr:twoCellAnchor>
  <xdr:twoCellAnchor>
    <xdr:from>
      <xdr:col>10</xdr:col>
      <xdr:colOff>593912</xdr:colOff>
      <xdr:row>182</xdr:row>
      <xdr:rowOff>112059</xdr:rowOff>
    </xdr:from>
    <xdr:to>
      <xdr:col>13</xdr:col>
      <xdr:colOff>571500</xdr:colOff>
      <xdr:row>185</xdr:row>
      <xdr:rowOff>112059</xdr:rowOff>
    </xdr:to>
    <xdr:sp macro="" textlink="">
      <xdr:nvSpPr>
        <xdr:cNvPr id="13" name="TextBox 12"/>
        <xdr:cNvSpPr txBox="1"/>
      </xdr:nvSpPr>
      <xdr:spPr>
        <a:xfrm>
          <a:off x="7070912" y="30524824"/>
          <a:ext cx="1938617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Harikrishnan R N</a:t>
          </a:r>
        </a:p>
        <a:p>
          <a:r>
            <a:rPr lang="en-IN" sz="1100"/>
            <a:t>18CHE147</a:t>
          </a:r>
        </a:p>
      </xdr:txBody>
    </xdr:sp>
    <xdr:clientData/>
  </xdr:twoCellAnchor>
  <xdr:twoCellAnchor>
    <xdr:from>
      <xdr:col>25</xdr:col>
      <xdr:colOff>448235</xdr:colOff>
      <xdr:row>0</xdr:row>
      <xdr:rowOff>44824</xdr:rowOff>
    </xdr:from>
    <xdr:to>
      <xdr:col>28</xdr:col>
      <xdr:colOff>571499</xdr:colOff>
      <xdr:row>3</xdr:row>
      <xdr:rowOff>44824</xdr:rowOff>
    </xdr:to>
    <xdr:sp macro="" textlink="">
      <xdr:nvSpPr>
        <xdr:cNvPr id="14" name="TextBox 13"/>
        <xdr:cNvSpPr txBox="1"/>
      </xdr:nvSpPr>
      <xdr:spPr>
        <a:xfrm>
          <a:off x="16147676" y="44824"/>
          <a:ext cx="1938617" cy="470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Harikrishnan R N</a:t>
          </a:r>
        </a:p>
        <a:p>
          <a:r>
            <a:rPr lang="en-IN" sz="1100"/>
            <a:t>18CHE147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zoomScale="85" zoomScaleNormal="85" workbookViewId="0">
      <selection activeCell="J134" sqref="J134"/>
    </sheetView>
  </sheetViews>
  <sheetFormatPr defaultRowHeight="12.75" x14ac:dyDescent="0.2"/>
  <cols>
    <col min="1" max="4" width="9.140625" style="3"/>
    <col min="5" max="5" width="9.42578125" style="3" customWidth="1"/>
    <col min="6" max="6" width="9.85546875" style="3" customWidth="1"/>
    <col min="7" max="7" width="10" style="3" customWidth="1"/>
    <col min="8" max="8" width="10.42578125" style="3" customWidth="1"/>
    <col min="9" max="9" width="10.7109375" style="3" customWidth="1"/>
    <col min="10" max="10" width="10.28515625" style="3" customWidth="1"/>
    <col min="11" max="11" width="10" style="3" customWidth="1"/>
    <col min="12" max="12" width="10.28515625" style="3" bestFit="1" customWidth="1"/>
    <col min="13" max="16384" width="9.140625" style="3"/>
  </cols>
  <sheetData>
    <row r="1" spans="1:13" x14ac:dyDescent="0.2">
      <c r="A1" s="1" t="s">
        <v>5</v>
      </c>
      <c r="B1" s="1"/>
      <c r="C1" s="1"/>
      <c r="D1" s="1"/>
      <c r="E1" s="2">
        <v>0.79197624000000011</v>
      </c>
      <c r="H1" s="1" t="s">
        <v>19</v>
      </c>
      <c r="I1" s="1"/>
      <c r="J1" s="1"/>
    </row>
    <row r="2" spans="1:13" x14ac:dyDescent="0.2">
      <c r="A2" s="1" t="s">
        <v>6</v>
      </c>
      <c r="B2" s="1"/>
      <c r="C2" s="1"/>
      <c r="D2" s="1"/>
      <c r="E2" s="2">
        <v>0.87897363000000006</v>
      </c>
      <c r="H2" s="1" t="s">
        <v>11</v>
      </c>
      <c r="I2" s="1"/>
      <c r="J2" s="1"/>
      <c r="K2" s="1"/>
      <c r="L2" s="1"/>
    </row>
    <row r="3" spans="1:13" x14ac:dyDescent="0.2">
      <c r="A3" s="1" t="s">
        <v>7</v>
      </c>
      <c r="B3" s="1"/>
      <c r="C3" s="1"/>
      <c r="D3" s="1"/>
      <c r="E3" s="1">
        <v>58.08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 x14ac:dyDescent="0.2">
      <c r="A4" s="1" t="s">
        <v>8</v>
      </c>
      <c r="B4" s="1"/>
      <c r="C4" s="1"/>
      <c r="D4" s="1"/>
      <c r="E4" s="1">
        <v>78.11</v>
      </c>
      <c r="H4" s="1" t="s">
        <v>17</v>
      </c>
      <c r="I4" s="1">
        <v>83.106999999999999</v>
      </c>
      <c r="J4" s="1">
        <v>-6486.2</v>
      </c>
      <c r="K4" s="1">
        <v>-9.2194000000000003</v>
      </c>
      <c r="L4" s="4">
        <v>6.9844000000000004E-6</v>
      </c>
      <c r="M4" s="1">
        <v>2</v>
      </c>
    </row>
    <row r="5" spans="1:13" x14ac:dyDescent="0.2">
      <c r="A5" s="1"/>
      <c r="B5" s="1"/>
      <c r="C5" s="1"/>
      <c r="D5" s="1"/>
      <c r="E5" s="1"/>
      <c r="H5" s="1" t="s">
        <v>18</v>
      </c>
      <c r="I5" s="1">
        <v>69.006</v>
      </c>
      <c r="J5" s="1">
        <v>-5599.6</v>
      </c>
      <c r="K5" s="1">
        <v>-7.0984999999999996</v>
      </c>
      <c r="L5" s="4">
        <v>6.2237000000000002E-6</v>
      </c>
      <c r="M5" s="1">
        <v>2</v>
      </c>
    </row>
    <row r="6" spans="1:13" ht="14.25" x14ac:dyDescent="0.25">
      <c r="A6" s="1" t="s">
        <v>9</v>
      </c>
      <c r="B6" s="1"/>
      <c r="C6" s="1"/>
      <c r="D6" s="1"/>
      <c r="E6" s="5">
        <v>1.3635954545454548E-2</v>
      </c>
      <c r="H6" s="1" t="s">
        <v>37</v>
      </c>
      <c r="I6" s="1"/>
      <c r="J6" s="1">
        <f>101325/1000</f>
        <v>101.325</v>
      </c>
      <c r="K6" s="1" t="s">
        <v>41</v>
      </c>
    </row>
    <row r="7" spans="1:13" x14ac:dyDescent="0.2">
      <c r="A7" s="1" t="s">
        <v>10</v>
      </c>
      <c r="B7" s="1"/>
      <c r="C7" s="1"/>
      <c r="D7" s="1"/>
      <c r="E7" s="5">
        <v>1.1253023044424531E-2</v>
      </c>
    </row>
    <row r="9" spans="1:13" ht="12.75" customHeight="1" x14ac:dyDescent="0.2">
      <c r="A9" s="1" t="s">
        <v>0</v>
      </c>
      <c r="B9" s="1"/>
      <c r="C9" s="14"/>
      <c r="D9" s="14"/>
      <c r="E9" s="14"/>
      <c r="F9" s="14"/>
      <c r="G9" s="14"/>
      <c r="H9" s="14"/>
    </row>
    <row r="10" spans="1:13" ht="12.75" customHeight="1" x14ac:dyDescent="0.2">
      <c r="A10" s="1" t="s">
        <v>4</v>
      </c>
      <c r="B10" s="1"/>
      <c r="C10" s="1">
        <v>7</v>
      </c>
      <c r="D10" s="14"/>
      <c r="E10" s="14"/>
      <c r="F10" s="14"/>
      <c r="G10" s="14"/>
      <c r="H10" s="14"/>
    </row>
    <row r="11" spans="1:13" ht="39" x14ac:dyDescent="0.25">
      <c r="A11" s="1" t="s">
        <v>2</v>
      </c>
      <c r="B11" s="1" t="s">
        <v>1</v>
      </c>
      <c r="C11" s="1" t="s">
        <v>3</v>
      </c>
      <c r="D11" s="1" t="s">
        <v>23</v>
      </c>
      <c r="E11" s="6" t="s">
        <v>20</v>
      </c>
      <c r="F11" s="1" t="s">
        <v>21</v>
      </c>
      <c r="G11" s="1" t="s">
        <v>22</v>
      </c>
      <c r="H11" s="7" t="s">
        <v>24</v>
      </c>
    </row>
    <row r="12" spans="1:13" x14ac:dyDescent="0.2">
      <c r="A12" s="1">
        <v>1</v>
      </c>
      <c r="B12" s="30">
        <v>0</v>
      </c>
      <c r="C12" s="30">
        <v>80</v>
      </c>
      <c r="D12" s="30">
        <v>1.504</v>
      </c>
      <c r="E12" s="2">
        <f t="shared" ref="E12:E25" si="0">(B12*$E$1)/((B12*$E$1)+(C12*$E$2))</f>
        <v>0</v>
      </c>
      <c r="F12" s="2">
        <f t="shared" ref="F12:F25" si="1">B12*$E$6</f>
        <v>0</v>
      </c>
      <c r="G12" s="2">
        <f t="shared" ref="G12:G25" si="2">C12*$E$7</f>
        <v>0.90024184355396253</v>
      </c>
      <c r="H12" s="2">
        <f t="shared" ref="H12:H25" si="3">F12/(F12+G12)</f>
        <v>0</v>
      </c>
    </row>
    <row r="13" spans="1:13" x14ac:dyDescent="0.2">
      <c r="A13" s="1">
        <v>2</v>
      </c>
      <c r="B13" s="30">
        <v>10</v>
      </c>
      <c r="C13" s="30">
        <v>100</v>
      </c>
      <c r="D13" s="30">
        <v>1.49</v>
      </c>
      <c r="E13" s="2">
        <f t="shared" si="0"/>
        <v>8.2654978083907329E-2</v>
      </c>
      <c r="F13" s="2">
        <f t="shared" si="1"/>
        <v>0.13635954545454548</v>
      </c>
      <c r="G13" s="2">
        <f t="shared" si="2"/>
        <v>1.125302304442453</v>
      </c>
      <c r="H13" s="2">
        <f t="shared" si="3"/>
        <v>0.10807931258734488</v>
      </c>
    </row>
    <row r="14" spans="1:13" x14ac:dyDescent="0.2">
      <c r="A14" s="1">
        <v>3</v>
      </c>
      <c r="B14" s="30">
        <v>40</v>
      </c>
      <c r="C14" s="30">
        <v>150</v>
      </c>
      <c r="D14" s="30">
        <v>1.4510000000000001</v>
      </c>
      <c r="E14" s="2">
        <f t="shared" si="0"/>
        <v>0.19372592184920201</v>
      </c>
      <c r="F14" s="2">
        <f t="shared" si="1"/>
        <v>0.54543818181818193</v>
      </c>
      <c r="G14" s="2">
        <f t="shared" si="2"/>
        <v>1.6879534566636796</v>
      </c>
      <c r="H14" s="2">
        <f t="shared" si="3"/>
        <v>0.24421967577031911</v>
      </c>
    </row>
    <row r="15" spans="1:13" x14ac:dyDescent="0.2">
      <c r="A15" s="1">
        <v>4</v>
      </c>
      <c r="B15" s="30">
        <v>40</v>
      </c>
      <c r="C15" s="30">
        <v>100</v>
      </c>
      <c r="D15" s="30">
        <v>1.44</v>
      </c>
      <c r="E15" s="2">
        <f t="shared" si="0"/>
        <v>0.26492724535875561</v>
      </c>
      <c r="F15" s="2">
        <f t="shared" si="1"/>
        <v>0.54543818181818193</v>
      </c>
      <c r="G15" s="2">
        <f t="shared" si="2"/>
        <v>1.125302304442453</v>
      </c>
      <c r="H15" s="2">
        <f t="shared" si="3"/>
        <v>0.32646493354509742</v>
      </c>
    </row>
    <row r="16" spans="1:13" x14ac:dyDescent="0.2">
      <c r="A16" s="1">
        <v>5</v>
      </c>
      <c r="B16" s="30">
        <v>60</v>
      </c>
      <c r="C16" s="30">
        <v>100</v>
      </c>
      <c r="D16" s="30">
        <v>1.427</v>
      </c>
      <c r="E16" s="2">
        <f t="shared" si="0"/>
        <v>0.35090828533451485</v>
      </c>
      <c r="F16" s="2">
        <f t="shared" si="1"/>
        <v>0.8181572727272729</v>
      </c>
      <c r="G16" s="2">
        <f t="shared" si="2"/>
        <v>1.125302304442453</v>
      </c>
      <c r="H16" s="2">
        <f t="shared" si="3"/>
        <v>0.42097982501841441</v>
      </c>
    </row>
    <row r="17" spans="1:8" x14ac:dyDescent="0.2">
      <c r="A17" s="1">
        <v>6</v>
      </c>
      <c r="B17" s="30">
        <v>80</v>
      </c>
      <c r="C17" s="30">
        <v>100</v>
      </c>
      <c r="D17" s="30">
        <v>1.417</v>
      </c>
      <c r="E17" s="2">
        <f t="shared" si="0"/>
        <v>0.41888139627132098</v>
      </c>
      <c r="F17" s="2">
        <f t="shared" si="1"/>
        <v>1.0908763636363639</v>
      </c>
      <c r="G17" s="2">
        <f t="shared" si="2"/>
        <v>1.125302304442453</v>
      </c>
      <c r="H17" s="2">
        <f t="shared" si="3"/>
        <v>0.4922330402999654</v>
      </c>
    </row>
    <row r="18" spans="1:8" x14ac:dyDescent="0.2">
      <c r="A18" s="1">
        <v>7</v>
      </c>
      <c r="B18" s="30">
        <v>100</v>
      </c>
      <c r="C18" s="30">
        <v>100</v>
      </c>
      <c r="D18" s="30">
        <v>1.41</v>
      </c>
      <c r="E18" s="2">
        <f t="shared" si="0"/>
        <v>0.47396768402154399</v>
      </c>
      <c r="F18" s="2">
        <f t="shared" si="1"/>
        <v>1.3635954545454547</v>
      </c>
      <c r="G18" s="2">
        <f t="shared" si="2"/>
        <v>1.125302304442453</v>
      </c>
      <c r="H18" s="2">
        <f t="shared" si="3"/>
        <v>0.54787122115452058</v>
      </c>
    </row>
    <row r="19" spans="1:8" x14ac:dyDescent="0.2">
      <c r="A19" s="1">
        <v>8</v>
      </c>
      <c r="B19" s="30">
        <v>60</v>
      </c>
      <c r="C19" s="30">
        <v>50</v>
      </c>
      <c r="D19" s="30">
        <v>1.4039999999999999</v>
      </c>
      <c r="E19" s="2">
        <f t="shared" si="0"/>
        <v>0.51951459494916363</v>
      </c>
      <c r="F19" s="2">
        <f t="shared" si="1"/>
        <v>0.8181572727272729</v>
      </c>
      <c r="G19" s="2">
        <f t="shared" si="2"/>
        <v>0.56265115222122652</v>
      </c>
      <c r="H19" s="2">
        <f t="shared" si="3"/>
        <v>0.59252048144027514</v>
      </c>
    </row>
    <row r="20" spans="1:8" x14ac:dyDescent="0.2">
      <c r="A20" s="1">
        <v>9</v>
      </c>
      <c r="B20" s="30">
        <v>70</v>
      </c>
      <c r="C20" s="30">
        <v>50</v>
      </c>
      <c r="D20" s="30">
        <v>1.399</v>
      </c>
      <c r="E20" s="2">
        <f t="shared" si="0"/>
        <v>0.55780259583459102</v>
      </c>
      <c r="F20" s="2">
        <f t="shared" si="1"/>
        <v>0.95451681818181844</v>
      </c>
      <c r="G20" s="2">
        <f t="shared" si="2"/>
        <v>0.56265115222122652</v>
      </c>
      <c r="H20" s="2">
        <f t="shared" si="3"/>
        <v>0.62914379739261517</v>
      </c>
    </row>
    <row r="21" spans="1:8" x14ac:dyDescent="0.2">
      <c r="A21" s="1">
        <v>10</v>
      </c>
      <c r="B21" s="30">
        <v>80</v>
      </c>
      <c r="C21" s="30">
        <v>50</v>
      </c>
      <c r="D21" s="30">
        <v>1.395</v>
      </c>
      <c r="E21" s="2">
        <f t="shared" si="0"/>
        <v>0.59043891529214432</v>
      </c>
      <c r="F21" s="2">
        <f t="shared" si="1"/>
        <v>1.0908763636363639</v>
      </c>
      <c r="G21" s="2">
        <f t="shared" si="2"/>
        <v>0.56265115222122652</v>
      </c>
      <c r="H21" s="2">
        <f t="shared" si="3"/>
        <v>0.65972676787938933</v>
      </c>
    </row>
    <row r="22" spans="1:8" x14ac:dyDescent="0.2">
      <c r="A22" s="1">
        <v>11</v>
      </c>
      <c r="B22" s="30">
        <v>180</v>
      </c>
      <c r="C22" s="30">
        <v>100</v>
      </c>
      <c r="D22" s="30">
        <v>1.391</v>
      </c>
      <c r="E22" s="2">
        <f t="shared" si="0"/>
        <v>0.61858890913824527</v>
      </c>
      <c r="F22" s="2">
        <f t="shared" si="1"/>
        <v>2.4544718181818186</v>
      </c>
      <c r="G22" s="2">
        <f t="shared" si="2"/>
        <v>1.125302304442453</v>
      </c>
      <c r="H22" s="2">
        <f t="shared" si="3"/>
        <v>0.68564991368295802</v>
      </c>
    </row>
    <row r="23" spans="1:8" x14ac:dyDescent="0.2">
      <c r="A23" s="1">
        <v>12</v>
      </c>
      <c r="B23" s="30">
        <v>100</v>
      </c>
      <c r="C23" s="30">
        <v>50</v>
      </c>
      <c r="D23" s="30">
        <v>1.3879999999999999</v>
      </c>
      <c r="E23" s="2">
        <f t="shared" si="0"/>
        <v>0.64311814859926919</v>
      </c>
      <c r="F23" s="2">
        <f t="shared" si="1"/>
        <v>1.3635954545454547</v>
      </c>
      <c r="G23" s="2">
        <f t="shared" si="2"/>
        <v>0.56265115222122652</v>
      </c>
      <c r="H23" s="2">
        <f t="shared" si="3"/>
        <v>0.70790284574950157</v>
      </c>
    </row>
    <row r="24" spans="1:8" ht="15" customHeight="1" x14ac:dyDescent="0.2">
      <c r="A24" s="1">
        <v>13</v>
      </c>
      <c r="B24" s="30">
        <v>80</v>
      </c>
      <c r="C24" s="30">
        <v>10</v>
      </c>
      <c r="D24" s="30">
        <v>1.361</v>
      </c>
      <c r="E24" s="2">
        <f t="shared" si="0"/>
        <v>0.87817047817047822</v>
      </c>
      <c r="F24" s="2">
        <f t="shared" si="1"/>
        <v>1.0908763636363639</v>
      </c>
      <c r="G24" s="2">
        <f t="shared" si="2"/>
        <v>0.11253023044424532</v>
      </c>
      <c r="H24" s="2">
        <f t="shared" si="3"/>
        <v>0.90649026605158567</v>
      </c>
    </row>
    <row r="25" spans="1:8" ht="15" customHeight="1" x14ac:dyDescent="0.2">
      <c r="A25" s="1">
        <v>14</v>
      </c>
      <c r="B25" s="30">
        <v>80</v>
      </c>
      <c r="C25" s="30">
        <v>0</v>
      </c>
      <c r="D25" s="30">
        <v>1.3480000000000001</v>
      </c>
      <c r="E25" s="2">
        <f t="shared" si="0"/>
        <v>1</v>
      </c>
      <c r="F25" s="2">
        <f t="shared" si="1"/>
        <v>1.0908763636363639</v>
      </c>
      <c r="G25" s="2">
        <f t="shared" si="2"/>
        <v>0</v>
      </c>
      <c r="H25" s="2">
        <f t="shared" si="3"/>
        <v>1</v>
      </c>
    </row>
    <row r="28" spans="1:8" x14ac:dyDescent="0.2">
      <c r="D28" s="3" t="s">
        <v>25</v>
      </c>
    </row>
    <row r="30" spans="1:8" x14ac:dyDescent="0.2">
      <c r="G30" s="1" t="s">
        <v>36</v>
      </c>
      <c r="H30" s="1">
        <v>-0.154</v>
      </c>
    </row>
    <row r="31" spans="1:8" x14ac:dyDescent="0.2">
      <c r="G31" s="1" t="s">
        <v>35</v>
      </c>
      <c r="H31" s="1">
        <v>1.4965999999999999</v>
      </c>
    </row>
    <row r="38" spans="1:32" x14ac:dyDescent="0.2">
      <c r="A38" s="3" t="s">
        <v>26</v>
      </c>
    </row>
    <row r="39" spans="1:32" ht="15" x14ac:dyDescent="0.25">
      <c r="A39" s="1" t="s">
        <v>2</v>
      </c>
      <c r="B39" s="9" t="s">
        <v>1</v>
      </c>
      <c r="C39" s="9" t="s">
        <v>3</v>
      </c>
      <c r="D39" s="9" t="s">
        <v>27</v>
      </c>
      <c r="E39" s="9" t="s">
        <v>28</v>
      </c>
      <c r="F39" s="8" t="s">
        <v>29</v>
      </c>
      <c r="G39" s="8" t="s">
        <v>30</v>
      </c>
      <c r="H39" s="8" t="s">
        <v>32</v>
      </c>
      <c r="I39" s="8" t="s">
        <v>31</v>
      </c>
      <c r="J39" s="10" t="s">
        <v>33</v>
      </c>
      <c r="K39" s="10" t="s">
        <v>34</v>
      </c>
    </row>
    <row r="40" spans="1:32" x14ac:dyDescent="0.2">
      <c r="A40" s="1">
        <v>1</v>
      </c>
      <c r="B40" s="1">
        <v>0</v>
      </c>
      <c r="C40" s="1">
        <v>100</v>
      </c>
      <c r="D40" s="1">
        <v>1.494</v>
      </c>
      <c r="E40" s="1">
        <v>1.494</v>
      </c>
      <c r="F40" s="35">
        <v>80</v>
      </c>
      <c r="G40" s="1">
        <f t="shared" ref="G40:G50" si="4">F40+273.16</f>
        <v>353.16</v>
      </c>
      <c r="H40" s="2">
        <f>EXP($I$4+($J$4/G40)+$K$4*LN(G40) + $L$4*POWER(G40,$M$4))/1000</f>
        <v>100.95550747448229</v>
      </c>
      <c r="I40" s="2">
        <f>EXP($I$5+($J$5/G40)+$K$5*LN(G40) + $L$5*POWER(G40,$M$5))/1000</f>
        <v>215.38646401221979</v>
      </c>
      <c r="J40" s="2">
        <v>0</v>
      </c>
      <c r="K40" s="2">
        <v>0</v>
      </c>
      <c r="AD40" s="14"/>
      <c r="AE40" s="14"/>
      <c r="AF40" s="14"/>
    </row>
    <row r="41" spans="1:32" ht="15" x14ac:dyDescent="0.25">
      <c r="A41" s="1">
        <v>2</v>
      </c>
      <c r="B41" s="1">
        <v>10</v>
      </c>
      <c r="C41" s="1">
        <v>90</v>
      </c>
      <c r="D41" s="1">
        <v>1.4830000000000001</v>
      </c>
      <c r="E41" s="1">
        <v>1.4630000000000001</v>
      </c>
      <c r="F41" s="35">
        <v>74.3</v>
      </c>
      <c r="G41" s="1">
        <f t="shared" si="4"/>
        <v>347.46000000000004</v>
      </c>
      <c r="H41" s="2">
        <f>EXP($I$4+($J$4/G41)+$K$4*LN(G41) + $L$4*POWER(G41,$M$4))/1000</f>
        <v>84.395116452199161</v>
      </c>
      <c r="I41" s="2">
        <f>EXP($I$5+($J$5/G41)+$K$5*LN(G41) + $L$5*POWER(G41,$M$5))/1000</f>
        <v>181.81226782337967</v>
      </c>
      <c r="J41" s="2">
        <f t="shared" ref="J41:J49" si="5">(D41-$H$31)/$H$30</f>
        <v>8.8311688311687231E-2</v>
      </c>
      <c r="K41" s="2">
        <f t="shared" ref="K41:K49" si="6">(E41-$H$31)/$H$30</f>
        <v>0.21818181818181723</v>
      </c>
      <c r="AD41" s="22"/>
      <c r="AE41" s="23"/>
      <c r="AF41" s="23"/>
    </row>
    <row r="42" spans="1:32" ht="15" x14ac:dyDescent="0.25">
      <c r="A42" s="1">
        <v>3</v>
      </c>
      <c r="B42" s="1">
        <v>20</v>
      </c>
      <c r="C42" s="1">
        <v>80</v>
      </c>
      <c r="D42" s="2">
        <v>1.47</v>
      </c>
      <c r="E42" s="1">
        <v>1.4430000000000001</v>
      </c>
      <c r="F42" s="35">
        <v>70.400000000000006</v>
      </c>
      <c r="G42" s="1">
        <f t="shared" si="4"/>
        <v>343.56000000000006</v>
      </c>
      <c r="H42" s="2">
        <f t="shared" ref="H42:H48" si="7">EXP($I$4+($J$4/G42)+$K$4*LN(G42) + $L$4*POWER(G42,$M$4))/1000</f>
        <v>74.354576074625044</v>
      </c>
      <c r="I42" s="2">
        <f t="shared" ref="I42:I50" si="8">EXP($I$5+($J$5/G42)+$K$5*LN(G42) + $L$5*POWER(G42,$M$5))/1000</f>
        <v>161.31934562607071</v>
      </c>
      <c r="J42" s="2">
        <f t="shared" si="5"/>
        <v>0.17272727272727245</v>
      </c>
      <c r="K42" s="2">
        <f t="shared" si="6"/>
        <v>0.34805194805194722</v>
      </c>
      <c r="AD42" s="24"/>
      <c r="AE42" s="24"/>
      <c r="AF42" s="22"/>
    </row>
    <row r="43" spans="1:32" ht="15" x14ac:dyDescent="0.25">
      <c r="A43" s="1">
        <v>4</v>
      </c>
      <c r="B43" s="1">
        <v>30</v>
      </c>
      <c r="C43" s="1">
        <v>70</v>
      </c>
      <c r="D43" s="1">
        <v>1.4570000000000001</v>
      </c>
      <c r="E43" s="1">
        <v>1.429</v>
      </c>
      <c r="F43" s="35">
        <v>67.5</v>
      </c>
      <c r="G43" s="1">
        <f t="shared" si="4"/>
        <v>340.66</v>
      </c>
      <c r="H43" s="2">
        <f t="shared" si="7"/>
        <v>67.519740595956449</v>
      </c>
      <c r="I43" s="2">
        <f t="shared" si="8"/>
        <v>147.29835097153924</v>
      </c>
      <c r="J43" s="2">
        <f t="shared" si="5"/>
        <v>0.25714285714285623</v>
      </c>
      <c r="K43" s="2">
        <f t="shared" si="6"/>
        <v>0.43896103896103822</v>
      </c>
      <c r="AD43" s="24"/>
      <c r="AE43" s="24"/>
      <c r="AF43" s="24"/>
    </row>
    <row r="44" spans="1:32" ht="15" x14ac:dyDescent="0.25">
      <c r="A44" s="1">
        <v>5</v>
      </c>
      <c r="B44" s="1">
        <v>40</v>
      </c>
      <c r="C44" s="1">
        <v>60</v>
      </c>
      <c r="D44" s="1">
        <v>1.444</v>
      </c>
      <c r="E44" s="1">
        <v>1.4159999999999999</v>
      </c>
      <c r="F44" s="35">
        <v>65.2</v>
      </c>
      <c r="G44" s="1">
        <f t="shared" si="4"/>
        <v>338.36</v>
      </c>
      <c r="H44" s="2">
        <f t="shared" si="7"/>
        <v>62.461100846551474</v>
      </c>
      <c r="I44" s="2">
        <f t="shared" si="8"/>
        <v>136.87871111209969</v>
      </c>
      <c r="J44" s="2">
        <f t="shared" si="5"/>
        <v>0.34155844155844145</v>
      </c>
      <c r="K44" s="2">
        <f t="shared" si="6"/>
        <v>0.52337662337662338</v>
      </c>
      <c r="AD44" s="24"/>
      <c r="AE44" s="24"/>
      <c r="AF44" s="24"/>
    </row>
    <row r="45" spans="1:32" ht="15" x14ac:dyDescent="0.25">
      <c r="A45" s="1">
        <v>6</v>
      </c>
      <c r="B45" s="1">
        <v>50</v>
      </c>
      <c r="C45" s="1">
        <v>50</v>
      </c>
      <c r="D45" s="1">
        <v>1.431</v>
      </c>
      <c r="E45" s="1">
        <v>1.4059999999999999</v>
      </c>
      <c r="F45" s="35">
        <v>63.2</v>
      </c>
      <c r="G45" s="1">
        <f t="shared" si="4"/>
        <v>336.36</v>
      </c>
      <c r="H45" s="2">
        <f t="shared" si="7"/>
        <v>58.311135482536237</v>
      </c>
      <c r="I45" s="2">
        <f t="shared" si="8"/>
        <v>128.30080335618018</v>
      </c>
      <c r="J45" s="2">
        <f t="shared" si="5"/>
        <v>0.42597402597402523</v>
      </c>
      <c r="K45" s="2">
        <f t="shared" si="6"/>
        <v>0.58831168831168845</v>
      </c>
      <c r="AD45" s="24"/>
      <c r="AE45" s="24"/>
      <c r="AF45" s="24"/>
    </row>
    <row r="46" spans="1:32" ht="15" x14ac:dyDescent="0.25">
      <c r="A46" s="1">
        <v>7</v>
      </c>
      <c r="B46" s="1">
        <v>60</v>
      </c>
      <c r="C46" s="1">
        <v>40</v>
      </c>
      <c r="D46" s="1">
        <v>1.417</v>
      </c>
      <c r="E46" s="1">
        <v>1.395</v>
      </c>
      <c r="F46" s="35">
        <v>61.5</v>
      </c>
      <c r="G46" s="1">
        <f t="shared" si="4"/>
        <v>334.66</v>
      </c>
      <c r="H46" s="2">
        <f t="shared" si="7"/>
        <v>54.958794822599664</v>
      </c>
      <c r="I46" s="2">
        <f t="shared" si="8"/>
        <v>121.35002271391302</v>
      </c>
      <c r="J46" s="2">
        <f t="shared" si="5"/>
        <v>0.51688311688311617</v>
      </c>
      <c r="K46" s="2">
        <f t="shared" si="6"/>
        <v>0.65974025974025918</v>
      </c>
      <c r="AD46" s="24"/>
      <c r="AE46" s="24"/>
      <c r="AF46" s="24"/>
    </row>
    <row r="47" spans="1:32" ht="15" x14ac:dyDescent="0.25">
      <c r="A47" s="1">
        <v>8</v>
      </c>
      <c r="B47" s="1">
        <v>70</v>
      </c>
      <c r="C47" s="1">
        <v>30</v>
      </c>
      <c r="D47" s="1">
        <v>1.403</v>
      </c>
      <c r="E47" s="1">
        <v>1.3859999999999999</v>
      </c>
      <c r="F47" s="35">
        <v>60</v>
      </c>
      <c r="G47" s="1">
        <f t="shared" si="4"/>
        <v>333.16</v>
      </c>
      <c r="H47" s="2">
        <f t="shared" si="7"/>
        <v>52.130021058105804</v>
      </c>
      <c r="I47" s="2">
        <f t="shared" si="8"/>
        <v>115.46860671273733</v>
      </c>
      <c r="J47" s="2">
        <f t="shared" si="5"/>
        <v>0.60779220779220722</v>
      </c>
      <c r="K47" s="2">
        <f t="shared" si="6"/>
        <v>0.71818181818181837</v>
      </c>
      <c r="AD47" s="24"/>
      <c r="AE47" s="24"/>
      <c r="AF47" s="24"/>
    </row>
    <row r="48" spans="1:32" ht="15" x14ac:dyDescent="0.25">
      <c r="A48" s="1">
        <v>9</v>
      </c>
      <c r="B48" s="1">
        <v>80</v>
      </c>
      <c r="C48" s="1">
        <v>20</v>
      </c>
      <c r="D48" s="1">
        <v>1.3879999999999999</v>
      </c>
      <c r="E48" s="1">
        <v>1.3759999999999999</v>
      </c>
      <c r="F48" s="35">
        <v>58.6</v>
      </c>
      <c r="G48" s="1">
        <f t="shared" si="4"/>
        <v>331.76000000000005</v>
      </c>
      <c r="H48" s="2">
        <f t="shared" si="7"/>
        <v>49.595799604261501</v>
      </c>
      <c r="I48" s="2">
        <f t="shared" si="8"/>
        <v>110.18609871603151</v>
      </c>
      <c r="J48" s="2">
        <f t="shared" si="5"/>
        <v>0.70519480519480537</v>
      </c>
      <c r="K48" s="2">
        <f t="shared" si="6"/>
        <v>0.78311688311688343</v>
      </c>
      <c r="AD48" s="24"/>
      <c r="AE48" s="24"/>
      <c r="AF48" s="24"/>
    </row>
    <row r="49" spans="1:32" ht="15" x14ac:dyDescent="0.25">
      <c r="A49" s="1">
        <v>10</v>
      </c>
      <c r="B49" s="1">
        <v>90</v>
      </c>
      <c r="C49" s="1">
        <v>10</v>
      </c>
      <c r="D49" s="1">
        <v>1.3720000000000001</v>
      </c>
      <c r="E49" s="1">
        <v>1.367</v>
      </c>
      <c r="F49" s="35">
        <v>57.3</v>
      </c>
      <c r="G49" s="1">
        <f t="shared" si="4"/>
        <v>330.46000000000004</v>
      </c>
      <c r="H49" s="2">
        <f>EXP($I$4+($J$4/G49)+$K$4*LN(G49) + $L$4*POWER(G49,$M$4))/1000</f>
        <v>47.331645258329431</v>
      </c>
      <c r="I49" s="2">
        <f t="shared" si="8"/>
        <v>105.45502437916375</v>
      </c>
      <c r="J49" s="2">
        <f t="shared" si="5"/>
        <v>0.80909090909090797</v>
      </c>
      <c r="K49" s="2">
        <f t="shared" si="6"/>
        <v>0.84155844155844117</v>
      </c>
      <c r="AD49" s="24"/>
      <c r="AE49" s="24"/>
      <c r="AF49" s="24"/>
    </row>
    <row r="50" spans="1:32" ht="15" x14ac:dyDescent="0.25">
      <c r="A50" s="1">
        <v>11</v>
      </c>
      <c r="B50" s="1">
        <v>100</v>
      </c>
      <c r="C50" s="1">
        <v>0</v>
      </c>
      <c r="D50" s="1">
        <v>1.3580000000000001</v>
      </c>
      <c r="E50" s="1">
        <v>1.3580000000000001</v>
      </c>
      <c r="F50" s="35">
        <v>56</v>
      </c>
      <c r="G50" s="1">
        <f t="shared" si="4"/>
        <v>329.16</v>
      </c>
      <c r="H50" s="2">
        <f>EXP($I$4+($J$4/G50)+$K$4*LN(G50) + $L$4*POWER(G50,$M$4))/1000</f>
        <v>45.15092803977128</v>
      </c>
      <c r="I50" s="2">
        <f t="shared" si="8"/>
        <v>100.88737341834037</v>
      </c>
      <c r="J50" s="1">
        <v>1</v>
      </c>
      <c r="K50" s="1">
        <v>1</v>
      </c>
      <c r="AD50" s="24"/>
      <c r="AE50" s="24"/>
      <c r="AF50" s="24"/>
    </row>
    <row r="51" spans="1:32" ht="15" x14ac:dyDescent="0.25">
      <c r="B51" s="14"/>
      <c r="C51" s="14"/>
      <c r="AD51" s="24"/>
      <c r="AE51" s="22"/>
      <c r="AF51" s="24"/>
    </row>
    <row r="52" spans="1:32" x14ac:dyDescent="0.2">
      <c r="AD52" s="14"/>
      <c r="AE52" s="14"/>
      <c r="AF52" s="14"/>
    </row>
    <row r="53" spans="1:32" x14ac:dyDescent="0.2">
      <c r="AD53" s="14"/>
      <c r="AE53" s="14"/>
      <c r="AF53" s="14"/>
    </row>
    <row r="54" spans="1:32" x14ac:dyDescent="0.2">
      <c r="AD54" s="14"/>
      <c r="AE54" s="14"/>
      <c r="AF54" s="14"/>
    </row>
    <row r="55" spans="1:32" x14ac:dyDescent="0.2">
      <c r="AD55" s="14"/>
      <c r="AE55" s="14"/>
      <c r="AF55" s="14"/>
    </row>
    <row r="75" spans="1:11" x14ac:dyDescent="0.2">
      <c r="A75" s="11" t="s">
        <v>43</v>
      </c>
    </row>
    <row r="76" spans="1:11" x14ac:dyDescent="0.2">
      <c r="A76" s="3" t="s">
        <v>38</v>
      </c>
    </row>
    <row r="77" spans="1:11" ht="26.25" x14ac:dyDescent="0.25">
      <c r="A77" s="1" t="s">
        <v>2</v>
      </c>
      <c r="B77" s="10" t="s">
        <v>33</v>
      </c>
      <c r="C77" s="1" t="s">
        <v>34</v>
      </c>
      <c r="D77" s="1" t="s">
        <v>30</v>
      </c>
      <c r="E77" s="12" t="s">
        <v>39</v>
      </c>
      <c r="F77" s="8" t="s">
        <v>31</v>
      </c>
      <c r="G77" s="8" t="s">
        <v>32</v>
      </c>
      <c r="H77" s="16" t="s">
        <v>42</v>
      </c>
      <c r="I77" s="16" t="s">
        <v>44</v>
      </c>
      <c r="J77" s="16" t="s">
        <v>45</v>
      </c>
      <c r="K77" s="16" t="s">
        <v>46</v>
      </c>
    </row>
    <row r="78" spans="1:11" x14ac:dyDescent="0.2">
      <c r="A78" s="1">
        <v>1</v>
      </c>
      <c r="B78" s="2">
        <f t="array" ref="B78:B88">J40:J50</f>
        <v>0</v>
      </c>
      <c r="C78" s="2">
        <f t="array" ref="C78:C88">K40:K50</f>
        <v>0</v>
      </c>
      <c r="D78" s="1">
        <v>353.16</v>
      </c>
      <c r="E78" s="1"/>
      <c r="F78" s="18">
        <v>215.38646401221979</v>
      </c>
      <c r="G78" s="18">
        <v>100.95550747448229</v>
      </c>
      <c r="H78" s="2">
        <f t="shared" ref="H78:H88" si="9">$F$89*B78/(1+($F$89-1)*B78)</f>
        <v>0</v>
      </c>
      <c r="I78" s="2"/>
      <c r="J78" s="2">
        <v>1</v>
      </c>
      <c r="K78" s="18">
        <v>0</v>
      </c>
    </row>
    <row r="79" spans="1:11" x14ac:dyDescent="0.2">
      <c r="A79" s="1">
        <v>2</v>
      </c>
      <c r="B79" s="2">
        <v>8.8311688311687231E-2</v>
      </c>
      <c r="C79" s="2">
        <v>0.21818181818181723</v>
      </c>
      <c r="D79" s="1">
        <v>347.46000000000004</v>
      </c>
      <c r="E79" s="2">
        <f t="shared" ref="E79:E87" si="10">C79*(1-B79)/(B79*(1-C79))</f>
        <v>2.8809849521204058</v>
      </c>
      <c r="F79" s="18">
        <v>181.81226782337967</v>
      </c>
      <c r="G79" s="18">
        <v>84.395116452199161</v>
      </c>
      <c r="H79" s="2">
        <f t="shared" si="9"/>
        <v>0.15794090706587027</v>
      </c>
      <c r="I79" s="2">
        <f>(C79*$J$6)/(B79*F79)</f>
        <v>1.3768727266762997</v>
      </c>
      <c r="J79" s="2">
        <f t="shared" ref="J79:J87" si="11">(1-C79)*$J$6/((1-B79)*G79)</f>
        <v>1.0295766268117414</v>
      </c>
      <c r="K79" s="18">
        <f>(B79*LN(I79)+(1-B79)*LN(J79))*8.314462*D79</f>
        <v>158.36312644836588</v>
      </c>
    </row>
    <row r="80" spans="1:11" x14ac:dyDescent="0.2">
      <c r="A80" s="1">
        <v>3</v>
      </c>
      <c r="B80" s="2">
        <v>0.17272727272727245</v>
      </c>
      <c r="C80" s="2">
        <v>0.34805194805194722</v>
      </c>
      <c r="D80" s="1">
        <v>343.56000000000006</v>
      </c>
      <c r="E80" s="2">
        <f t="shared" si="10"/>
        <v>2.5569301740406751</v>
      </c>
      <c r="F80" s="18">
        <v>161.31934562607071</v>
      </c>
      <c r="G80" s="18">
        <v>74.354576074625044</v>
      </c>
      <c r="H80" s="2">
        <f t="shared" si="9"/>
        <v>0.28789612292455097</v>
      </c>
      <c r="I80" s="2">
        <f t="shared" ref="I80:I87" si="12">(C80*$J$6)/(B80*F80)</f>
        <v>1.2656490975595041</v>
      </c>
      <c r="J80" s="2">
        <f t="shared" si="11"/>
        <v>1.0739231277568901</v>
      </c>
      <c r="K80" s="18">
        <f t="shared" ref="K80:K87" si="13">(B80*LN(I80)+(1-B80)*LN(J80))*8.314462*D80</f>
        <v>284.77115184614263</v>
      </c>
    </row>
    <row r="81" spans="1:11" x14ac:dyDescent="0.2">
      <c r="A81" s="1">
        <v>4</v>
      </c>
      <c r="B81" s="2">
        <v>0.25714285714285623</v>
      </c>
      <c r="C81" s="2">
        <v>0.43896103896103822</v>
      </c>
      <c r="D81" s="1">
        <v>340.66</v>
      </c>
      <c r="E81" s="2">
        <f t="shared" si="10"/>
        <v>2.2602880658436253</v>
      </c>
      <c r="F81" s="18">
        <v>147.29835097153924</v>
      </c>
      <c r="G81" s="18">
        <v>67.519740595956449</v>
      </c>
      <c r="H81" s="2">
        <f t="shared" si="9"/>
        <v>0.40129420079526579</v>
      </c>
      <c r="I81" s="2">
        <f t="shared" si="12"/>
        <v>1.1742761426253885</v>
      </c>
      <c r="J81" s="2">
        <f t="shared" si="11"/>
        <v>1.1333748345259149</v>
      </c>
      <c r="K81" s="18">
        <f t="shared" si="13"/>
        <v>380.4373377695224</v>
      </c>
    </row>
    <row r="82" spans="1:11" x14ac:dyDescent="0.2">
      <c r="A82" s="1">
        <v>5</v>
      </c>
      <c r="B82" s="2">
        <v>0.34155844155844145</v>
      </c>
      <c r="C82" s="2">
        <v>0.52337662337662338</v>
      </c>
      <c r="D82" s="1">
        <v>338.36</v>
      </c>
      <c r="E82" s="2">
        <f t="shared" si="10"/>
        <v>2.1168553993431494</v>
      </c>
      <c r="F82" s="18">
        <v>136.87871111209969</v>
      </c>
      <c r="G82" s="18">
        <v>62.461100846551474</v>
      </c>
      <c r="H82" s="2">
        <f t="shared" si="9"/>
        <v>0.50110987097254822</v>
      </c>
      <c r="I82" s="2">
        <f t="shared" si="12"/>
        <v>1.1343054087516882</v>
      </c>
      <c r="J82" s="2">
        <f t="shared" si="11"/>
        <v>1.1742622058384848</v>
      </c>
      <c r="K82" s="18">
        <f t="shared" si="13"/>
        <v>418.65970487020752</v>
      </c>
    </row>
    <row r="83" spans="1:11" x14ac:dyDescent="0.2">
      <c r="A83" s="1">
        <v>6</v>
      </c>
      <c r="B83" s="2">
        <v>0.42597402597402523</v>
      </c>
      <c r="C83" s="2">
        <v>0.58831168831168845</v>
      </c>
      <c r="D83" s="1">
        <v>336.36</v>
      </c>
      <c r="E83" s="2">
        <f t="shared" si="10"/>
        <v>1.925694391013318</v>
      </c>
      <c r="F83" s="18">
        <v>128.30080335618018</v>
      </c>
      <c r="G83" s="18">
        <v>58.311135482536237</v>
      </c>
      <c r="H83" s="2">
        <f t="shared" si="9"/>
        <v>0.58964552427004979</v>
      </c>
      <c r="I83" s="2">
        <f t="shared" si="12"/>
        <v>1.0907157765595792</v>
      </c>
      <c r="J83" s="2">
        <f t="shared" si="11"/>
        <v>1.2462412062061194</v>
      </c>
      <c r="K83" s="18">
        <f t="shared" si="13"/>
        <v>456.83477810676453</v>
      </c>
    </row>
    <row r="84" spans="1:11" x14ac:dyDescent="0.2">
      <c r="A84" s="1">
        <v>7</v>
      </c>
      <c r="B84" s="2">
        <v>0.51688311688311617</v>
      </c>
      <c r="C84" s="2">
        <v>0.65974025974025918</v>
      </c>
      <c r="D84" s="1">
        <v>334.66</v>
      </c>
      <c r="E84" s="2">
        <f t="shared" si="10"/>
        <v>1.812267444090683</v>
      </c>
      <c r="F84" s="18">
        <v>121.35002271391302</v>
      </c>
      <c r="G84" s="18">
        <v>54.958794822599664</v>
      </c>
      <c r="H84" s="2">
        <f t="shared" si="9"/>
        <v>0.67444410006420863</v>
      </c>
      <c r="I84" s="2">
        <f t="shared" si="12"/>
        <v>1.0657550290684603</v>
      </c>
      <c r="J84" s="2">
        <f t="shared" si="11"/>
        <v>1.2984874701485909</v>
      </c>
      <c r="K84" s="18">
        <f t="shared" si="13"/>
        <v>442.71835479446918</v>
      </c>
    </row>
    <row r="85" spans="1:11" x14ac:dyDescent="0.2">
      <c r="A85" s="1">
        <v>8</v>
      </c>
      <c r="B85" s="2">
        <v>0.60779220779220722</v>
      </c>
      <c r="C85" s="2">
        <v>0.71818181818181837</v>
      </c>
      <c r="D85" s="1">
        <v>333.16</v>
      </c>
      <c r="E85" s="2">
        <f t="shared" si="10"/>
        <v>1.6444720154397627</v>
      </c>
      <c r="F85" s="18">
        <v>115.46860671273733</v>
      </c>
      <c r="G85" s="18">
        <v>52.130021058105804</v>
      </c>
      <c r="H85" s="2">
        <f t="shared" si="9"/>
        <v>0.75004226995543954</v>
      </c>
      <c r="I85" s="2">
        <f t="shared" si="12"/>
        <v>1.03688827881724</v>
      </c>
      <c r="J85" s="2">
        <f t="shared" si="11"/>
        <v>1.3966304385534956</v>
      </c>
      <c r="K85" s="18">
        <f t="shared" si="13"/>
        <v>423.92425603369639</v>
      </c>
    </row>
    <row r="86" spans="1:11" x14ac:dyDescent="0.2">
      <c r="A86" s="1">
        <v>9</v>
      </c>
      <c r="B86" s="2">
        <v>0.70519480519480537</v>
      </c>
      <c r="C86" s="2">
        <v>0.78311688311688343</v>
      </c>
      <c r="D86" s="1">
        <v>331.76000000000005</v>
      </c>
      <c r="E86" s="2">
        <f t="shared" si="10"/>
        <v>1.5094782810070482</v>
      </c>
      <c r="F86" s="18">
        <v>110.18609871603151</v>
      </c>
      <c r="G86" s="18">
        <v>49.595799604261501</v>
      </c>
      <c r="H86" s="2">
        <f t="shared" si="9"/>
        <v>0.82243836638215262</v>
      </c>
      <c r="I86" s="2">
        <f t="shared" si="12"/>
        <v>1.0211917284291132</v>
      </c>
      <c r="J86" s="2">
        <f t="shared" si="11"/>
        <v>1.5030115910784443</v>
      </c>
      <c r="K86" s="18">
        <f t="shared" si="13"/>
        <v>372.14389694660576</v>
      </c>
    </row>
    <row r="87" spans="1:11" x14ac:dyDescent="0.2">
      <c r="A87" s="13">
        <v>10</v>
      </c>
      <c r="B87" s="15">
        <v>0.80909090909090797</v>
      </c>
      <c r="C87" s="15">
        <v>0.84155844155844117</v>
      </c>
      <c r="D87" s="13">
        <v>330.46000000000004</v>
      </c>
      <c r="E87" s="15">
        <f t="shared" si="10"/>
        <v>1.2532694787253693</v>
      </c>
      <c r="F87" s="32">
        <v>105.45502437916375</v>
      </c>
      <c r="G87" s="32">
        <v>47.331645258329431</v>
      </c>
      <c r="H87" s="2">
        <f t="shared" si="9"/>
        <v>0.89137952785452323</v>
      </c>
      <c r="I87" s="2">
        <f t="shared" si="12"/>
        <v>0.99939298157119161</v>
      </c>
      <c r="J87" s="2">
        <f t="shared" si="11"/>
        <v>1.7766730204261847</v>
      </c>
      <c r="K87" s="18">
        <f t="shared" si="13"/>
        <v>300.12632700863855</v>
      </c>
    </row>
    <row r="88" spans="1:11" x14ac:dyDescent="0.2">
      <c r="A88" s="1">
        <v>11</v>
      </c>
      <c r="B88" s="1">
        <v>1</v>
      </c>
      <c r="C88" s="1">
        <v>1</v>
      </c>
      <c r="D88" s="1">
        <v>329.16</v>
      </c>
      <c r="E88" s="1"/>
      <c r="F88" s="18">
        <v>100.88737341834037</v>
      </c>
      <c r="G88" s="18">
        <v>45.15092803977128</v>
      </c>
      <c r="H88" s="2">
        <f t="shared" si="9"/>
        <v>1</v>
      </c>
      <c r="I88" s="2">
        <v>1</v>
      </c>
      <c r="J88" s="2"/>
      <c r="K88" s="2">
        <v>0</v>
      </c>
    </row>
    <row r="89" spans="1:11" ht="14.25" x14ac:dyDescent="0.25">
      <c r="E89" s="12" t="s">
        <v>40</v>
      </c>
      <c r="F89" s="2">
        <f>POWER(E79*E80*E81*E82*E83*E84*E85*E86*E87,1/9)</f>
        <v>1.9363339379590037</v>
      </c>
      <c r="I89" s="17"/>
      <c r="J89" s="17"/>
    </row>
    <row r="113" spans="1:16" x14ac:dyDescent="0.2">
      <c r="A113" s="27" t="s">
        <v>48</v>
      </c>
      <c r="B113" s="1"/>
      <c r="C113" s="1"/>
      <c r="D113" s="1"/>
      <c r="E113" s="1"/>
      <c r="F113" s="1"/>
      <c r="G113" s="1"/>
      <c r="H113" s="1"/>
      <c r="I113" s="1"/>
    </row>
    <row r="114" spans="1:16" ht="14.25" x14ac:dyDescent="0.25">
      <c r="A114" s="3" t="s">
        <v>79</v>
      </c>
      <c r="C114" s="26" t="s">
        <v>67</v>
      </c>
      <c r="D114" s="33">
        <v>996.06906991002108</v>
      </c>
      <c r="E114" s="26" t="s">
        <v>68</v>
      </c>
      <c r="F114" s="33">
        <v>1084.2820547518222</v>
      </c>
    </row>
    <row r="116" spans="1:16" ht="29.25" x14ac:dyDescent="0.25">
      <c r="A116" s="1" t="s">
        <v>2</v>
      </c>
      <c r="B116" s="1" t="s">
        <v>50</v>
      </c>
      <c r="C116" s="1" t="s">
        <v>49</v>
      </c>
      <c r="D116" s="1" t="s">
        <v>51</v>
      </c>
      <c r="E116" s="16" t="s">
        <v>44</v>
      </c>
      <c r="F116" s="16" t="s">
        <v>55</v>
      </c>
      <c r="G116" s="12" t="s">
        <v>52</v>
      </c>
      <c r="H116" s="12" t="s">
        <v>53</v>
      </c>
      <c r="I116" s="16" t="s">
        <v>54</v>
      </c>
      <c r="J116" s="16" t="s">
        <v>61</v>
      </c>
      <c r="K116" s="16" t="s">
        <v>56</v>
      </c>
      <c r="L116" s="16" t="s">
        <v>59</v>
      </c>
      <c r="M116" s="16" t="s">
        <v>57</v>
      </c>
      <c r="N116" s="16" t="s">
        <v>58</v>
      </c>
    </row>
    <row r="117" spans="1:16" x14ac:dyDescent="0.2">
      <c r="A117" s="1">
        <v>1</v>
      </c>
      <c r="B117" s="2">
        <f t="array" ref="B117:B127">B78:B88</f>
        <v>0</v>
      </c>
      <c r="C117" s="2">
        <f t="array" ref="C117:C127">C78:C88</f>
        <v>0</v>
      </c>
      <c r="D117" s="1">
        <f t="array" ref="D117:D127">D78:D88</f>
        <v>353.16</v>
      </c>
      <c r="E117" s="2">
        <f t="array" ref="E117:E127">I78:I88</f>
        <v>0</v>
      </c>
      <c r="F117" s="19" t="s">
        <v>47</v>
      </c>
      <c r="G117" s="31">
        <f t="shared" ref="G117:G127" si="14">($E$7/$E$6)*EXP(-$D$114/(8.314462*D117))</f>
        <v>0.58784319375543581</v>
      </c>
      <c r="H117" s="31">
        <f t="shared" ref="H117:H127" si="15">($E$6/$E$7)*EXP(-$F$114/(8.314462*D117))</f>
        <v>0.83762021931272679</v>
      </c>
      <c r="I117" s="1"/>
      <c r="J117" s="1">
        <f>-LN(1-B117+H117*(C117))-(C117)*((G117/(B117+(1-C117)*G117))-(H117/(1-B117+B117*H117)))</f>
        <v>0</v>
      </c>
      <c r="K117" s="1" t="s">
        <v>47</v>
      </c>
      <c r="L117" s="1">
        <f>EXP(J117)</f>
        <v>1</v>
      </c>
      <c r="M117" s="1">
        <f t="array" ref="M117:M127">K78:K88</f>
        <v>0</v>
      </c>
      <c r="N117" s="1">
        <v>0</v>
      </c>
      <c r="P117" s="3">
        <f>(M117-N117)^2</f>
        <v>0</v>
      </c>
    </row>
    <row r="118" spans="1:16" x14ac:dyDescent="0.2">
      <c r="A118" s="1">
        <v>2</v>
      </c>
      <c r="B118" s="2">
        <v>8.8311688311687231E-2</v>
      </c>
      <c r="C118" s="2">
        <v>0.21818181818181723</v>
      </c>
      <c r="D118" s="1">
        <v>347.46000000000004</v>
      </c>
      <c r="E118" s="2">
        <v>1.3768727266762997</v>
      </c>
      <c r="F118" s="5">
        <f>LN(E118)</f>
        <v>0.31981478749824571</v>
      </c>
      <c r="G118" s="31">
        <f t="shared" si="14"/>
        <v>0.58458101694894182</v>
      </c>
      <c r="H118" s="31">
        <f t="shared" si="15"/>
        <v>0.83256151778152432</v>
      </c>
      <c r="I118" s="5">
        <f>-LN(B118+G118*(1-B118)) + (1-B118)*((G118/(B118+(1-B118)*G118))-(H118/(1-B118+B118*H118)))</f>
        <v>0.56341734613848182</v>
      </c>
      <c r="J118" s="5">
        <f>-LN(1-B118+H118*(B118))-(B118)*((G118/(B118+(1-B118)*G118))-(H118/(1-B118+B118*H118)))</f>
        <v>6.4288061251111649E-3</v>
      </c>
      <c r="K118" s="2">
        <f>EXP(I118)</f>
        <v>1.7566653882587984</v>
      </c>
      <c r="L118" s="2">
        <f t="shared" ref="L118:L126" si="16">EXP(J118)</f>
        <v>1.0064495152537476</v>
      </c>
      <c r="M118" s="18">
        <v>158.36312644836588</v>
      </c>
      <c r="N118" s="18">
        <f>(B118*LN(K118) + (1-B118)*LN(L118))*8.314462*D118</f>
        <v>160.67550944223737</v>
      </c>
      <c r="P118" s="3">
        <f t="shared" ref="P118:P127" si="17">(M118-N118)^2</f>
        <v>5.3471151103460972</v>
      </c>
    </row>
    <row r="119" spans="1:16" x14ac:dyDescent="0.2">
      <c r="A119" s="1">
        <v>3</v>
      </c>
      <c r="B119" s="2">
        <v>0.17272727272727245</v>
      </c>
      <c r="C119" s="2">
        <v>0.34805194805194722</v>
      </c>
      <c r="D119" s="1">
        <v>343.56000000000006</v>
      </c>
      <c r="E119" s="2">
        <v>1.2656490975595041</v>
      </c>
      <c r="F119" s="5">
        <f t="shared" ref="F119:F127" si="18">LN(E119)</f>
        <v>0.23558511117852307</v>
      </c>
      <c r="G119" s="31">
        <f t="shared" si="14"/>
        <v>0.58229748239824752</v>
      </c>
      <c r="H119" s="31">
        <f t="shared" si="15"/>
        <v>0.82902189639220947</v>
      </c>
      <c r="I119" s="5">
        <f t="shared" ref="I119:I127" si="19">-LN(B119+G119*(1-B119)) + (1-B119)*((G119/(B119+(1-B119)*G119))-(H119/(1-B119+B119*H119)))</f>
        <v>0.45333928383184346</v>
      </c>
      <c r="J119" s="5">
        <f t="shared" ref="J119:J126" si="20">-LN(1-B119+H119*(B119))-(B119)*((G119/(B119+(1-B119)*G119))-(H119/(1-B119+B119*H119)))</f>
        <v>2.3844576129901703E-2</v>
      </c>
      <c r="K119" s="2">
        <f t="shared" ref="K119:K127" si="21">EXP(I119)</f>
        <v>1.5735579787361726</v>
      </c>
      <c r="L119" s="2">
        <f t="shared" si="16"/>
        <v>1.024131131096345</v>
      </c>
      <c r="M119" s="18">
        <v>284.77115184614263</v>
      </c>
      <c r="N119" s="18">
        <f t="shared" ref="N119:N126" si="22">(B119*LN(K119) + (1-B119)*LN(L119))*8.314462*D119</f>
        <v>280.024392086457</v>
      </c>
      <c r="P119" s="3">
        <f t="shared" si="17"/>
        <v>22.531728216170787</v>
      </c>
    </row>
    <row r="120" spans="1:16" x14ac:dyDescent="0.2">
      <c r="A120" s="1">
        <v>4</v>
      </c>
      <c r="B120" s="2">
        <v>0.25714285714285623</v>
      </c>
      <c r="C120" s="2">
        <v>0.43896103896103822</v>
      </c>
      <c r="D120" s="1">
        <v>340.66</v>
      </c>
      <c r="E120" s="2">
        <v>1.1742761426253885</v>
      </c>
      <c r="F120" s="5">
        <f t="shared" si="18"/>
        <v>0.16065190893061601</v>
      </c>
      <c r="G120" s="31">
        <f t="shared" si="14"/>
        <v>0.58057152510705345</v>
      </c>
      <c r="H120" s="31">
        <f t="shared" si="15"/>
        <v>0.82634736996632674</v>
      </c>
      <c r="I120" s="5">
        <f t="shared" si="19"/>
        <v>0.35727570068207631</v>
      </c>
      <c r="J120" s="5">
        <f t="shared" si="20"/>
        <v>5.1245232054870818E-2</v>
      </c>
      <c r="K120" s="2">
        <f t="shared" si="21"/>
        <v>1.4294299103340258</v>
      </c>
      <c r="L120" s="2">
        <f t="shared" si="16"/>
        <v>1.0525809882339954</v>
      </c>
      <c r="M120" s="18">
        <v>380.4373377695224</v>
      </c>
      <c r="N120" s="18">
        <f t="shared" si="22"/>
        <v>368.03920463031915</v>
      </c>
      <c r="P120" s="3">
        <f t="shared" si="17"/>
        <v>153.71370533740992</v>
      </c>
    </row>
    <row r="121" spans="1:16" x14ac:dyDescent="0.2">
      <c r="A121" s="1">
        <v>5</v>
      </c>
      <c r="B121" s="2">
        <v>0.34155844155844145</v>
      </c>
      <c r="C121" s="2">
        <v>0.52337662337662338</v>
      </c>
      <c r="D121" s="1">
        <v>338.36</v>
      </c>
      <c r="E121" s="2">
        <v>1.1343054087516882</v>
      </c>
      <c r="F121" s="5">
        <f t="shared" si="18"/>
        <v>0.12602048893232007</v>
      </c>
      <c r="G121" s="31">
        <f t="shared" si="14"/>
        <v>0.57918534478084627</v>
      </c>
      <c r="H121" s="31">
        <f t="shared" si="15"/>
        <v>0.82419986828511593</v>
      </c>
      <c r="I121" s="5">
        <f t="shared" si="19"/>
        <v>0.27463213957486537</v>
      </c>
      <c r="J121" s="5">
        <f t="shared" si="20"/>
        <v>8.7771577372182219E-2</v>
      </c>
      <c r="K121" s="2">
        <f t="shared" si="21"/>
        <v>1.3160464644002565</v>
      </c>
      <c r="L121" s="2">
        <f t="shared" si="16"/>
        <v>1.0917387157179248</v>
      </c>
      <c r="M121" s="18">
        <v>418.65970487020752</v>
      </c>
      <c r="N121" s="18">
        <f t="shared" si="22"/>
        <v>426.48045656820904</v>
      </c>
      <c r="P121" s="3">
        <f t="shared" si="17"/>
        <v>61.164157121793593</v>
      </c>
    </row>
    <row r="122" spans="1:16" x14ac:dyDescent="0.2">
      <c r="A122" s="1">
        <v>6</v>
      </c>
      <c r="B122" s="2">
        <v>0.42597402597402523</v>
      </c>
      <c r="C122" s="2">
        <v>0.58831168831168845</v>
      </c>
      <c r="D122" s="1">
        <v>336.36</v>
      </c>
      <c r="E122" s="2">
        <v>1.0907157765595792</v>
      </c>
      <c r="F122" s="5">
        <f t="shared" si="18"/>
        <v>8.6834156466614756E-2</v>
      </c>
      <c r="G122" s="31">
        <f t="shared" si="14"/>
        <v>0.57796730230203952</v>
      </c>
      <c r="H122" s="31">
        <f t="shared" si="15"/>
        <v>0.82231322516666061</v>
      </c>
      <c r="I122" s="5">
        <f t="shared" si="19"/>
        <v>0.20456711312995535</v>
      </c>
      <c r="J122" s="5">
        <f t="shared" si="20"/>
        <v>0.13276452561344754</v>
      </c>
      <c r="K122" s="2">
        <f t="shared" si="21"/>
        <v>1.226993800476911</v>
      </c>
      <c r="L122" s="2">
        <f t="shared" si="16"/>
        <v>1.1419810593786077</v>
      </c>
      <c r="M122" s="18">
        <v>456.83477810676453</v>
      </c>
      <c r="N122" s="18">
        <f t="shared" si="22"/>
        <v>456.83475001623083</v>
      </c>
      <c r="P122" s="3">
        <f t="shared" si="17"/>
        <v>7.8907808375095043E-10</v>
      </c>
    </row>
    <row r="123" spans="1:16" x14ac:dyDescent="0.2">
      <c r="A123" s="1">
        <v>7</v>
      </c>
      <c r="B123" s="2">
        <v>0.51688311688311617</v>
      </c>
      <c r="C123" s="2">
        <v>0.65974025974025918</v>
      </c>
      <c r="D123" s="1">
        <v>334.66</v>
      </c>
      <c r="E123" s="2">
        <v>1.0657550290684603</v>
      </c>
      <c r="F123" s="5">
        <f t="shared" si="18"/>
        <v>6.3683495458955353E-2</v>
      </c>
      <c r="G123" s="31">
        <f t="shared" si="14"/>
        <v>0.57692256637448314</v>
      </c>
      <c r="H123" s="31">
        <f t="shared" si="15"/>
        <v>0.8206952994843052</v>
      </c>
      <c r="I123" s="5">
        <f t="shared" si="19"/>
        <v>0.14198779938202327</v>
      </c>
      <c r="J123" s="5">
        <f t="shared" si="20"/>
        <v>0.18998260754204827</v>
      </c>
      <c r="K123" s="2">
        <f t="shared" si="21"/>
        <v>1.1525625864754103</v>
      </c>
      <c r="L123" s="2">
        <f t="shared" si="16"/>
        <v>1.2092285660173676</v>
      </c>
      <c r="M123" s="18">
        <v>442.71835479446918</v>
      </c>
      <c r="N123" s="18">
        <f t="shared" si="22"/>
        <v>459.60211229499066</v>
      </c>
      <c r="P123" s="3">
        <f t="shared" si="17"/>
        <v>285.06126733641543</v>
      </c>
    </row>
    <row r="124" spans="1:16" x14ac:dyDescent="0.2">
      <c r="A124" s="1">
        <v>8</v>
      </c>
      <c r="B124" s="2">
        <v>0.60779220779220722</v>
      </c>
      <c r="C124" s="2">
        <v>0.71818181818181837</v>
      </c>
      <c r="D124" s="1">
        <v>333.16</v>
      </c>
      <c r="E124" s="2">
        <v>1.03688827881724</v>
      </c>
      <c r="F124" s="5">
        <f t="shared" si="18"/>
        <v>3.6224188455362856E-2</v>
      </c>
      <c r="G124" s="31">
        <f t="shared" si="14"/>
        <v>0.5759934769992735</v>
      </c>
      <c r="H124" s="31">
        <f t="shared" si="15"/>
        <v>0.819256687272649</v>
      </c>
      <c r="I124" s="5">
        <f t="shared" si="19"/>
        <v>9.1877982372924216E-2</v>
      </c>
      <c r="J124" s="5">
        <f t="shared" si="20"/>
        <v>0.25584360964326536</v>
      </c>
      <c r="K124" s="2">
        <f t="shared" si="21"/>
        <v>1.0962310544079903</v>
      </c>
      <c r="L124" s="2">
        <f t="shared" si="16"/>
        <v>1.2915507260657528</v>
      </c>
      <c r="M124" s="18">
        <v>423.92425603369639</v>
      </c>
      <c r="N124" s="18">
        <f t="shared" si="22"/>
        <v>432.64403350796971</v>
      </c>
      <c r="P124" s="3">
        <f t="shared" si="17"/>
        <v>76.034519200844301</v>
      </c>
    </row>
    <row r="125" spans="1:16" x14ac:dyDescent="0.2">
      <c r="A125" s="1">
        <v>9</v>
      </c>
      <c r="B125" s="2">
        <v>0.70519480519480537</v>
      </c>
      <c r="C125" s="2">
        <v>0.78311688311688343</v>
      </c>
      <c r="D125" s="1">
        <v>331.76000000000005</v>
      </c>
      <c r="E125" s="2">
        <v>1.0211917284291132</v>
      </c>
      <c r="F125" s="5">
        <f t="shared" si="18"/>
        <v>2.0970306498405353E-2</v>
      </c>
      <c r="G125" s="31">
        <f t="shared" si="14"/>
        <v>0.57512011445109512</v>
      </c>
      <c r="H125" s="31">
        <f t="shared" si="15"/>
        <v>0.8179045504615674</v>
      </c>
      <c r="I125" s="5">
        <f t="shared" si="19"/>
        <v>5.1003807558497483E-2</v>
      </c>
      <c r="J125" s="5">
        <f t="shared" si="20"/>
        <v>0.3355532564931355</v>
      </c>
      <c r="K125" s="2">
        <f t="shared" si="21"/>
        <v>1.0523269000718063</v>
      </c>
      <c r="L125" s="2">
        <f t="shared" si="16"/>
        <v>1.3987140188067759</v>
      </c>
      <c r="M125" s="18">
        <v>372.14389694660576</v>
      </c>
      <c r="N125" s="18">
        <f t="shared" si="22"/>
        <v>372.08265154438322</v>
      </c>
      <c r="P125" s="3">
        <f t="shared" si="17"/>
        <v>3.7509992934006181E-3</v>
      </c>
    </row>
    <row r="126" spans="1:16" x14ac:dyDescent="0.2">
      <c r="A126" s="1">
        <v>10</v>
      </c>
      <c r="B126" s="2">
        <v>0.80909090909090797</v>
      </c>
      <c r="C126" s="2">
        <v>0.84155844155844117</v>
      </c>
      <c r="D126" s="1">
        <v>330.46000000000004</v>
      </c>
      <c r="E126" s="2">
        <v>0.99939298157119161</v>
      </c>
      <c r="F126" s="5">
        <f t="shared" si="18"/>
        <v>-6.0720273908511282E-4</v>
      </c>
      <c r="G126" s="31">
        <f t="shared" si="14"/>
        <v>0.57430370906962913</v>
      </c>
      <c r="H126" s="31">
        <f t="shared" si="15"/>
        <v>0.8166407589610708</v>
      </c>
      <c r="I126" s="5">
        <f t="shared" si="19"/>
        <v>2.1038358180833008E-2</v>
      </c>
      <c r="J126" s="5">
        <f t="shared" si="20"/>
        <v>0.43065250145147105</v>
      </c>
      <c r="K126" s="2">
        <f t="shared" si="21"/>
        <v>1.0212612246089532</v>
      </c>
      <c r="L126" s="2">
        <f t="shared" si="16"/>
        <v>1.5382609136348253</v>
      </c>
      <c r="M126" s="18">
        <v>300.12632700863855</v>
      </c>
      <c r="N126" s="18">
        <f t="shared" si="22"/>
        <v>272.66445385575537</v>
      </c>
      <c r="P126" s="3">
        <f t="shared" si="17"/>
        <v>754.15447706504631</v>
      </c>
    </row>
    <row r="127" spans="1:16" x14ac:dyDescent="0.2">
      <c r="A127" s="1">
        <v>11</v>
      </c>
      <c r="B127" s="1">
        <v>1</v>
      </c>
      <c r="C127" s="1">
        <v>1</v>
      </c>
      <c r="D127" s="1">
        <v>329.16</v>
      </c>
      <c r="E127" s="2">
        <v>1</v>
      </c>
      <c r="F127" s="1">
        <f t="shared" si="18"/>
        <v>0</v>
      </c>
      <c r="G127" s="31">
        <f t="shared" si="14"/>
        <v>0.57348202767071388</v>
      </c>
      <c r="H127" s="31">
        <f t="shared" si="15"/>
        <v>0.81536896085223509</v>
      </c>
      <c r="I127" s="1">
        <f t="shared" si="19"/>
        <v>0</v>
      </c>
      <c r="J127" s="1"/>
      <c r="K127" s="1">
        <f t="shared" si="21"/>
        <v>1</v>
      </c>
      <c r="L127" s="1" t="s">
        <v>47</v>
      </c>
      <c r="M127" s="1">
        <v>0</v>
      </c>
      <c r="N127" s="1">
        <v>0</v>
      </c>
      <c r="P127" s="3">
        <f t="shared" si="17"/>
        <v>0</v>
      </c>
    </row>
    <row r="130" spans="2:16" ht="25.5" x14ac:dyDescent="0.2">
      <c r="B130" s="6" t="s">
        <v>60</v>
      </c>
      <c r="C130" s="6" t="s">
        <v>62</v>
      </c>
      <c r="D130" s="1" t="s">
        <v>63</v>
      </c>
      <c r="P130" s="3">
        <f>SUM(P117:P127)</f>
        <v>1358.0107203881089</v>
      </c>
    </row>
    <row r="131" spans="2:16" x14ac:dyDescent="0.2">
      <c r="B131" s="1">
        <v>0</v>
      </c>
      <c r="C131" s="1">
        <v>0</v>
      </c>
      <c r="D131" s="1">
        <f>(B131*B131)+(C131*C131)</f>
        <v>0</v>
      </c>
    </row>
    <row r="132" spans="2:16" x14ac:dyDescent="0.2">
      <c r="B132" s="5">
        <f t="shared" ref="B132:B141" si="23">ABS(I118-F118)</f>
        <v>0.24360255864023611</v>
      </c>
      <c r="C132" s="5">
        <f t="shared" ref="C132:C140" si="24">ABS(L118-J79)</f>
        <v>2.3127111557993851E-2</v>
      </c>
      <c r="D132" s="5">
        <f t="shared" ref="D132:D141" si="25">(B132*B132)+(C132*C132)</f>
        <v>5.9877069865085564E-2</v>
      </c>
      <c r="F132" s="3" t="s">
        <v>64</v>
      </c>
      <c r="H132" s="3">
        <f>SUM(D131:D141)</f>
        <v>0.30591519448882276</v>
      </c>
    </row>
    <row r="133" spans="2:16" x14ac:dyDescent="0.2">
      <c r="B133" s="5">
        <f t="shared" si="23"/>
        <v>0.21775417265332039</v>
      </c>
      <c r="C133" s="5">
        <f t="shared" si="24"/>
        <v>4.9791996660545124E-2</v>
      </c>
      <c r="D133" s="5">
        <f t="shared" si="25"/>
        <v>4.9896122639375803E-2</v>
      </c>
    </row>
    <row r="134" spans="2:16" x14ac:dyDescent="0.2">
      <c r="B134" s="5">
        <f t="shared" si="23"/>
        <v>0.1966237917514603</v>
      </c>
      <c r="C134" s="5">
        <f t="shared" si="24"/>
        <v>8.0793846291919547E-2</v>
      </c>
      <c r="D134" s="5">
        <f t="shared" si="25"/>
        <v>4.5188561081363952E-2</v>
      </c>
    </row>
    <row r="135" spans="2:16" x14ac:dyDescent="0.2">
      <c r="B135" s="5">
        <f t="shared" si="23"/>
        <v>0.14861165064254531</v>
      </c>
      <c r="C135" s="5">
        <f t="shared" si="24"/>
        <v>8.2523490120560039E-2</v>
      </c>
      <c r="D135" s="5">
        <f t="shared" si="25"/>
        <v>2.8895549128380108E-2</v>
      </c>
    </row>
    <row r="136" spans="2:16" x14ac:dyDescent="0.2">
      <c r="B136" s="5">
        <f t="shared" si="23"/>
        <v>0.11773295666334059</v>
      </c>
      <c r="C136" s="5">
        <f t="shared" si="24"/>
        <v>0.10426014682751172</v>
      </c>
      <c r="D136" s="5">
        <f t="shared" si="25"/>
        <v>2.4731227301186334E-2</v>
      </c>
    </row>
    <row r="137" spans="2:16" x14ac:dyDescent="0.2">
      <c r="B137" s="5">
        <f t="shared" si="23"/>
        <v>7.8304303923067919E-2</v>
      </c>
      <c r="C137" s="5">
        <f t="shared" si="24"/>
        <v>8.9258904131223282E-2</v>
      </c>
      <c r="D137" s="5">
        <f t="shared" si="25"/>
        <v>1.40987159795831E-2</v>
      </c>
    </row>
    <row r="138" spans="2:16" x14ac:dyDescent="0.2">
      <c r="B138" s="5">
        <f t="shared" si="23"/>
        <v>5.565379391756136E-2</v>
      </c>
      <c r="C138" s="5">
        <f t="shared" si="24"/>
        <v>0.10507971248774273</v>
      </c>
      <c r="D138" s="5">
        <f t="shared" si="25"/>
        <v>1.4139090753925065E-2</v>
      </c>
    </row>
    <row r="139" spans="2:16" x14ac:dyDescent="0.2">
      <c r="B139" s="5">
        <f t="shared" si="23"/>
        <v>3.003350106009213E-2</v>
      </c>
      <c r="C139" s="5">
        <f t="shared" si="24"/>
        <v>0.10429757227166836</v>
      </c>
      <c r="D139" s="5">
        <f t="shared" si="25"/>
        <v>1.1779994767690439E-2</v>
      </c>
    </row>
    <row r="140" spans="2:16" x14ac:dyDescent="0.2">
      <c r="B140" s="5">
        <f t="shared" si="23"/>
        <v>2.1645560919918122E-2</v>
      </c>
      <c r="C140" s="5">
        <f t="shared" si="24"/>
        <v>0.23841210679135938</v>
      </c>
      <c r="D140" s="5">
        <f t="shared" si="25"/>
        <v>5.7308862972232436E-2</v>
      </c>
    </row>
    <row r="141" spans="2:16" x14ac:dyDescent="0.2">
      <c r="B141" s="1">
        <f t="shared" si="23"/>
        <v>0</v>
      </c>
      <c r="C141" s="1">
        <v>0</v>
      </c>
      <c r="D141" s="1">
        <f t="shared" si="25"/>
        <v>0</v>
      </c>
    </row>
    <row r="150" spans="1:14" x14ac:dyDescent="0.2">
      <c r="A150" s="27" t="s">
        <v>65</v>
      </c>
      <c r="B150" s="1"/>
      <c r="C150" s="1"/>
      <c r="D150" s="1"/>
      <c r="E150" s="1"/>
      <c r="F150" s="1"/>
      <c r="G150" s="1"/>
      <c r="H150" s="1"/>
      <c r="I150" s="1"/>
      <c r="J150" s="1"/>
    </row>
    <row r="151" spans="1:14" ht="14.25" x14ac:dyDescent="0.25">
      <c r="A151" s="3" t="s">
        <v>66</v>
      </c>
      <c r="C151" s="28" t="s">
        <v>75</v>
      </c>
      <c r="D151" s="34">
        <v>555.75130346347908</v>
      </c>
      <c r="G151" s="26" t="s">
        <v>69</v>
      </c>
      <c r="H151" s="29">
        <v>0.43070000000000003</v>
      </c>
      <c r="I151" s="3" t="s">
        <v>72</v>
      </c>
    </row>
    <row r="152" spans="1:14" ht="14.25" x14ac:dyDescent="0.25">
      <c r="C152" s="25" t="s">
        <v>76</v>
      </c>
      <c r="D152" s="1">
        <v>1491.4695816918438</v>
      </c>
    </row>
    <row r="154" spans="1:14" ht="29.25" x14ac:dyDescent="0.25">
      <c r="A154" s="1" t="s">
        <v>2</v>
      </c>
      <c r="B154" s="1" t="s">
        <v>50</v>
      </c>
      <c r="C154" s="1" t="s">
        <v>49</v>
      </c>
      <c r="D154" s="1" t="s">
        <v>51</v>
      </c>
      <c r="E154" s="20" t="s">
        <v>70</v>
      </c>
      <c r="F154" s="20" t="s">
        <v>71</v>
      </c>
      <c r="G154" s="21" t="s">
        <v>74</v>
      </c>
      <c r="H154" s="21" t="s">
        <v>73</v>
      </c>
      <c r="I154" s="16" t="s">
        <v>77</v>
      </c>
      <c r="J154" s="16" t="s">
        <v>78</v>
      </c>
      <c r="K154" s="16" t="s">
        <v>56</v>
      </c>
      <c r="L154" s="16" t="s">
        <v>59</v>
      </c>
      <c r="M154" s="16" t="s">
        <v>57</v>
      </c>
      <c r="N154" s="16" t="s">
        <v>58</v>
      </c>
    </row>
    <row r="155" spans="1:14" x14ac:dyDescent="0.2">
      <c r="A155" s="1">
        <v>1</v>
      </c>
      <c r="B155" s="2">
        <f t="array" ref="B155:B165">B117:B127</f>
        <v>0</v>
      </c>
      <c r="C155" s="2">
        <f t="array" ref="C155:C165">C117:C127</f>
        <v>0</v>
      </c>
      <c r="D155" s="1">
        <f t="array" ref="D155:D165">D117:D127</f>
        <v>353.16</v>
      </c>
      <c r="E155" s="31">
        <f t="shared" ref="E155:E165" si="26">$D$151/(8.314462*D155)</f>
        <v>0.18926696980141314</v>
      </c>
      <c r="F155" s="31">
        <f t="shared" ref="F155:F165" si="27">$D$152/(8.314462*D155)</f>
        <v>0.50793570166830349</v>
      </c>
      <c r="G155" s="31">
        <f t="shared" ref="G155:G165" si="28">EXP(-$H$151*E155)</f>
        <v>0.92171677886159875</v>
      </c>
      <c r="H155" s="31">
        <f t="shared" ref="H155:H165" si="29">EXP(-$H$151*F155)</f>
        <v>0.80350818537335378</v>
      </c>
      <c r="I155" s="1"/>
      <c r="J155" s="1">
        <f>B155*B155*(E155*POWER((G155/(1-B155+B155*G155)),2) + H155*F155/POWER((B155 + (1-B155)*H155),2))</f>
        <v>0</v>
      </c>
      <c r="K155" s="1"/>
      <c r="L155" s="1">
        <f>EXP(J155)</f>
        <v>1</v>
      </c>
      <c r="M155" s="1">
        <f t="array" ref="M155:M165">M117:M127</f>
        <v>0</v>
      </c>
      <c r="N155" s="1">
        <v>0</v>
      </c>
    </row>
    <row r="156" spans="1:14" x14ac:dyDescent="0.2">
      <c r="A156" s="1">
        <v>2</v>
      </c>
      <c r="B156" s="2">
        <v>8.8311688311687231E-2</v>
      </c>
      <c r="C156" s="2">
        <v>0.21818181818181723</v>
      </c>
      <c r="D156" s="1">
        <v>347.46000000000004</v>
      </c>
      <c r="E156" s="31">
        <f t="shared" si="26"/>
        <v>0.19237185015560657</v>
      </c>
      <c r="F156" s="31">
        <f t="shared" si="27"/>
        <v>0.51626826800546266</v>
      </c>
      <c r="G156" s="31">
        <f t="shared" si="28"/>
        <v>0.92048501663439608</v>
      </c>
      <c r="H156" s="31">
        <f t="shared" si="29"/>
        <v>0.80062969431927378</v>
      </c>
      <c r="I156" s="5">
        <f t="shared" ref="I156:I165" si="30">(1-B156)*(1-B156)*(F156*POWER((H156/(B156 + (1-B156)*H156)),2) + (G156*E156/(1-B156+B156*G156)))</f>
        <v>0.55906276931708609</v>
      </c>
      <c r="J156" s="5">
        <f t="shared" ref="J156:J164" si="31">B156*B156*(E156*POWER((G156/(1-B156+B156*G156)),2) + H156*F156/POWER((B156 + (1-B156)*H156),2))</f>
        <v>6.1041199107153372E-3</v>
      </c>
      <c r="K156" s="5">
        <f>EXP(I156)</f>
        <v>1.7490324849694816</v>
      </c>
      <c r="L156" s="5">
        <f t="shared" ref="L156:L164" si="32">EXP(J156)</f>
        <v>1.0061227880154446</v>
      </c>
      <c r="M156" s="18">
        <v>158.36312644836588</v>
      </c>
      <c r="N156" s="18">
        <f>(B156*LN(K156) + (1-B156)*LN(L156))*8.314462*D156</f>
        <v>158.7093738498248</v>
      </c>
    </row>
    <row r="157" spans="1:14" x14ac:dyDescent="0.2">
      <c r="A157" s="1">
        <v>3</v>
      </c>
      <c r="B157" s="2">
        <v>0.17272727272727245</v>
      </c>
      <c r="C157" s="2">
        <v>0.34805194805194722</v>
      </c>
      <c r="D157" s="1">
        <v>343.56000000000006</v>
      </c>
      <c r="E157" s="31">
        <f t="shared" si="26"/>
        <v>0.19455560325726817</v>
      </c>
      <c r="F157" s="31">
        <f t="shared" si="27"/>
        <v>0.52212880545225882</v>
      </c>
      <c r="G157" s="31">
        <f t="shared" si="28"/>
        <v>0.9196196684038116</v>
      </c>
      <c r="H157" s="31">
        <f t="shared" si="29"/>
        <v>0.79861134646540421</v>
      </c>
      <c r="I157" s="5">
        <f t="shared" si="30"/>
        <v>0.45229874392912234</v>
      </c>
      <c r="J157" s="5">
        <f t="shared" si="31"/>
        <v>2.2959555945259055E-2</v>
      </c>
      <c r="K157" s="5">
        <f t="shared" ref="K157:K165" si="33">EXP(I157)</f>
        <v>1.5719214804385986</v>
      </c>
      <c r="L157" s="5">
        <f t="shared" si="32"/>
        <v>1.0232251553361558</v>
      </c>
      <c r="M157" s="18">
        <v>284.77115184614263</v>
      </c>
      <c r="N157" s="18">
        <f t="shared" ref="N157:N164" si="34">(B157*LN(K157) + (1-B157)*LN(L157))*8.314462*D157</f>
        <v>277.41958410195201</v>
      </c>
    </row>
    <row r="158" spans="1:14" x14ac:dyDescent="0.2">
      <c r="A158" s="1">
        <v>4</v>
      </c>
      <c r="B158" s="2">
        <v>0.25714285714285623</v>
      </c>
      <c r="C158" s="2">
        <v>0.43896103896103822</v>
      </c>
      <c r="D158" s="1">
        <v>340.66</v>
      </c>
      <c r="E158" s="31">
        <f t="shared" si="26"/>
        <v>0.19621183307422962</v>
      </c>
      <c r="F158" s="31">
        <f t="shared" si="27"/>
        <v>0.52657362884159586</v>
      </c>
      <c r="G158" s="31">
        <f t="shared" si="28"/>
        <v>0.91896390250050497</v>
      </c>
      <c r="H158" s="31">
        <f t="shared" si="29"/>
        <v>0.79708395900709761</v>
      </c>
      <c r="I158" s="5">
        <f t="shared" si="30"/>
        <v>0.35759306404602575</v>
      </c>
      <c r="J158" s="5">
        <f t="shared" si="31"/>
        <v>4.9907182630087726E-2</v>
      </c>
      <c r="K158" s="5">
        <f t="shared" si="33"/>
        <v>1.4298836310122516</v>
      </c>
      <c r="L158" s="5">
        <f t="shared" si="32"/>
        <v>1.0511735246860374</v>
      </c>
      <c r="M158" s="18">
        <v>380.4373377695224</v>
      </c>
      <c r="N158" s="18">
        <f t="shared" si="34"/>
        <v>365.45499838120975</v>
      </c>
    </row>
    <row r="159" spans="1:14" x14ac:dyDescent="0.2">
      <c r="A159" s="1">
        <v>5</v>
      </c>
      <c r="B159" s="2">
        <v>0.34155844155844145</v>
      </c>
      <c r="C159" s="2">
        <v>0.52337662337662338</v>
      </c>
      <c r="D159" s="1">
        <v>338.36</v>
      </c>
      <c r="E159" s="31">
        <f t="shared" si="26"/>
        <v>0.19754558179178114</v>
      </c>
      <c r="F159" s="31">
        <f t="shared" si="27"/>
        <v>0.53015300981551616</v>
      </c>
      <c r="G159" s="31">
        <f t="shared" si="28"/>
        <v>0.9184361593496595</v>
      </c>
      <c r="H159" s="31">
        <f t="shared" si="29"/>
        <v>0.79585608969140131</v>
      </c>
      <c r="I159" s="5">
        <f t="shared" si="30"/>
        <v>0.27522001625552039</v>
      </c>
      <c r="J159" s="5">
        <f t="shared" si="31"/>
        <v>8.6267516407196917E-2</v>
      </c>
      <c r="K159" s="5">
        <f t="shared" si="33"/>
        <v>1.3168203648840715</v>
      </c>
      <c r="L159" s="5">
        <f t="shared" si="32"/>
        <v>1.0900979083781053</v>
      </c>
      <c r="M159" s="18">
        <v>418.65970487020752</v>
      </c>
      <c r="N159" s="18">
        <f t="shared" si="34"/>
        <v>424.25925276667363</v>
      </c>
    </row>
    <row r="160" spans="1:14" x14ac:dyDescent="0.2">
      <c r="A160" s="1">
        <v>6</v>
      </c>
      <c r="B160" s="2">
        <v>0.42597402597402523</v>
      </c>
      <c r="C160" s="2">
        <v>0.58831168831168845</v>
      </c>
      <c r="D160" s="1">
        <v>336.36</v>
      </c>
      <c r="E160" s="31">
        <f t="shared" si="26"/>
        <v>0.19872018984144091</v>
      </c>
      <c r="F160" s="31">
        <f t="shared" si="27"/>
        <v>0.533305305033827</v>
      </c>
      <c r="G160" s="31">
        <f t="shared" si="28"/>
        <v>0.91797163662216874</v>
      </c>
      <c r="H160" s="31">
        <f t="shared" si="29"/>
        <v>0.79477629419284068</v>
      </c>
      <c r="I160" s="5">
        <f t="shared" si="30"/>
        <v>0.20491052519325731</v>
      </c>
      <c r="J160" s="5">
        <f t="shared" si="31"/>
        <v>0.13144838134188588</v>
      </c>
      <c r="K160" s="5">
        <f t="shared" si="33"/>
        <v>1.2274152373086957</v>
      </c>
      <c r="L160" s="5">
        <f t="shared" si="32"/>
        <v>1.1404790362054937</v>
      </c>
      <c r="M160" s="18">
        <v>456.83477810676453</v>
      </c>
      <c r="N160" s="18">
        <f t="shared" si="34"/>
        <v>455.13098354648025</v>
      </c>
    </row>
    <row r="161" spans="1:14" x14ac:dyDescent="0.2">
      <c r="A161" s="1">
        <v>7</v>
      </c>
      <c r="B161" s="2">
        <v>0.51688311688311617</v>
      </c>
      <c r="C161" s="2">
        <v>0.65974025974025918</v>
      </c>
      <c r="D161" s="1">
        <v>334.66</v>
      </c>
      <c r="E161" s="31">
        <f t="shared" si="26"/>
        <v>0.19972964517739517</v>
      </c>
      <c r="F161" s="31">
        <f t="shared" si="27"/>
        <v>0.53601437997124857</v>
      </c>
      <c r="G161" s="31">
        <f t="shared" si="28"/>
        <v>0.91757261462663287</v>
      </c>
      <c r="H161" s="31">
        <f t="shared" si="29"/>
        <v>0.79384949114628212</v>
      </c>
      <c r="I161" s="5">
        <f t="shared" si="30"/>
        <v>0.14192639485677441</v>
      </c>
      <c r="J161" s="5">
        <f t="shared" si="31"/>
        <v>0.18923898018560295</v>
      </c>
      <c r="K161" s="5">
        <f t="shared" si="33"/>
        <v>1.1524918160898014</v>
      </c>
      <c r="L161" s="5">
        <f t="shared" si="32"/>
        <v>1.2083296848332232</v>
      </c>
      <c r="M161" s="18">
        <v>442.71835479446918</v>
      </c>
      <c r="N161" s="18">
        <f t="shared" si="34"/>
        <v>458.51415367713122</v>
      </c>
    </row>
    <row r="162" spans="1:14" x14ac:dyDescent="0.2">
      <c r="A162" s="1">
        <v>8</v>
      </c>
      <c r="B162" s="2">
        <v>0.60779220779220722</v>
      </c>
      <c r="C162" s="2">
        <v>0.71818181818181837</v>
      </c>
      <c r="D162" s="1">
        <v>333.16</v>
      </c>
      <c r="E162" s="31">
        <f t="shared" si="26"/>
        <v>0.20062889619122062</v>
      </c>
      <c r="F162" s="31">
        <f t="shared" si="27"/>
        <v>0.53842769960732995</v>
      </c>
      <c r="G162" s="31">
        <f t="shared" si="28"/>
        <v>0.91721730076454444</v>
      </c>
      <c r="H162" s="31">
        <f t="shared" si="29"/>
        <v>0.79302477935838456</v>
      </c>
      <c r="I162" s="5">
        <f t="shared" si="30"/>
        <v>9.15048438796119E-2</v>
      </c>
      <c r="J162" s="5">
        <f t="shared" si="31"/>
        <v>0.25596971127342172</v>
      </c>
      <c r="K162" s="5">
        <f t="shared" si="33"/>
        <v>1.09582208470994</v>
      </c>
      <c r="L162" s="5">
        <f t="shared" si="32"/>
        <v>1.2917136029870462</v>
      </c>
      <c r="M162" s="18">
        <v>423.92425603369639</v>
      </c>
      <c r="N162" s="18">
        <f t="shared" si="34"/>
        <v>432.15281394633683</v>
      </c>
    </row>
    <row r="163" spans="1:14" x14ac:dyDescent="0.2">
      <c r="A163" s="1">
        <v>9</v>
      </c>
      <c r="B163" s="2">
        <v>0.70519480519480537</v>
      </c>
      <c r="C163" s="2">
        <v>0.78311688311688343</v>
      </c>
      <c r="D163" s="1">
        <v>331.76000000000005</v>
      </c>
      <c r="E163" s="31">
        <f t="shared" si="26"/>
        <v>0.20147553368419055</v>
      </c>
      <c r="F163" s="31">
        <f t="shared" si="27"/>
        <v>0.54069982035561259</v>
      </c>
      <c r="G163" s="31">
        <f t="shared" si="28"/>
        <v>0.9168829014125901</v>
      </c>
      <c r="H163" s="31">
        <f t="shared" si="29"/>
        <v>0.79224910300233786</v>
      </c>
      <c r="I163" s="5">
        <f t="shared" si="30"/>
        <v>5.0523770124506845E-2</v>
      </c>
      <c r="J163" s="5">
        <f t="shared" si="31"/>
        <v>0.3367768767031622</v>
      </c>
      <c r="K163" s="5">
        <f t="shared" si="33"/>
        <v>1.0518218649945461</v>
      </c>
      <c r="L163" s="5">
        <f t="shared" si="32"/>
        <v>1.400426561085232</v>
      </c>
      <c r="M163" s="18">
        <v>372.14389694660576</v>
      </c>
      <c r="N163" s="18">
        <f t="shared" si="34"/>
        <v>372.14391488360189</v>
      </c>
    </row>
    <row r="164" spans="1:14" x14ac:dyDescent="0.2">
      <c r="A164" s="1">
        <v>10</v>
      </c>
      <c r="B164" s="2">
        <v>0.80909090909090797</v>
      </c>
      <c r="C164" s="2">
        <v>0.84155844155844117</v>
      </c>
      <c r="D164" s="1">
        <v>330.46000000000004</v>
      </c>
      <c r="E164" s="31">
        <f t="shared" si="26"/>
        <v>0.2022681203627279</v>
      </c>
      <c r="F164" s="31">
        <f t="shared" si="27"/>
        <v>0.54282688495181886</v>
      </c>
      <c r="G164" s="31">
        <f t="shared" si="28"/>
        <v>0.91656996118837475</v>
      </c>
      <c r="H164" s="31">
        <f t="shared" si="29"/>
        <v>0.79152363479007204</v>
      </c>
      <c r="I164" s="5">
        <f t="shared" si="30"/>
        <v>2.0689709300839489E-2</v>
      </c>
      <c r="J164" s="5">
        <f t="shared" si="31"/>
        <v>0.43299364108754901</v>
      </c>
      <c r="K164" s="5">
        <f t="shared" si="33"/>
        <v>1.0209052250898354</v>
      </c>
      <c r="L164" s="5">
        <f t="shared" si="32"/>
        <v>1.5418664160759081</v>
      </c>
      <c r="M164" s="18">
        <v>300.12632700863855</v>
      </c>
      <c r="N164" s="18">
        <f t="shared" si="34"/>
        <v>273.11741227581081</v>
      </c>
    </row>
    <row r="165" spans="1:14" x14ac:dyDescent="0.2">
      <c r="A165" s="1">
        <v>11</v>
      </c>
      <c r="B165" s="1">
        <v>1</v>
      </c>
      <c r="C165" s="1">
        <v>1</v>
      </c>
      <c r="D165" s="1">
        <v>329.16</v>
      </c>
      <c r="E165" s="31">
        <f t="shared" si="26"/>
        <v>0.20306696759954751</v>
      </c>
      <c r="F165" s="31">
        <f t="shared" si="27"/>
        <v>0.5449707510061309</v>
      </c>
      <c r="G165" s="31">
        <f t="shared" si="28"/>
        <v>0.91625465716045884</v>
      </c>
      <c r="H165" s="31">
        <f t="shared" si="29"/>
        <v>0.7907931083878057</v>
      </c>
      <c r="I165" s="1">
        <f t="shared" si="30"/>
        <v>0</v>
      </c>
      <c r="J165" s="1"/>
      <c r="K165" s="1">
        <f t="shared" si="33"/>
        <v>1</v>
      </c>
      <c r="L165" s="1"/>
      <c r="M165" s="1">
        <v>0</v>
      </c>
      <c r="N165" s="1">
        <v>0</v>
      </c>
    </row>
    <row r="168" spans="1:14" ht="25.5" x14ac:dyDescent="0.2">
      <c r="A168" s="1" t="s">
        <v>2</v>
      </c>
      <c r="B168" s="6" t="s">
        <v>60</v>
      </c>
      <c r="C168" s="6" t="s">
        <v>62</v>
      </c>
      <c r="D168" s="1" t="s">
        <v>63</v>
      </c>
    </row>
    <row r="169" spans="1:14" x14ac:dyDescent="0.2">
      <c r="A169" s="1">
        <v>1</v>
      </c>
      <c r="B169" s="1">
        <v>0</v>
      </c>
      <c r="C169" s="1">
        <f t="shared" ref="C169:C178" si="35">ABS(L155-J78)</f>
        <v>0</v>
      </c>
      <c r="D169" s="1">
        <f>(B169*B169)+(C169*C169)</f>
        <v>0</v>
      </c>
    </row>
    <row r="170" spans="1:14" x14ac:dyDescent="0.2">
      <c r="A170" s="1">
        <v>2</v>
      </c>
      <c r="B170" s="5">
        <f t="shared" ref="B170:B179" si="36">ABS(K156-I79)</f>
        <v>0.37215975829318193</v>
      </c>
      <c r="C170" s="5">
        <f t="shared" si="35"/>
        <v>2.3453838796296811E-2</v>
      </c>
      <c r="D170" s="5">
        <f t="shared" ref="D170:D179" si="37">(B170*B170)+(C170*C170)</f>
        <v>0.13905296824712227</v>
      </c>
      <c r="F170" s="3" t="s">
        <v>64</v>
      </c>
      <c r="H170" s="3">
        <f>SUM(D169:D179)</f>
        <v>0.47497723002978331</v>
      </c>
    </row>
    <row r="171" spans="1:14" x14ac:dyDescent="0.2">
      <c r="A171" s="1">
        <v>3</v>
      </c>
      <c r="B171" s="5">
        <f t="shared" si="36"/>
        <v>0.30627238287909453</v>
      </c>
      <c r="C171" s="5">
        <f t="shared" si="35"/>
        <v>5.0697972420734372E-2</v>
      </c>
      <c r="D171" s="5">
        <f t="shared" si="37"/>
        <v>9.6373056922012215E-2</v>
      </c>
    </row>
    <row r="172" spans="1:14" x14ac:dyDescent="0.2">
      <c r="A172" s="1">
        <v>4</v>
      </c>
      <c r="B172" s="5">
        <f t="shared" si="36"/>
        <v>0.25560748838686309</v>
      </c>
      <c r="C172" s="5">
        <f t="shared" si="35"/>
        <v>8.2201309839877501E-2</v>
      </c>
      <c r="D172" s="5">
        <f t="shared" si="37"/>
        <v>7.2092243458831889E-2</v>
      </c>
    </row>
    <row r="173" spans="1:14" x14ac:dyDescent="0.2">
      <c r="A173" s="1">
        <v>5</v>
      </c>
      <c r="B173" s="5">
        <f t="shared" si="36"/>
        <v>0.18251495613238333</v>
      </c>
      <c r="C173" s="5">
        <f t="shared" si="35"/>
        <v>8.4164297460379567E-2</v>
      </c>
      <c r="D173" s="5">
        <f t="shared" si="37"/>
        <v>4.0395338179005064E-2</v>
      </c>
    </row>
    <row r="174" spans="1:14" x14ac:dyDescent="0.2">
      <c r="A174" s="1">
        <v>6</v>
      </c>
      <c r="B174" s="5">
        <f t="shared" si="36"/>
        <v>0.13669946074911654</v>
      </c>
      <c r="C174" s="5">
        <f t="shared" si="35"/>
        <v>0.10576217000062571</v>
      </c>
      <c r="D174" s="5">
        <f t="shared" si="37"/>
        <v>2.9872379172340507E-2</v>
      </c>
    </row>
    <row r="175" spans="1:14" x14ac:dyDescent="0.2">
      <c r="A175" s="1">
        <v>7</v>
      </c>
      <c r="B175" s="5">
        <f t="shared" si="36"/>
        <v>8.6736787021341133E-2</v>
      </c>
      <c r="C175" s="5">
        <f t="shared" si="35"/>
        <v>9.0157785315367667E-2</v>
      </c>
      <c r="D175" s="5">
        <f t="shared" si="37"/>
        <v>1.5651696475757419E-2</v>
      </c>
    </row>
    <row r="176" spans="1:14" x14ac:dyDescent="0.2">
      <c r="A176" s="1">
        <v>8</v>
      </c>
      <c r="B176" s="5">
        <f t="shared" si="36"/>
        <v>5.8933805892700031E-2</v>
      </c>
      <c r="C176" s="5">
        <f t="shared" si="35"/>
        <v>0.10491683556644937</v>
      </c>
      <c r="D176" s="5">
        <f t="shared" si="37"/>
        <v>1.4480735862275822E-2</v>
      </c>
    </row>
    <row r="177" spans="1:4" x14ac:dyDescent="0.2">
      <c r="A177" s="1">
        <v>9</v>
      </c>
      <c r="B177" s="5">
        <f t="shared" si="36"/>
        <v>3.0630136565432897E-2</v>
      </c>
      <c r="C177" s="5">
        <f t="shared" si="35"/>
        <v>0.10258502999321228</v>
      </c>
      <c r="D177" s="5">
        <f t="shared" si="37"/>
        <v>1.1461893644725333E-2</v>
      </c>
    </row>
    <row r="178" spans="1:4" x14ac:dyDescent="0.2">
      <c r="A178" s="1">
        <v>10</v>
      </c>
      <c r="B178" s="5">
        <f t="shared" si="36"/>
        <v>2.1512243518643781E-2</v>
      </c>
      <c r="C178" s="5">
        <f t="shared" si="35"/>
        <v>0.23480660435027656</v>
      </c>
      <c r="D178" s="5">
        <f t="shared" si="37"/>
        <v>5.5596918067712747E-2</v>
      </c>
    </row>
    <row r="179" spans="1:4" x14ac:dyDescent="0.2">
      <c r="A179" s="1">
        <v>11</v>
      </c>
      <c r="B179" s="1">
        <f t="shared" si="36"/>
        <v>0</v>
      </c>
      <c r="C179" s="1">
        <v>0</v>
      </c>
      <c r="D179" s="1">
        <f t="shared" si="37"/>
        <v>0</v>
      </c>
    </row>
  </sheetData>
  <sortState ref="A12:H25">
    <sortCondition ref="F13"/>
  </sortState>
  <pageMargins left="0.25" right="0.25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A1:I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Namboothiri</dc:creator>
  <cp:lastModifiedBy>Harikrishnan Namboothiri</cp:lastModifiedBy>
  <cp:lastPrinted>2020-10-09T19:49:28Z</cp:lastPrinted>
  <dcterms:created xsi:type="dcterms:W3CDTF">2020-09-02T06:11:06Z</dcterms:created>
  <dcterms:modified xsi:type="dcterms:W3CDTF">2021-01-25T14:03:21Z</dcterms:modified>
</cp:coreProperties>
</file>