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ssg01\Desktop\Python Class\New Structure\Final Projects\"/>
    </mc:Choice>
  </mc:AlternateContent>
  <xr:revisionPtr revIDLastSave="0" documentId="13_ncr:1_{EEF03948-3861-4D64-885F-89EF32DC8B20}" xr6:coauthVersionLast="47" xr6:coauthVersionMax="47" xr10:uidLastSave="{00000000-0000-0000-0000-000000000000}"/>
  <bookViews>
    <workbookView xWindow="28680" yWindow="-7110" windowWidth="20640" windowHeight="11160" xr2:uid="{00000000-000D-0000-FFFF-FFFF00000000}"/>
  </bookViews>
  <sheets>
    <sheet name="Employment Projections" sheetId="1" r:id="rId1"/>
  </sheets>
  <definedNames>
    <definedName name="_xlnm._FilterDatabase" localSheetId="0" hidden="1">'Employment Projections'!$H$1:$H$791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</calcChain>
</file>

<file path=xl/sharedStrings.xml><?xml version="1.0" encoding="utf-8"?>
<sst xmlns="http://schemas.openxmlformats.org/spreadsheetml/2006/main" count="3179" uniqueCount="821">
  <si>
    <t>Occupation Title</t>
  </si>
  <si>
    <t>Occupation Code</t>
  </si>
  <si>
    <t>Employment 2020</t>
  </si>
  <si>
    <t>Employment 2030</t>
  </si>
  <si>
    <t>Employment Change, 2020-2030</t>
  </si>
  <si>
    <t>Employment Percent Change, 2020-2030</t>
  </si>
  <si>
    <t>Occupational Openings, 2020-2030 Annual Average</t>
  </si>
  <si>
    <t>Median Annual Wage 2020</t>
  </si>
  <si>
    <t>Typical Entry-Level Education</t>
  </si>
  <si>
    <t>Education Code</t>
  </si>
  <si>
    <t>Work Experience in a Related Occupation</t>
  </si>
  <si>
    <t>Workex Code</t>
  </si>
  <si>
    <t>Typical on-the-job Training</t>
  </si>
  <si>
    <t>trCode</t>
  </si>
  <si>
    <t>Accountants and auditors    * Account Auditor* Accountant* Auditor* Auditor-In-Charge* CPA* Certified Public Accountant* Cost Accountant* Field Auditor* Financial Accountant* Financial Auditor* Fund Accountant* Internal Auditor* Payroll Auditor* Tax Accountant</t>
  </si>
  <si>
    <t>Bachelor's degree</t>
  </si>
  <si>
    <t>None</t>
  </si>
  <si>
    <t>Actors    * Actor Understudy* Actress* Dramatic Reader* Elocutionist* Monologist* Vaudeville Actor* Voice-Over Artist</t>
  </si>
  <si>
    <t>N/A</t>
  </si>
  <si>
    <t>Some college, no degree</t>
  </si>
  <si>
    <t>Long-term on-the-job training</t>
  </si>
  <si>
    <t>Actuaries    * Actuarial Associate* Actuarial Mathematician* Health Actuary* Insurance Actuary* Pricing Actuary* Product Development Actuary</t>
  </si>
  <si>
    <t>Acupuncturists and healthcare diagnosing or treating practitioners, all other</t>
  </si>
  <si>
    <t>Master's degree</t>
  </si>
  <si>
    <t>Adhesive bonding machine operators and tenders    * Glue Line Operator* Glue Machine Operator* Glue Reel Operator* Paper Gluing Operator</t>
  </si>
  <si>
    <t>High school diploma or equivalent</t>
  </si>
  <si>
    <t>Moderate-term on-the-job training</t>
  </si>
  <si>
    <t>Administrative law judges, adjudicators, and hearing officers    * Appeals Examiner* Appeals Referee* Appellate Conferee* Hearing Examiner* Hearing Officer* Justice of The Peace* Traffic Court Referee</t>
  </si>
  <si>
    <t>Doctoral or professional degree</t>
  </si>
  <si>
    <t>5 years or more</t>
  </si>
  <si>
    <t>Short-term on-the-job training</t>
  </si>
  <si>
    <t>Administrative services and facilities managers</t>
  </si>
  <si>
    <t>Less than 5 years</t>
  </si>
  <si>
    <t>Adult basic education, adult secondary education, and English as a Second Language instructors    * Adult Basic Studies Teacher* Adult Education Teacher* Adult Literacy Instructor* Adult Literacy Teacher* Adult Remedial Education Instructor* GED Instructor* General Educational Development (GED) Teacher* General Educational Development Teacher</t>
  </si>
  <si>
    <t>Advertising and promotions managers    * Advertising Director* Advertising Executive* Advertising Manager* Classified Advertising Manager* Promotion Manager* Promotions Director* VP Advertising* VP Promotions</t>
  </si>
  <si>
    <t>Advertising sales agents    * Advertising Account Executive* Advertising Agent* Advertising Solicitor* Display Advertising Sales Representative* Inside Sales Advertising Executive* Outside Sales Advertising Executive* Radio Time Salesperson* Signs and Displays Salesperson* Yellow Pages Space Salesperson</t>
  </si>
  <si>
    <t>Aerospace engineering and operations technologists and technicians    * Altitude Chamber Technician* Flight Data Technician* Wind Tunnel Technician</t>
  </si>
  <si>
    <t>Associate's degree</t>
  </si>
  <si>
    <t>Aerospace engineers    * Aerodynamics Engineer* Aeronautical Engineer* Aerospace Engineer* Aircraft Design Engineer* Aircraft Designer* Aircraft Engineer* Astronautical Engineer* Flight Systems Test Engineer* Flight Test Engineer* Wind Tunnel Engineer</t>
  </si>
  <si>
    <t>Agents and business managers of artists, performers, and athletes    * Artist Manager* Artist Representative* Author's Agent* Band Manager* Booking Agent* Booking Manager* Fight Manager* Literary Agent* Modeling Agent* Talent Agent* Talent Manager* Theatrical Agent</t>
  </si>
  <si>
    <t>Agricultural and food science technicians</t>
  </si>
  <si>
    <t>Agricultural engineers    * Agricultural Engineer* Agricultural Production Engineer* Agricultural Research Engineer* Farm Equipment Engineer* Research Agricultural Engineer</t>
  </si>
  <si>
    <t>Agricultural equipment operators    * Cane Flume Chute Operator* Combine Driver* Combine Operator* Corn Detasseler Machine Operator* Cotton Ginner* Cotton Picker Operator* Custom Harvester* Farm Tractor Operator* Hay Baler* Hay Stacker Operator* Rake Operator* Replanting Machine Operator* Tractor Operator* Wheat Combine Driver</t>
  </si>
  <si>
    <t>No formal educational credential</t>
  </si>
  <si>
    <t>Agricultural inspectors    * Cattle Examiner* Cattle Inspector* Grain Sampler* Meat and Poultry Inspector* Milk Tester* Wheat Inspector</t>
  </si>
  <si>
    <t>Agricultural sciences teachers, postsecondary    * Agricultural Soil Conservation Professor* Agronomy Professor* Animal Husbandry Professor* Animal Science Professor* Aquaculture and Fisheries Professor* Farm Management Professor* Floriculture Professor* Horticulture Instructor* Olericulture Professor</t>
  </si>
  <si>
    <t>Agricultural workers, all other    * Crop Scout* Irrigation Worker* Livestock Showman</t>
  </si>
  <si>
    <t>Air traffic controllers    * Air Traffic Control Operator* Air Traffic Control Specialist* Air Traffic Controller* Air Traffic Coordinator* Airport Tower Controller* Control Tower Operator* Enroute Controller</t>
  </si>
  <si>
    <t>Aircraft cargo handling supervisors</t>
  </si>
  <si>
    <t>Aircraft mechanics and service technicians    * A&amp;P Mechanic* Aircraft Engine Mechanic* Aircraft Engine Specialist* Airframe Mechanic* Airframe and Power Plant Mechanic* Airplane Rigger* FAA Certified Powerplant Mechanic* Flight Test Mechanic* Helicopter Mechanic* Jet Engine Mechanic* Propeller-Driven Airplane Mechanic</t>
  </si>
  <si>
    <t>Postsecondary nondegree award</t>
  </si>
  <si>
    <t>Aircraft service attendants and transportation workers, all other</t>
  </si>
  <si>
    <t>Aircraft structure, surfaces, rigging, and systems assemblers    * Aircraft De-Icer Installer* Aircraft Fuselage Framer* Aircraft Layout Worker* Aircraft Line Assembler* Aircraft Part Assembler* Aircraft Riveter* Aircraft Sheet Metal Mechanic* Helicopter Airframe Mechanic* Propeller Layout Worker* Wing Coverer</t>
  </si>
  <si>
    <t>Airfield operations specialists    * Aviation Operations Specialist* Flight Operations Coordinator</t>
  </si>
  <si>
    <t>Airline pilots, copilots, and flight engineers    * Airline Captain* Airline Pilot* Airline Pilot Flight Instructor* Airline Pilot In Command* Airline Pilot Second In Command* Airline Transport Pilot* Charter Pilot (Air Transport Pilot Certificate Required)* Charter Pilot (Airline)* Regional Airline Pilot</t>
  </si>
  <si>
    <t>Ambulance drivers and attendants, except emergency medical technicians    * Ambulance Attendant* Emergency Medical Services (EMS) Driver* Emergency Medical Services Driver</t>
  </si>
  <si>
    <t>Amusement and recreation attendants    * Amusement Park Worker* Animal Ride Attendant* Arcade Attendant* Carnival Worker* Ferris Wheel Operator* Golf Caddy* Ice Rink Attendant* Ride Operator* Rides Attendant* Ski Lift Attendant* Ski Lift Operator* Sports Complex Attendant</t>
  </si>
  <si>
    <t>Anesthesiologists</t>
  </si>
  <si>
    <t>Internship/residency</t>
  </si>
  <si>
    <t>Animal breeders    * Animal Breeder* Cat Breeder* Dairy Husbandry Worker* Dog Breeder* Equine Breeder* Horse Breeder* Livestock Breeder* Poultry Inseminator* Stallion Manager</t>
  </si>
  <si>
    <t>Animal caretakers    * Animal Care Giver* Animal Care Technician* Animal Caregiver* Animal Daycare Provider* Animal Groomer* Animal Shelter Worker* Animal Sitter* Aquarist* Aquarium Tank Attendant* Cat and Dog Bather* Dog Bather* Dog Beautician* Dog Groomer* Dog Sitter* Horse Exerciser* Kennel Aide* Kennel Attendant* Kennel Helper* Kennel Worker* Pet Feeder* Pet Groomer* Pet Sitter* Pet Stylist* Zookeeper</t>
  </si>
  <si>
    <t>Animal control workers    * Animal Control Officer* Animal Cruelty Investigator* Animal Treatment Investigator* Animal Warden* Dog Catcher* Dog Warden* Humane Officer</t>
  </si>
  <si>
    <t>Animal scientists    * Animal Geneticist* Animal Nutritionist* Animal Scientist* Beef Cattle Nutritionist* Dairy Scientist* Poultry Scientist* Swine Genetics Researcher</t>
  </si>
  <si>
    <t>Animal trainers    * Animal Trainer* Dog Handler* Dog Trainer* Dolphin Trainer* Guide Dog Instructor* Guide Dog Mobility Instructor* Guide Dog Trainer* Horse Breaker* Licensed Guide Dog Instructor* Lion Trainer* Marine Mammal Trainer* Seeing Eye Dog Trainer</t>
  </si>
  <si>
    <t>Anthropologists and archeologists    * Anthropologist* Applied Anthropologist* Archaeologist* Ethnoarchaeologist* Medical Anthropologist* Physical Anthropologist* Political Anthropologist* Research Anthropologist* Research Archaeologist</t>
  </si>
  <si>
    <t>Anthropology and archeology teachers, postsecondary    * Cultural Anthropology Professor* Ethnoarchaeology Professor* Near East Archeology Professor* Paleology Professor* Sociocultural Anthropology Professor</t>
  </si>
  <si>
    <t>Arbitrators, mediators, and conciliators    * Alternative Dispute Resolution Coordinator* Mediation Commissioner* Ombudsman</t>
  </si>
  <si>
    <t>Architects, except landscape and naval    * Building Architect* Building Architectural Designer* Structural Architect</t>
  </si>
  <si>
    <t>Architectural and civil drafters    * Architectural Drafter* Building Drafter* Civil Computer-Aided Design and Drafting Technician* Civil Drafter* Structural Drafter</t>
  </si>
  <si>
    <t>Architectural and engineering managers    * Electrical Engineering Director* Engineering Design Manager* Engineering Manager* Engineering Research Manager* Global Engineering Manager* Mechanical Engineering Director* Process Engineering Manager</t>
  </si>
  <si>
    <t>Architecture teachers, postsecondary    * Architectural Design Professor* Architecture Professor* Interior Design Professor* Landscape Architecture Professor</t>
  </si>
  <si>
    <t>Archivists    * Archivist* Digital Archivist* Film Archivist* Historical Records Administrator* Image Archivist* Museum Archivist* Processing Archivist* Reference Archivist* State Archivist</t>
  </si>
  <si>
    <t>Area, ethnic, and cultural studies teachers, postsecondary    * African Studies Professor* Asian Studies Professor* Black Studies Professor* Ethnology Professor* Gender Studies Professor* Latin American Studies Professor* Women's Studies Professor</t>
  </si>
  <si>
    <t>Art directors    * Art Director* Magazine Designer</t>
  </si>
  <si>
    <t>Art, drama, and music teachers, postsecondary    * Ballet Professor* Graphic Design Professor* Music Professor* Photography Professor* Piano Performance and Pedagogy Professor* Piano Professor* Scene and Lighting Design Lecturer* Stagecraft Professor* Theatre Professor* Voice Professor</t>
  </si>
  <si>
    <t>Artists and related workers, all other    * Calligrapher* Tattoo Artist</t>
  </si>
  <si>
    <t>Astronomers    * Astronomer* Astrophysicist</t>
  </si>
  <si>
    <t>Athletes and sports competitors    * All Terrain Vehicle Racer* Athlete* Auto Racer* Baseball Pitcher* Baseball Player* Basketball Player* Bicycle Racer* Bicyclist* Billiard Player* Bowler* Bull Rider* Car Racer* Cyclist* Dirt Bike Racer* Drag Car Racer* Figure Skater* Football Player* Golfer* Hockey Player* Horse Racer* Ice Skater* Jockey* Kick Boxer* Motocross Racer* National Association for  Stock Car Auto Racing Driver* Prize Fighter* Professional Bass Fisher* Professional Soccer Player* Pugilist* Race Car Driver* Roller Skater* Skater* Skier* Snowboarder* Softball Player* Stock Car Driver* Surfer* Swimmer* Tennis Player* Volleyball Player* Wrestler</t>
  </si>
  <si>
    <t>Athletic trainers    * Athletic Trainer* Certified Athletic Trainer* Clinical Athletic Instructor* Resident Athletic Trainer</t>
  </si>
  <si>
    <t>Atmospheric and space scientists    * Atmospheric Chemist* Atmospheric Scientist* Climatologist* Hurricane Tracker* Meteorologist* Oceanographic Meteorologist* Space Scientist* Storm Chaser* Tornado Chaser* Warning Coordination Meteorologist* Weather Analyst* Weather Forecaster* Weatherman</t>
  </si>
  <si>
    <t>Atmospheric, earth, marine, and space sciences teachers, postsecondary    * Climatology Professor* Earth Science Professor* Geology Professor* Geoscience Professor* Meteorology Professor* Mineralogy Professor* Oceanic Sciences Professor* Oceanography Professor* Volcanology Professor</t>
  </si>
  <si>
    <t>Audio and video technicians    * Audio-Visual Production Specialist* Event AV Operator* Event Crew Technician* Multimedia Production Assistant* Video Control Operator* Video Equipment Technician* Video Production Assistant</t>
  </si>
  <si>
    <t>Audiologists    * Audiologist* Clinical Audiologist* Dispensing Audiologist* Educational Audiologist* Hearing Therapist* Licensed Audiologist* Pediatric Audiologist</t>
  </si>
  <si>
    <t>Audiovisual equipment installers and repairers    * Cable Installation Technician* Electric Organ Checker* Electronic Musical Instrument Repairer* Home Stereo Equipment Installer* Home Theater Installer* Satellite Dish Installer* Stereo Equipment Installer* Television Installer* Television Repairer* Wireless Internet Installer</t>
  </si>
  <si>
    <t>Automotive and watercraft service attendants    * Auto Service Station Attendant* Gas Pump Attendant* Gas Station Attendant* Gas and Oil Servicer* Oil Changer* Pump Jockey* Service Station Attendant</t>
  </si>
  <si>
    <t>Automotive body and related repairers    * Auto Body Customizer* Auto Body Technician* Auto Body Worker* Auto Bumper Straightener* Body Shop Worker* Body and Frame Technician* Car Refinisher* Truck Body Repairer* Vehicle Body Sander</t>
  </si>
  <si>
    <t>Automotive glass installers and repairers    * Auto Glass Installer* Auto Glass Mechanic* Automotive Glass Technician* Automotive Glazier* Windshield Installer* Windshield Repair Technician</t>
  </si>
  <si>
    <t>Automotive service technicians and mechanics    * Auto Clutch Rebuilder* Auto Clutch Specialist* Auto Radiator Specialist* Auto Suspension and Steering Mechanic* Auto Transmission Specialist* Automotive Alignment Specialist* Automotive Brake Adjuster* Automotive Brake Specialist* Automotive Brake Technician* Automotive Fuel Injection Servicer* Automotive Fuel Systems Converter* Automotive Specialty Technician* Hybrid Car Mechanic* Motor Tune-Up Specialist</t>
  </si>
  <si>
    <t>Avionics technicians    * Aircraft Armament Mechanic* Aircraft Electrician* Aircraft Instrument Mechanic* Airplane Electrician* Automatic Pilot Mechanic* Aviation Electronics Technician* In-Flight Refueling System Repairer</t>
  </si>
  <si>
    <t>Baggage porters and bellhops    * Baggage Porter* Bell Staff* Bellperson* Bellstaff* Hotel Baggage Handler* Luggage Attendant* Redcap* Skycap</t>
  </si>
  <si>
    <t>Bailiffs    * Bailiff* City Bailiff* County Bailiff* Court Bailiff* Court Officer* Court Security Officer* Deputy Bailiff</t>
  </si>
  <si>
    <t>Bakers    * Bagel Maker* Bread Baker* Dough Maker* Pastry Baker* Pastry Finisher* Pie Baker* Pie Maker</t>
  </si>
  <si>
    <t>Barbers    * Barber* Barber Apprentice* Master Barber</t>
  </si>
  <si>
    <t>Bartenders    * Barkeep* Bartender* Drink Mixer* Mixologist* Taproom Attendant</t>
  </si>
  <si>
    <t>Bicycle repairers    * Bicycle Mechanic* Bicycle Repairer* Bicycle Service Technician* Bike Mechanic</t>
  </si>
  <si>
    <t>Bill and account collectors    * Accounts Collector* Bill Collector* Billing Representative* Collection Agent* Collections Clerk* Collections Representative* Debt Collector* Installment Agent* Installment Loan Collector* Insurance Collector* Payment Collector* Repossessor</t>
  </si>
  <si>
    <t>Billing and posting clerks    * Billing Clerk* Invoice Clerk* Invoice Control Clerk* Patient Account Representative* Posting Clerk* Statement Clerk* Statement Distribution Clerk* Statement Processor</t>
  </si>
  <si>
    <t>Biochemists and biophysicists    * Biochemist* Biological Chemist* Biophysicist* Clinical Biochemist* Physical Biochemist</t>
  </si>
  <si>
    <t>Bioengineers and biomedical engineers    * Bio-Mechanical Engineer* Biochemical Engineer* Biomaterials Engineer* Biomedical Engineer* Dialysis Engineer* Genetic Engineer</t>
  </si>
  <si>
    <t>Biological science teachers, postsecondary    * Anatomy Professor* Bacteriology Professor* Biochemistry Professor* Botany Professor* Embryology Professor* Microbiology Professor* Zoology Professor</t>
  </si>
  <si>
    <t>Biological scientists, all other    * Biologist* Bryologist* Embryologist* Osteologist* Paleobotanist* Phytopathologist* Plant Etiologist</t>
  </si>
  <si>
    <t>Biological technicians    * Bacteriology Technician* Biochemistry Technician* Biology Laboratory Assistant* Marine Fisheries Technician* Microbiology Technician* Wildlife Technician</t>
  </si>
  <si>
    <t>Boilermakers    * Boiler Fitter* Boiler Installer* Boiler Mechanic* Boiler Setter* Boiler Tester* Boilermaker* Boilermaker Mechanic</t>
  </si>
  <si>
    <t>Apprenticeship</t>
  </si>
  <si>
    <t>Bookkeeping, accounting, and auditing clerks    * Accounts Receivable Assistant* Accounts Receivable Clerk* Auditing Clerk* Bookkeeper* Fixed Capital Clerk* Foreign Exchange Position Clerk* Mortgage Accounting Clerk</t>
  </si>
  <si>
    <t>Brickmasons and blockmasons    * Adobe Layer* Block Layer* Blockmason* Brick Chimney Builder* Brick Setter* Bricklayer* Brickmason* Brickmason Apprentice* Firebrick Layer* Furnace Mason* Pottery Kiln Builder* Refractory Bricklayer</t>
  </si>
  <si>
    <t>Bridge and lock tenders    * Bridge Operator* Bridge Tender* Dam Tender* Lighthouse Keeper* Lock and Dam Operator</t>
  </si>
  <si>
    <t>Broadcast announcers and radio disc jockeys    * Commercial Announcer* Game Show Host* Radio Artist* Radio Disk Jockey* Radio Host* Talk Show Host* Television Host</t>
  </si>
  <si>
    <t>Broadcast technicians    * Audio Engineer* Broadcast Engineer* Broadcast Maintenance Engineer* Broadcast Operations Engineer* Radio Station Audio Engineer* Radio/Television Technician* Remote Broadcast Engineer* Telecasting Engineer* Television Audio Engineer</t>
  </si>
  <si>
    <t>Brokerage clerks    * Brokerage Clerk* Brokerage Purchase-and-Sale Clerk* Commodities Clerk* Dividend Clerk* Securities Clerk</t>
  </si>
  <si>
    <t>Budget analysts    * Budget Analyst* Budget Coordinator* Budget Examiner* Budget Officer* Cost Analyst</t>
  </si>
  <si>
    <t>Building cleaning workers, all other    * Building Pressure Washer* Chimney Sweep* Chimney Sweeper</t>
  </si>
  <si>
    <t>Bus and truck mechanics and diesel engine specialists    * Biodiesel Engine Specialist* Diesel Engine Fitter* Diesel Service Technician* Marine Diesel Technician* School Bus Mechanic* Tractor Trailer Mechanic* Truck Engine Technician</t>
  </si>
  <si>
    <t>Bus drivers, transit and intercity</t>
  </si>
  <si>
    <t>Business teachers, postsecondary    * Accounting Professor* Banking and Finance Instructor* Business Administration Professor* Finance Professor* Management Professor* Marketing Instructor* Marketing Professor</t>
  </si>
  <si>
    <t>Butchers and meat cutters    * Butcher* Butcher Apprentice* Halal Butcher* Kosher Butcher* Meat Carver* Meat Clerk* Meat Counter Worker</t>
  </si>
  <si>
    <t>Buyers and purchasing agents</t>
  </si>
  <si>
    <t>Cabinetmakers and bench carpenters    * Cabinet Builder* Cabinetmaker* Marquetry Worker* Wood Furniture Assembler* Wood Working Assembler</t>
  </si>
  <si>
    <t>Calibration technologists and technicians and engineering technologists and technicians, except drafters, all other</t>
  </si>
  <si>
    <t>Camera and photographic equipment repairers    * Aircraft Photographic Equipment Repairer* Camera Machinist* Camera Repair Technician* Camera Repairer* Photographic Equipment Technician</t>
  </si>
  <si>
    <t>Camera operators, television, video, and film    * Cinematographer* Electronic News Gathering Camera Operator* Motion Picture Camera Operator* Movie Shot Camera Operator* News Camera Operator* News Videographer* Television Camera Operator* Video Camera Operator</t>
  </si>
  <si>
    <t>Captains, mates, and pilots of water vessels    * Barge Captain* Barge Master* Boat Pilot* Car Ferry Captain* Car Ferry Master* Coastal Tug Mate* Deck Officer* Docking Pilot* Ferry Boat Captain* Ferry Captain* Ferryboat Captain* First Mate* Harbor Boat Pilot* Harbor Pilot* Harbor Tug Captain* Port Captain* River Boat Captain* River Pilot* Sailboat Captain* Ship Harbor Pilot* Tow Boat Captain* Towboat Pilot* Tug Boat Captain* Tugboat Captain* Tugboat Mate* Tugboat Operator* Tugboat Pilot</t>
  </si>
  <si>
    <t>Cardiovascular technologists and technicians    * Cardiac Catheterization Laboratory Technologist* Cardiac Catheterization Technologist* Cardiac Monitor Technician* Cardiac Technician* Cardiopulmonary Technologist* Cardiovascular Interventional Technologist* Cardiovascular Technologist* EKG Technician* Echocardiogram Technician* Echocardiographer* Echocardiographic Technologist* Echocardiography Technician* Echocardiology Technologist* Electrocardiogram Technician* Electrocardiograph Operator* Pulmonary Function Technologist</t>
  </si>
  <si>
    <t>Career/technical education teachers, middle school    * Middle School Vocational Education Teacher</t>
  </si>
  <si>
    <t>Career/technical education teachers, postsecondary    * Architectural Drafting Instructor* Aviation Maintenance Instructor* Barbering Instructor* Barbering Teacher* Building Trades Instructor* Carpentry Instructor* Commercial Art Instructor* Computer Repair Instructor* Computer-Aided Drafting and Design Instructor* Cosmetology Professor* Electrical Technology Instructor* Electronics Technology Instructor* Industrial Electrical Technology Instructor* Industrial Maintenance Instructor* Machine Tool Technician Instructor* Masonry Instructor* Massage Therapy Instructor* Mechanical Maintenance Instructor* Paralegal Instructor* Postsecondary Career and Technical Education Teacher* Residential Construction Instructor* Skin Care Instructor* Upholstery Instructor* Vocational Horticulture Instructor* Welding Instructor</t>
  </si>
  <si>
    <t>Career/technical education teachers, secondary school    * High School Auto Repair Teacher* High School Vocational Education Teacher</t>
  </si>
  <si>
    <t>Cargo and freight agents    * Cargo Agent* Cargo Router* Freight Agent* Freight Shipping Agent* Ramp Service Agent</t>
  </si>
  <si>
    <t>Carpenters    * Beam Builder* Building Carpenter* Construction Carpenter* Counter Installer* Custom Wood Stair Builder* Finish Carpenter* Hardwood Floor Installer* House Carpenter* Wood Floor Layer</t>
  </si>
  <si>
    <t>Carpet installers    * Carpet Installer* Carpet Layer* Commercial Carpet Installer* Residential Carpet Installer* Wall-to-Wall Carpet Installer</t>
  </si>
  <si>
    <t>Cartographers and photogrammetrists    * Cadastral Mapper* Digital Cartographer* Engineer, Photogrammetric* Map Maker* Mapper* Orthophotography Technician* Photo Cartographer* Photogrammetrist* Topographer</t>
  </si>
  <si>
    <t>Cashiers    * Cash Register Operator* Check Out Cashier* Fare Collector* Grocery Checker* Hotel  Dining Room Cashier* Snack Bar Cashier* Toll Booth Operator* Toll Collector</t>
  </si>
  <si>
    <t>Cement masons and concrete finishers    * Cement Mason* Cement Patcher* Concrete Finisher* Concrete Floor Installer* Concrete Mason* Concrete Smoother* Concrete Swimming Pool Installer</t>
  </si>
  <si>
    <t>Chefs and head cooks    * Banquet Chef* Chef De Cuisine* Chef De Froid* Executive Chef* Head Chef* Kitchen Chef* Master Chef* Pastry Chef* Sous Chef* Sushi Chef</t>
  </si>
  <si>
    <t>Chemical engineers    * Absorption and Adsorption Engineer* Chemical Process Engineer* Chemical Research Engineer* Fuels Engineer* Oxidation Engineer* Plastics Engineer* Polymerization Engineer* Refinery Process Engineer</t>
  </si>
  <si>
    <t>Chemical equipment operators and tenders    * Acid Purification Equipment Operator* Chemical Machine Tender* Chemical Process Equipment Operator* Chemical Processor* Chemical Treatment Operator</t>
  </si>
  <si>
    <t>Chemical plant and system operators    * Chemical Plant Operator* Chemical Treatment Plant Technician* Nitric Acid Plant Operator* Nitrogen Operator* Pharmaceutical Manufacturing Machine Operator</t>
  </si>
  <si>
    <t>Chemical technicians    * Assayer* Chemical Laboratory Technician* Chemical Technician* Inorganic Chemical Technician</t>
  </si>
  <si>
    <t>Chemistry teachers, postsecondary    * Chemistry Professor* Inorganic Chemistry Professor* Organic Chemistry Professor* Physical Chemistry Professor* Phytochemistry Professor</t>
  </si>
  <si>
    <t>Chemists    * Agricultural Chemist* Analytical Chemist* Bench Chemist* Food Chemist* Formulary Chemist* Industrial Chemist* Inorganic Chemist* Laboratory Chemist* Nuclear Chemist* Organic Chemist* Quality Control Chemist* Research and Development Chemist</t>
  </si>
  <si>
    <t>Chief executives    * CEO* COO* Chief Executive Officer* Chief Operating Officer* Commissioner of Internal Revenue* County Commissioner* Government Service Executive* Governor* Mayor</t>
  </si>
  <si>
    <t>Child, family, and school social workers    * C-CYFSW* Certified Children, Youth, and Family Social Worker* Child Abuse Worker* Child Protective Services Social Worker* Child Protective Services Specialist* Child Welfare Social Worker* Child Welfare Worker* Child and Family Services Worker* Family Preservation Caseworker* Family Preservation Worker* Family Service Caseworker* Foster Care Social Worker* Foster Care Worker* School Social Worker</t>
  </si>
  <si>
    <t>Childcare workers    * Au Pair* Baby Sitter* Before and After School Daycare Worker* Childcare Aide* Childcare Attendant* Childcare Worker* Day Care Attendant* Day Care Worker* Daycare Aide* Daycare Provider* Governess* Nanny* Nursery Day Care Worker* Playground Aide</t>
  </si>
  <si>
    <t>Chiropractors    * Chiropractic Doctor* Chiropractic Physician* Chiropractor</t>
  </si>
  <si>
    <t>Choreographers    * Choreographer* Dance Director* Dance Master</t>
  </si>
  <si>
    <t>Civil engineering technologists and technicians    * Civil Engineering Technician* Concrete Engineering Technician* Geotechnical Engineering Technician* Highway Engineering Technician* Structural Engineering Technician* Transportation Engineering Technician</t>
  </si>
  <si>
    <t>Civil engineers    * Architectural Engineer* Bridge Engineer* Civil Engineer* Construction Engineer* Facilities Engineer* Geotechnical Engineer* Highway Engineer* Hydrographic Engineer* Railroad Design Consultant* Research Hydraulic Engineer* Structural Engineer</t>
  </si>
  <si>
    <t>Claims adjusters, examiners, and investigators    * Claims Analyst* Fire Claims Adjuster* Health Claims Examiner* Health Insurance Adjuster* Independent Insurance Adjuster* Medical Claims Analyst* Medical Claims Examiner* Property Damage Claims Adjustor* Property and Casualty Insurance Claims Examiner* Reinsurance Claims Analyst* Workers Compensation Claims Adjuster* Workers Compensation Claims Examiner</t>
  </si>
  <si>
    <t>Cleaners of vehicles and equipment    * Aircraft Cleaner* Auto Cleaner* Auto Detailer* Automobile Detailer* Beer Coil Cleaner* Boat Detailer* Bus Cleaner* Bus Washer* Car Wash Attendant* Car Washer* Equipment Cleaner* Machine Cleaner* Railroad Car Cleaner* Truck Washer</t>
  </si>
  <si>
    <t>Cleaning, washing, and metal pickling equipment operators and tenders    * Acid Dipper* Bottle Washing Machine Operator* Degreaser Operator* Glass Cleaning Machine Tender* Immersion Metal Cleaner* Metal Pickling Equipment Operator* Pickle House Operator</t>
  </si>
  <si>
    <t>Clergy    * Cantor* Children's Pastor* College Chaplain* Hebrew Cantor* Hospital Chaplain* Imam* Minister* Parish Priest* Pastor* Priest* Rabbi* Reverend* Vicar* Youth Pastor</t>
  </si>
  <si>
    <t>Clinical laboratory technologists and technicians</t>
  </si>
  <si>
    <t>Clinical, counseling, and school psychologists    * Child Psychologist* Child Psychometrist* Clinical Psychologist* Eating Disorder Psychologist* Educational Psychologist* Geropsychologist* Pediatric Psychologist* School Psychologist* School Psychometrist* Vocational Psychologist</t>
  </si>
  <si>
    <t>Coaches and scouts    * Athletic Coach* Baseball Coach* Baseball Scout* Basketball Coach* Boxing Trainer* Coach* Football Coach* Hockey Scout* Ice Skating Coach* Riding Coach* Ski Coach* Tennis Coach* Tennis Instructor</t>
  </si>
  <si>
    <t>Coating, painting, and spraying machine setters, operators, and tenders</t>
  </si>
  <si>
    <t>Coil winders, tapers, and finishers    * Coil Builder* Coil Former* Coil Winder* Motor Rewinder* Motor Winder* Multiple Coil Winder* Rotor Coil Taper* Wire Coiler* Wire Winder* Wire Winding Machine Tender</t>
  </si>
  <si>
    <t>Coin, vending, and amusement machine servicers and repairers    * Arcade Games Mechanic* Coin Box Collector* Juke Box Mechanic* Parking Meter Collector* Slot Machine Mechanic* Slot Technician* Stamp Machine Servicer* Vending Machine Filler</t>
  </si>
  <si>
    <t>Commercial and industrial designers    * Automobile Designer* Bank Note Designer* Bicycle Designer* Car Body Designer* Ceramic Designer* Ceramic Mold Designer* Furniture Designer* Package Designer* Rug Designer* Snowboard Designer* Textile Designer* Tile Designer* Toy Designer</t>
  </si>
  <si>
    <t>Commercial divers    * Commercial Diver* Marine Diver* Non Destructive Testing Underwater Welder* Salvage Diver* Scuba Diver* Submarine Diver* Underwater Welder</t>
  </si>
  <si>
    <t>Commercial pilots    * Aerial Crop Duster* Aerial Hurricane Hunter* Aerial Sprayer* Agricultural Pilot* Air Ambulance Captain* Air Tour Pilot* Balloon Pilot* Charter Pilot (Commercial Pilot Certificate Required)* Charter Pilot (Commercial)* Commercial Helicopter Pilot* Corporate Pilot* EMS Helicopter Pilot* Emergency Medical Service Helicopter Pilot* Emergency Medical Service Rotary Wing Pilot* Executive Pilot* Flight Instructor (Commercial Pilots)* Helicopter Pilot</t>
  </si>
  <si>
    <t>Communications equipment operators, all other    * Communications Equipment Operator* Facsimile Machine Operator* Fax Machine Operator* Telegraph and Teletype Operator* Telex Operator</t>
  </si>
  <si>
    <t>Communications teachers, postsecondary    * Interpersonal Communications Professor* Journalism Professor* Media Arts Professor* Professor of Communication and Writing* Professor of Rhetoric* Public Speaking Professor* Speech Professor</t>
  </si>
  <si>
    <t>Community and social service specialists, all other    * Community Organization Worker* Veterans Service Officer</t>
  </si>
  <si>
    <t>Community health workers    * CHW* Community Health Advisor* Community Health Representative* Community Health Worker* Lay Health Advocate* Peer Health Promoter* Promotor(a)</t>
  </si>
  <si>
    <t>Compensation and benefits managers    * Compensation Director* Employee Benefits Coordinator* Employee Benefits Director* Employee Benefits Manager* Wage and Salary Administrator</t>
  </si>
  <si>
    <t>Compensation, benefits, and job analysis specialists    * Benefits Analyst* Compensation Analyst* Compensation Specialist* Employee Benefits Specialist* Job Analyst* Job Specification Writer* Occupational Analyst* Pension Administrator* Position Classification Specialist* Retirement Plan Specialist</t>
  </si>
  <si>
    <t>Compliance officers    * Air Pollution Compliance Inspector* Compliance Investigator* Driver's License Examiner* EEO Officer* Environmental Compliance Inspector* Equal Employment Opportunity Investigator* Equal Employment Opportunity Officer* Equal Employment Opportunity Representative* Immigration Investigator* Inspector of Weights and Measures* License Inspector* Mortician Investigator* Wage and Hour Investigator</t>
  </si>
  <si>
    <t>Computer and information research scientists</t>
  </si>
  <si>
    <t>Computer and information systems managers    * Application Development Director* Chief Technology Officer* Computer Operations Manager* Computer Security Manager* Data Operations Director* Data Processing Manager* Information Systems Director* Information Systems Manager* Information Technology Director* Information Technology Systems Director* Internet Technology Manager* MIS Director* Management Information Systems Director</t>
  </si>
  <si>
    <t>Computer hardware engineers    * Computer Hardware Designer* Computer Hardware Developer* Computer Hardware Engineer</t>
  </si>
  <si>
    <t>Computer network architects</t>
  </si>
  <si>
    <t>Computer network support specialists</t>
  </si>
  <si>
    <t>Computer numerically controlled tool operators</t>
  </si>
  <si>
    <t>Computer numerically controlled tool programmers</t>
  </si>
  <si>
    <t>Computer occupations, all other</t>
  </si>
  <si>
    <t>Computer programmers</t>
  </si>
  <si>
    <t>Computer science teachers, postsecondary    * C++ Professor* Computer Information Systems Professor* Computer Programming Professor* IT Professor* Information Systems Professor* Information Technology Professor* Java Programming Professor</t>
  </si>
  <si>
    <t>Computer systems analysts</t>
  </si>
  <si>
    <t>Computer user support specialists</t>
  </si>
  <si>
    <t>Computer, automated teller, and office machine repairers    * ATM Servicer* Cash Register Servicer* Computer Repair Technician* Computer Repairer* Computer Service Technician* Copier Technician* Copying Machine Repairer* Data Processing Equipment Repairer* Photocopying Equipment Repairer* Printer Repair Technician</t>
  </si>
  <si>
    <t>Concierges    * Activities Concierge* Club Concierge* Concierge* Conference Concierge* Guest Service Supervisor* Hotel Concierge* Hotel Guest Service Agent</t>
  </si>
  <si>
    <t>Conservation scientists    * Conservation Science Officer* Conservation Scientist* Grassland Conservationist* Land Reclamation Specialist* Land Resource Specialist* Range Conservationist* Range Ecologist* Range Scientist* Resource Conservationist* Soil Conservationist* Water Conservationist</t>
  </si>
  <si>
    <t>Construction and building inspectors    * Architectural Inspector* Bridge Inspector* Building Code Inspector* Building Inspector* Construction Inspector* Electrical Inspector* Elevator Inspector* Highway Inspector* Home Inspector* Plumbing Inspector* Public Works Inspector* Residential Building Inspector</t>
  </si>
  <si>
    <t>Construction laborers    * Air Hammer Operator* Construction Craft Laborer* Construction Laborer* Construction Trench Digger</t>
  </si>
  <si>
    <t>Construction managers    * Construction Coordinator* Construction Superintendent* General Contractor* Masonry Contractor Administrator</t>
  </si>
  <si>
    <t>Continuous mining machine operators    * Continuous Mining Machine Coal Miner* Continuous Mining Machine Lode Miner* Self-Propelled Mining Machine Operator</t>
  </si>
  <si>
    <t>Control and valve installers and repairers, except mechanical door    * Air Valve Mechanic* Electric Meter Installer* Gas Meter Installer* Gas Meter Mechanic* Thermostat Repairer* Valve Mechanic* Water Meter Installer</t>
  </si>
  <si>
    <t>Conveyor operators and tenders    * Ash Conveyor Operator* Assembly Line Tender* Chip Bin Conveyor Tender* Conveyor Belt Operator* Conveyor Tender* Grain Elevator Operator* Packing Line Operator</t>
  </si>
  <si>
    <t>Cooks, all other    * Falafel Cart Cook* Fraternity House Cook</t>
  </si>
  <si>
    <t>Cooks, fast food    * Fast Food Cook* Fast Food Fry Cook* Fryline Attendant</t>
  </si>
  <si>
    <t>Cooks, institution and cafeteria    * Cafeteria Cook* Camp Cook* Galley Cook* Institutional Cook* Mess Cook* School Cook</t>
  </si>
  <si>
    <t>Cooks, private household    * Certified Personal Chef* Personal Chef* Private Chef</t>
  </si>
  <si>
    <t>Cooks, restaurant    * Banquet Cook* Breakfast Cook* Chef De Partie* Line Cook* Saucier* Specialty Cook</t>
  </si>
  <si>
    <t>Cooks, short order    * Griddle Attendant* Griddle Cook* Grill Cook* Short Order Fry Cook* Snack Bar Cook</t>
  </si>
  <si>
    <t>Cooling and freezing equipment operators and tenders    * Ammonia Refrigeration Worker* Chiller Operator* Chiller Tender* Freezer Operator* Refrigerating Machine Operator* Refrigeration Operator</t>
  </si>
  <si>
    <t>Correctional officers and jailers    * Certified Detention Deputy* Convict Guard* Correction Officer* Correctional Guard* Correctional Sergeant* Detention Deputy* Detention Officer* Jail Guard* Juvenile Corrections Officer* Penal Officer* Prison Guard* Prison Officer</t>
  </si>
  <si>
    <t>Correspondence clerks    * Claims Correspondence Clerk* Correspondence Clerk* Correspondence Representative* Correspondence Transcriber* Customer Service Correspondence Clerk* Fan Mail Editor* Medicare Correspondence Representative* Student Loan Correspondent</t>
  </si>
  <si>
    <t>Cost estimators    * Construction Estimator* Construction Job Cost Estimator* Crating and Moving Estimator* Electrical Estimator* Job Estimator* Production Cost Estimator</t>
  </si>
  <si>
    <t>Costume attendants    * Costume Attendant* Theatrical Wardrobe Attendant* Theatrical Wardrobe Dresser* Wardrobe Assistant* Wardrobe Attendant* Wardrobe Custodian* Wardrobe Dresser* Wardrobe Supervisor</t>
  </si>
  <si>
    <t>Counselors, all other    * AIDS Counselor* Anger Control Counselor* Grief Counselor* HIV Counselor* Sexual Assault Counselor</t>
  </si>
  <si>
    <t>Counter and rental clerks    * Airplane Charter Clerk* Apartment Rental Clerk* Automobile Rental Clerk* Bicycle Rental Clerk* Boat Rental Clerk* Car Rental Agent* Dry Cleaning Counter Clerk* Layaway Clerk* Rental Clerk* Storage Facility Rental Clerk* Video Rental Clerk</t>
  </si>
  <si>
    <t>Couriers and messengers    * Bank Courier* Bicycle Messenger* Courier* Court Messenger* Laboratory Courier* Office Messenger* Office Runner</t>
  </si>
  <si>
    <t>Court reporters and simultaneous captioners</t>
  </si>
  <si>
    <t>Court, municipal, and license clerks    * Circuit Court Clerk* City Clerk* Court Clerk* Courtroom Clerk* Deputy Court Clerk* Docket Clerk* Dog Licenser* License Clerk* Motor Vehicle License Clerk* Motor Vehicle Representative* Municipal Clerk* Tax Clerk* Township Clerk* Warrant Clerk</t>
  </si>
  <si>
    <t>Craft artists    * Furniture Artist* Hand Potter* Metal Arts Production Artist* Quilter</t>
  </si>
  <si>
    <t>Crane and tower operators    * Boom Crane Operator* Bridge Crane Operator* Cherry Picker Operator* Coal Tower Operator* Electric Crane Operator* Erecting Crane Operator* Monorail Crane Operator* Overhead Crane Operator* Port Crane Operator* Radio Control Crane Operator* Scrap Crane Operator* Tower Loader Operator* Woodyard Crane Operator</t>
  </si>
  <si>
    <t>Credit analysts    * Chief Credit Analyst* Credit Analyst* Credit Assessment Analyst* Credit Risk Analyst* Factorer</t>
  </si>
  <si>
    <t>Credit authorizers, checkers, and clerks    * Charge Authorizer* Commercial Credit Reviewer* Credit Authorizer* Credit Charge Authorizer* Credit Checker* Credit Investigator* Credit Processor* Credit Rating Checker* Credit Reference Clerk* Credit Report Checker</t>
  </si>
  <si>
    <t>Credit counselors    * Credit Counselor* Debt Management Counselor* Financial Assistance Advisor* Loan Counselor</t>
  </si>
  <si>
    <t>Crematory operators and personal care and service workers, all other</t>
  </si>
  <si>
    <t>Criminal justice and law enforcement teachers, postsecondary    * Criminal Justice Professor* Criminology Professor* Penology Professor</t>
  </si>
  <si>
    <t>Crossing guards and flaggers    * Construction Site Crossing Guard* Crossing Guard* School Crossing Guard* School Traffic Guard</t>
  </si>
  <si>
    <t>Crushing, grinding, and polishing machine setters, operators, and tenders    * Beveling and Edging Machine Operator* Beveller Operator* Blanchard Grinder Operator* Crusher Plant Operator* Cullet Crusher and Washer* Industrial Coffee Grinder* Marble and Granite Polisher* Mix Crusher Operator* Pulverizer Operator</t>
  </si>
  <si>
    <t>Curators    * Collections Curator* Collections and Archives Director* Curator* Educational Institution Curator* Exhibitions and Collections Manager* Herbarium Curator* Museum Curator* Photography and Prints Curator</t>
  </si>
  <si>
    <t>Customer service representatives    * Complaint Clerk* Contact Center Specialist* Customer Complaint Clerk* Customer Contact Specialist* Customer Relations Representative* Customer Support Representative* Gas Distribution and Emergency Clerk* Passenger Relations Representative* Policyholder Information Clerk* Warranty Clerk</t>
  </si>
  <si>
    <t>Cutters and trimmers, hand    * Fur Trimmer* Hand Cloth Cutter* Hand Fabric Cutter* Portable Machine Cutter</t>
  </si>
  <si>
    <t>Cutting and slicing machine setters, operators, and tenders    * Dog Food Shredder Operator* Glass Cutting Machine Operator* Insulation Cutter* Paper Cutter* Paper Slitter* Rubber Trimmer* Shearing Machine Tender* Trimming Operator</t>
  </si>
  <si>
    <t>Cutting, punching, and press machine setters, operators, and tenders, metal and plastic    * Crimping Machine Operator for Metal* Four Slide Machine Setter* Metal Punch Press Operator* Metal Slitter* Metal Stamper</t>
  </si>
  <si>
    <t>Dancers    * Ballerina* Ballet Company Member* Ballet Dancer* Ballet Soloist* Burlesque Dancer* Dance Artist* Dancer* Discotheque Dancer* Exotic Dancer* Go-Go Dancer* Line Dancer* Soft Shoe Dancer* Tap Dancer</t>
  </si>
  <si>
    <t>Data entry keyers    * Customs Entry Clerk* Data Entry Clerk* Data Input Clerk* Data Keyer* Data Processing Clerk* Data Typist* Key Punch Operator* Keypunch Operator* Keypuncher</t>
  </si>
  <si>
    <t>Data scientists and mathematical science occupations, all other</t>
  </si>
  <si>
    <t>Database administrators and architects</t>
  </si>
  <si>
    <t>Demonstrators and product promoters    * Home Demonstrator* Home Service Demonstrator* Hostess Party Sales Representative* In-Store Demonstrator</t>
  </si>
  <si>
    <t>Dental assistants    * Certified Dental Assistant* Dental Aide* Dental Assistant* Expanded Functions Dental Assistant* Orthodontic Assistant* Orthodontist Assistant* Registered Dental Assistant* Surgical Dental Assistant</t>
  </si>
  <si>
    <t>Dental hygienists</t>
  </si>
  <si>
    <t>Dental laboratory technicians    * Crown Ceramist* Crown and Bridge Dental Lab Technician* Crown and Bridge Technician* Dental Ceramist* Dental Laboratory Worker* Dental Mold Maker* Dental Technician* Orthodontic Technician</t>
  </si>
  <si>
    <t>Dentists, all other specialists    * Endodontist* Maxillofacial Pathology* Oral Pathologist* Pediatric Dentist* Pedodontist* Periodontist* Public Health Dentist</t>
  </si>
  <si>
    <t>Dentists, general    * Family Dentist</t>
  </si>
  <si>
    <t>Derrick operators, oil and gas    * Derrick Operator* Gas Derrick Operator* Oil Derrick Operator* Rotary Derrick Operator* Well Service Derrick Worker</t>
  </si>
  <si>
    <t>Designers, all other    * Memorial Marker Designer</t>
  </si>
  <si>
    <t>Desktop publishers    * DTP Operator* Desktop Publisher* Desktop Publishing Specialist* Electronic Console Display Operator* Electronic Imager* Electronic Pagination System Operator* Electronic Publisher* Electronic Publishing Specialist</t>
  </si>
  <si>
    <t>Detectives and criminal investigators    * Criminal Investigator* Deputy United States Marshal* FBI Investigator* Homicide Detective* Narcotics Detective* Narcotics Investigator* Police Detective</t>
  </si>
  <si>
    <t>Diagnostic medical sonographers    * Cardiac/Vascular Sonographer* Diagnostic Medical Sonographer* Registered Diagnostic Medical Sonographer* Sonographer* Ultrasonographer* Ultrasound Technician* Ultrasound Technologist</t>
  </si>
  <si>
    <t>Dietetic technicians    * Clinical Dietetic Technician* Cook Chill Technician* DTR* Dietary Aide* Dietary Technician* Dietetic Technician* Nutrition Technician* Registered Diet Technician</t>
  </si>
  <si>
    <t>Dietitians and nutritionists    * Clinical Dietitian* Dietitian* Nutritionist* Pediatric Dietician* Public Health Dietitian* Public Health Nutritionist* Research Dietitian* Sports Nutritionist* Therapeutic Dietitian</t>
  </si>
  <si>
    <t>Dining room and cafeteria attendants and bartender helpers    * Banquet Set Up Person* Bar Back* Barback* Buffet Attendant* Bus Person* Busser* Lunchroom Attendant</t>
  </si>
  <si>
    <t>Directors, religious activities and education    * Campus Ministry Director* Christian Education Minister* Education Minister* Parish Religious Education Director* Religious Activities Director* Religious Education Coordinator* Religious Education Director* Student Ministries Director* Youth Ministry Director</t>
  </si>
  <si>
    <t>Dishwashers    * Dish Room Worker* Dishwasher* Silverware Cleaner</t>
  </si>
  <si>
    <t>Dispatchers, except police, fire, and ambulance    * Airplane Dispatch Clerk* Auto Service Dispatcher* Bus Dispatcher* Crew Dispatcher* Maintenance Dispatcher* School Bus Dispatcher* Taxicab Dispatcher* Tow Truck Dispatcher* Train Dispatcher* Truck Dispatcher</t>
  </si>
  <si>
    <t>Door-to-door sales workers, news and street vendors, and related workers    * Newspaper Carrier* Newstand Vendor* Peddler* Souvenir Street Vendor</t>
  </si>
  <si>
    <t>Drafters, all other    * Blueprint Tracer* Drafting Layout Worker* Draughtsman* Geological Drafter* Marine Drafter</t>
  </si>
  <si>
    <t>Dredge operators    * Dredge Deckhand* Dredge Engineer* Dredge Mate* Dredge Operator* Dredger</t>
  </si>
  <si>
    <t>Drilling and boring machine tool setters, operators, and tenders, metal and plastic    * Bore Mill Operator for Plastic* Boring Mill Operator for Metal* Drill Press Operator for Metal* Horizontal Boring Mill Operator for Metal* Radial Drill Operator for Plastic* Radial Drill Press Operator for Plastic* Reaming Machine Operator for Plastic</t>
  </si>
  <si>
    <t>Driver/sales workers    * Bakery Deliverer* Bobtailer* Delivery Sales worker* Newspaper Deliverer* Newspaper Delivery Driver* Pizza Delivery Driver* Route Sales Person* Route Salesperson* Sales Route Driver</t>
  </si>
  <si>
    <t>Drywall and ceiling tile installers    * Acoustical Ceiling Installer* Drywall Applicator* Drywall Finisher* Drywall Hanger* Drywall Installer* Drywall Sander* Drywall Stripper* Drywall Worker* Sheet Rock Applier* Sheet Rock Hanger* Sheet Rock Installer* Sheet Rock Worker</t>
  </si>
  <si>
    <t>Earth drillers, except oil and gas; and explosives workers, ordnance handling experts, and blasters</t>
  </si>
  <si>
    <t>Economics teachers, postsecondary    * Agricultural Economics Professor* Econometrics Professor* Industrial Economics Professor* Labor Economics Professor* Macroeconomics Professor* Microeconomics Professor</t>
  </si>
  <si>
    <t>Economists    * Agricultural Economist* Econometrician* Economic Development Specialist* Economic Research Analyst* Economist* Environmental Economist* Industrial Economist* Labor Economist* Price Economist* Social Economist* Tax Economist* Trade Economist</t>
  </si>
  <si>
    <t>Editors    * Advertising Editor* Art Editor* Book Editor* Copy Desk Chief* Copy Editor* Index Editor* Manuscript Editor* Newspaper Photo Editor* Publications Editor* Rewrite Editor* Scientific Publications Editor* Sports Editor* Technical Editor</t>
  </si>
  <si>
    <t>Education administrators, all other</t>
  </si>
  <si>
    <t>Education administrators, kindergarten through secondary    * Elementary School Principal* High School Principal* Junior High School Principal* K-12 School Principal* K-8 School Principal* Middle School Principal* Secondary School Principal</t>
  </si>
  <si>
    <t>Education administrators, postsecondary    * Adult Basic Education Manager* Continuing Education Director* Graduate School Dean* Graduate Studies Dean* Provost* University Administrator* University Dean</t>
  </si>
  <si>
    <t>Education and childcare administrators, preschool and daycare    * Childcare Center Administrator* Childcare Center Director* Early Head Start Director* Head Start Director* Prekindergarten Program Coordinator* Preschool Director</t>
  </si>
  <si>
    <t>Education teachers, postsecondary    * Counselor Education Professor* Literacy Education Professor* Mathematics Education Professor* Primary Education Professor* Science Education Professor* Secondary Education Professor* Special Education Professor</t>
  </si>
  <si>
    <t>Educational instruction and library workers, all other    * General Educational Development (GED) Examiner* Individualized Education Plan (IEP) Aide* Scholastic Aptitude Test (SAT) Grader</t>
  </si>
  <si>
    <t>Educational, guidance, and career counselors and advisors    * Career Counselor* Career Technical Counselor* Education Counselor* International Student Counselor* School Adjustment Counselor* School Guidance Counselor* Student Advisor* Student Development Advisor* Student Services Counselor* Student Success Counselor* Study Abroad Advisor* Vocational Adviser</t>
  </si>
  <si>
    <t>Electric motor, power tool, and related repairers    * AC/DC Rewinder* Armature Rewinder* Battery Repairer* Dynamo Repairer* Electric Motor Fitter* Electric Motor Rewinder* Electrical Parts Reconditioner</t>
  </si>
  <si>
    <t>Electrical and electronic engineering technologists and technicians    * Electrical Design Technician* Electrical Engineering Technician* Electrical Power Station Technician* Electronic Instrument Testing Technician* Lighting Engineering Technician* Programmable Logic Controller Programmer* Semiconductor Development Technician</t>
  </si>
  <si>
    <t>Electrical and electronics drafters    * Circuit Board Drafter* Electrical Computer Aided Design and Drafting Technician* Electrical Drafter* Electrical Systems Drafter* Electronic Drafter* Printed Circuit Board Drafter</t>
  </si>
  <si>
    <t>Electrical and electronics installers and repairers, transportation equipment    * Locomotive Electrician* Marine Electronics Repairer* Marine Electronics Technician</t>
  </si>
  <si>
    <t>Electrical and electronics repairers, commercial and industrial equipment    * Industrial Aerial Installer* Industrial Robotics Mechanic* Missile Pad Mechanic* Public Address System Mechanic</t>
  </si>
  <si>
    <t>Electrical and electronics repairers, powerhouse, substation, and relay    * Generating Station Mechanic* Power Transformer Repairer* Powerhouse Electrician* Protective Relay Technician* Relay Technician* Substation Electrician* Substation Mechanic</t>
  </si>
  <si>
    <t>Electrical engineers    * Electrical Design Engineer* Electrical Engineer* Electrical Systems Engineer* Illuminating Engineer* Power Distribution Engineer</t>
  </si>
  <si>
    <t>Electrical power-line installers and repairers    * Electric Powerline Examiner* Electric Utility Lineworker* Electrical High Tension Tester* Electrical Lineworker* Power Lineworker* Underground Conduit Installer</t>
  </si>
  <si>
    <t>Electrical, electronic, and electromechanical assemblers, except coil winders, tapers, and finishers</t>
  </si>
  <si>
    <t>Electricians    * Chief Electrician* Control Electrician* Electrical Maintenance Worker* Electrical Sign Wirer* House Wirer* Licensed Electrician* Lighting Fixture Installer* Marine Electrician* Master Electrician* Solar Photovoltaic Electrician* Stage Electrician</t>
  </si>
  <si>
    <t>Electro-mechanical and mechatronics technologists and technicians    * Remotely Piloted Vehicle Engineering Technician* Robotics Testing Technician</t>
  </si>
  <si>
    <t>Electronic equipment installers and repairers, motor vehicles    * Auto Electrician* Auto Phone Installer* Auto Radio Mechanic* Automotive Electrician* Car Alarm Installer* Car Stereo Installer* GPS Car Navigation Installer* Mobile Electronics Installation Specialist</t>
  </si>
  <si>
    <t>Electronics engineers, except computer    * Antenna Engineer* Circuit Design Engineer* Electronic Design Automation Engineer* Electronic Engineer* Electronic Parts Designer* Telecommunication Engineer</t>
  </si>
  <si>
    <t>Elementary school teachers, except special education    * 3rd Grade Reading Teacher* 4th Grade Math Teacher* Elementary School Band Director* Elementary School Teacher* Grades 1 Thru 5 Teacher</t>
  </si>
  <si>
    <t>Elevator and escalator installers and repairers    * Elevator Adjuster* Elevator Constructor* Elevator Installer* Elevator Mechanic* Elevator Repair and Maintenance Technician* Elevator Service Technician* Escalator Installer* Escalator Mechanic* Escalator Service Mechanic* Freight Elevator Erector* Hydraulic Elevator Constructor</t>
  </si>
  <si>
    <t>Eligibility interviewers, government programs    * Medicare Interviewer* Public Housing Interviewer* Social Security Benefits Interviewer* Unemployment Benefits Claims Taker* Welfare Interviewer</t>
  </si>
  <si>
    <t>Embalmers    * Anatomical Embalmer* Arterial Embalmer* Embalmer Apprentice* Licensed Embalmer* Restorative Art Embalmer</t>
  </si>
  <si>
    <t>Emergency management directors    * Director of Civil Defense* Disaster Response Director* EMS Director* Emergency Management System Director* Emergency Planner* Emergency Planning and Response Manager* Emergency Preparedness Coordinator* Emergency Services Director* Emergency Services Program Coordinator* Public Safety Director</t>
  </si>
  <si>
    <t>Emergency medical technicians and paramedics</t>
  </si>
  <si>
    <t>Engine and other machine assemblers    * Aircraft Engine Assembler* Assembling Motor Builder* Clutch Housing Assembler* Engine Builder* Gas Turbine Assembler* Generator Assembler* Jet Engine Assembler* Machine Builder* Sewing Machine Assembler* Steam Turbine Assembler* Truck Transmission Assembler* Truck Transmission Builder</t>
  </si>
  <si>
    <t>Engineering teachers, postsecondary    * Aeronautical Engineering Professor* Ceramic Engineering Professor* Chemical Engineering Professor* Civil Engineering Professor* Electrical Engineering Professor* Electronics Engineering Professor* Industrial Engineering Professor* Manufacturing Engineering Professor* Marine Engineering Professor* Mechanical Engineering Professor* Petroleum Engineering Professor</t>
  </si>
  <si>
    <t>Engineers, all other    * Corrosion Control Engineer* Mathematical Engineer* Optical Engineer* Ordnance Engineer* Photonics Engineer* Salvage Engineer</t>
  </si>
  <si>
    <t>English language and literature teachers, postsecondary    * Children's Literature Professor* Composition Professor* Contemporary English Literature Professor* Creative Writing English Professor* Etymology Professor* Medieval English Literature Professor* Seventeenth-Century English Literature Professor* Victorian Literature Professor</t>
  </si>
  <si>
    <t>Entertainment attendants and related workers, all other    * Jockey Valet</t>
  </si>
  <si>
    <t>Environmental engineering technologists and technicians    * Air Analysis Engineering Technician* Environmental Remediation Engineering Technician* Environmental Technician* Pollution Control Engineering Technician</t>
  </si>
  <si>
    <t>Environmental engineers    * Air Pollution Control Engineer* Environmental Engineer* Environmental Remediation Engineer* Hazardous Substances Engineer* Hazardous Waste Management Control Engineer* Pollution Control Engineer* Soil Engineer* Waste Management Engineer* Wastewater Treatment Engineer* Water Treatment Plant Engineer</t>
  </si>
  <si>
    <t>Environmental science and protection technicians, including health</t>
  </si>
  <si>
    <t>Environmental science teachers, postsecondary    * Environmental Science Professor* Environmental Science, Management and Policy Professor* Environmental Studies Professor</t>
  </si>
  <si>
    <t>Environmental scientists and specialists, including health    * Ecological Modeler* Environmental Analyst* Environmental Scientist* Hazardous Substances Scientist* Health Environmentalist* Water Pollution Scientist* Water Quality Analyst</t>
  </si>
  <si>
    <t>Epidemiologists    * Clinical Epidemiologist* Communicable Disease Specialist* Environmental Epidemiologist* Epidemiology Investigator* Malariologist* Medical Epidemiologist* Pharmacoepidemiologist</t>
  </si>
  <si>
    <t>Etchers and engravers    * Engraver* Glass Etcher* Laser Engraver* Machine Engraver* Metal Engraver* Pantograph Engraver* Rotary Engraver* Rubber Engraver</t>
  </si>
  <si>
    <t>Excavating and loading machine and dragline operators, surface mining</t>
  </si>
  <si>
    <t>Executive secretaries and executive administrative assistants    * Executive Assistant</t>
  </si>
  <si>
    <t>Exercise physiologists    * Applied Exercise Physiologist* Clinical Exercise Physiologist* Kinesiotherapist</t>
  </si>
  <si>
    <t>Exercise trainers and group fitness instructors    * Aerobics Instructor* Certified Personal Trainer* Fitness Trainer* Group Exercise Instructor* Group Fitness Instructor* Personal Fitness Trainer* Personal Trainer* Weight Trainer* Weight Training Instructor* Yoga Instructor* Yoga Teacher</t>
  </si>
  <si>
    <t>Extruding and drawing machine setters, operators, and tenders, metal and plastic    * Wire Drawing Machine Tender* Wire Mill Rover</t>
  </si>
  <si>
    <t>Extruding and forming machine setters, operators, and tenders, synthetic and glass fibers    * Drawbench Operator* Fiber Machine Tender* Synthetic Filament Extruder</t>
  </si>
  <si>
    <t>Extruding, forming, pressing, and compacting machine setters, operators, and tenders    * Bowling Ball Molder* Brick Maker* Cigarette Stamper* Extrusion Press Operator* Paper Baling Machine Operator* Rubber Extrusion Operator* Sugar Presser* Tuber Operator</t>
  </si>
  <si>
    <t>Fabric and apparel patternmakers    * Clothing Patternmaker* Embroidery Patternmaker* Fabric Pattern Grader</t>
  </si>
  <si>
    <t>Fallers    * Lumberjack* Pulpwood Cutter* Timber Cutter* Timber Faller* Timber Feller</t>
  </si>
  <si>
    <t>Family and consumer sciences teachers, postsecondary    * Family Resource Management Professor* Family and Consumer Sciences Professor* Home and Family Living Professor* Weaving Professor</t>
  </si>
  <si>
    <t>Family medicine physicians</t>
  </si>
  <si>
    <t>Farm and home management educators    * 4-H Youth Development Specialist* Agricultural Agent* Agricultural Extension Educator* Extension Service Advisor* Family Resource Management Specialist* Family and Consumer Sciences Extension Agent* Farm Business Management Agent* Farm Management Specialist* Feed Management Advisor* Home Economics Expert</t>
  </si>
  <si>
    <t>Farm equipment mechanics and service technicians    * Agricultural Equipment Mechanic* Combine Mechanic* Dairy Equipment Mechanic* Dairy Equipment Repairer* Harvester Mechanic* Irrigation Equipment Mechanic* Milking Machine Mechanic* Tractor Mechanic</t>
  </si>
  <si>
    <t>Farm labor contractors    * Farm Labor Contractor* Harvesting Contractor</t>
  </si>
  <si>
    <t>Farmers, ranchers, and other agricultural managers    * Agricultural Crop Farm Manager* Animal Husbandry Manager* Aquaculture Farm Manager* Beef Farm Operator* Christmas Tree Farm Manager* Dairy Farm Manager* Fish Hatchery Manager* Greenhouse Manager* Hatchery Manager* Orchard Manager</t>
  </si>
  <si>
    <t>Farmworkers and laborers, crop, nursery, and greenhouse    * Cane Cutter* Carrot Harvester* Citrus Picker* Corn Picker* Cotton Picker* Crop Picker* Flower Picker* Greenhouse Transplanter* Harvest Worker* Harvester* Orchard Hand* Orchard Worker* Pecan Gatherer* Pepper Picker* Vineyard Tender</t>
  </si>
  <si>
    <t>Farmworkers, farm, ranch, and aquacultural animals    * Aquaculture Worker* Barn Hand* Barn Worker* Cattle Brander* Cattle Driver* Chicken Handler* Chicken Vaccinator* Cow Tender* Egg Gatherer* Farrowing Worker* Goat Herder* Groom* Hatchery Worker* Livestock Handler* Poultry Debeaker* Ranch Hand* Sheep Shearer* Shrimp Pond Laborer</t>
  </si>
  <si>
    <t>Fashion designers    * Apparel Designer* Clothes Designer* Clothing Designer* Costume Designer* Custom Furrier* Dance Costume Designer* Dress Designer* Fashion Designer* Hat Designer* Sweater Designer* Uniform Designer</t>
  </si>
  <si>
    <t>Fast food and counter workers</t>
  </si>
  <si>
    <t>Fence erectors    * Chain Link Fence Installer* Fence Builder* Fence Erector* Wire Fence Builder* Wood Fence Installer</t>
  </si>
  <si>
    <t>Fiberglass laminators and fabricators</t>
  </si>
  <si>
    <t>File clerks    * Cut File Clerk* Document Clerk* File Clerk* File Keeper* Index Clerk* Records Clerk</t>
  </si>
  <si>
    <t>Film and video editors    * Cue Selector* Electronic News Gathering Editor* Film Editor* Movie Editor* News Video Editor* News Videotape Editor* Tape Editor* Television News Video Editor* Video Tape Transferrer</t>
  </si>
  <si>
    <t>Financial and investment analysts, financial risk specialists, and financial specialists, all other</t>
  </si>
  <si>
    <t>Financial clerks, all other    * Bank Vault Attendant* Bank Vault Clerk* Bank Vault Custodian* Financial Operations Clerk* Financial Reserve Clerk* Safe Deposit Clerk* Safety Deposit Clerk* Vault Teller</t>
  </si>
  <si>
    <t>Financial examiners    * Bank Compliance Officer* Bank Examiner* Financial Compliance Examiner* Home Mortgage Disclosure Act Specialist* Payroll Examiner* Pension Examiner</t>
  </si>
  <si>
    <t>Financial managers    * Banking Center Manager* Banking Manager* City Comptroller* City Treasurer* Comptroller* Credit Manager* Financial Director* Financial Officer* Fiscal Manager* International Bank Manager* Residential Mortgage Manager</t>
  </si>
  <si>
    <t>Fine artists, including painters, sculptors, and illustrators    * Book Illustrator* Caricature Artist* Comic Artist* Comic Book Artist* Comic Illustrator* Commercial Artist* Concrete Sculptor* Editorial Cartoonist* Fashion Illustrator* Free Lance Artist* Fresco Artist* Glass Artist* Ice Sculptor* Medical Illustrator* Mural Painter* Muralist* Non-Representational Metal Sculptor* Oil Painter* Pattern Illustrator* Political Cartoonist* Portrait Artist* Portrait Painter* Scientific Illustrator* Sketch Artist* Sports Cartoonist* Stained Glass Artist* Water Colorist* Watercolor Artist</t>
  </si>
  <si>
    <t>Fire inspectors and investigators    * Arson Investigator* CFEI* Certified Fire Investigator* Certified Fire and Explosion Investigator* Certified Vehicle Fire Investigator* Fire Hazard Inspector* Fire Investigator* Fire Prevention Inspector* Fire Safety Inspector</t>
  </si>
  <si>
    <t>Firefighters    * Fire Engine Pump Operator* Fire Equipment Operator* Fire Fighter* Forest Firefighter* Marine Firefighter* Municipal Firefighter* Smoke Jumper* Wildland Firefighter</t>
  </si>
  <si>
    <t>First-line supervisors of construction trades and extraction workers    * Carpenter Supervisor* Drilling Foreman* Electrician Supervisor* Excavating Supervisor* Quarry Boss* Rig Supervisor* Roustabout Crew Leader* Segmental Paving Supervisor* Solar Panel Installation Supervisor</t>
  </si>
  <si>
    <t>First-line supervisors of correctional officers    * Chief Jailer* Correctional Officer Sergeant* Correctional Supervisor* Corrections Sergeant* Prison Guard Supervisor</t>
  </si>
  <si>
    <t>First-line supervisors of farming, fishing, and forestry workers    * Animal Caretaker Supervisor* Aquacultural Worker Supervisor* Corn Crop Supervisor* Corral Boss* Cranberry Bog Supervisor* Farm Supervisor* Farrowing Manager* Feed Manager* Fish Hatchery Supervisor* Harvest Crew Supervisor* Harvest Manager* Logging Crew Supervisor* Picking Crew Supervisor* Planting Supervisor* Ranch Hand Supervisor</t>
  </si>
  <si>
    <t>First-line supervisors of firefighting and prevention workers    * Fire Lieutenant* Municipal Fire Fighting and Prevention Supervisor* Supervising Fire Marshal</t>
  </si>
  <si>
    <t>First-line supervisors of food preparation and serving workers    * Banquet Supervisor* Bar Manager* Cafeteria Manager* Dairy Bar Manager* Food Service Supervisor* Head Waiter* Head Waitress* Kitchen Supervisor</t>
  </si>
  <si>
    <t>First-line supervisors of gambling services workers</t>
  </si>
  <si>
    <t>First-line supervisors of housekeeping and janitorial workers    * Building Cleaning Supervisor* Cleaning Staff Supervisor* Custodial Supervisor* Head Custodian* Head School Custodian* Janitor Supervisor* Maid Supervisor* Maintenance and Custodian Supervisor</t>
  </si>
  <si>
    <t>First-line supervisors of landscaping, lawn service, and groundskeeping workers    * Gardening Supervisor* Greenskeeper Supervisor* Grounds Crew Supervisor* Grounds Foreman* Grounds Maintenance Supervisor* Head Greenskeeper* Horticultural Services Supervisor* Landscape Installation Foreman* Turf and Grounds Supervisor</t>
  </si>
  <si>
    <t>First-line supervisors of mechanics, installers, and repairers    * Automobile Body Repair Supervisor* Body Shop Supervisor* Electronic Maintenance Supervisor* Fleet Maintenance Supervisor* Heating, Ventilation, and Air Conditioning Supervisor* Oil Field Equipment Mechanic Supervisor* Railroad Car Repair Supervisor* Repair Department Supervisor</t>
  </si>
  <si>
    <t>First-line supervisors of non-retail sales workers    * Blood Donor Recruiter Supervisor* Insurance Sales Supervisor* Radio Time Sales Supervisor* Real Estate Sales Supervisor* Stock Broker Supervisor* Telemarketer Supervisor* Telemarketing Manager* Telesales Supervisor</t>
  </si>
  <si>
    <t>First-line supervisors of office and administrative support workers    * Accounts Payable Supervisor* Billing Department Supervisor* Billing Supervisor* Clerical Supervisor* Data Entry Supervisor* Medical Billing Supervisor* Office Services Supervisor* Payroll Supervisor* Records Supervisor* Teller Supervisor* Timekeeping Supervisor</t>
  </si>
  <si>
    <t>First-line supervisors of personal service and entertainment and recreation workers, except gambling services</t>
  </si>
  <si>
    <t>First-line supervisors of police and detectives    * Commanding Officer Homicide Squad* Detective Lieutenant* Detective Supervisor* Police Lieutenant* Traffic Lieutenant* Traffic Sergeant</t>
  </si>
  <si>
    <t>First-line supervisors of production and operating workers    * Assembly Line Supervisor* Assembly Supervisor* Die Cast Supervisor* Machine Assembler Supervisor* Machinist Supervisor* Molding Supervisor* Paper Machine Supervisor* Printing Supervisor* Printing Worker Supervisor* Tool Room Supervisor</t>
  </si>
  <si>
    <t>First-line supervisors of retail sales workers    * Assistant Store Manager* Cashier Manager* Cashier Supervisor* Delicatessen Department Manager* Produce Department Supervisor* Sales Clerk Supervisor* Used Car Sales Supervisor</t>
  </si>
  <si>
    <t>First-line supervisors of transportation and material-moving workers, except aircraft cargo handling supervisors</t>
  </si>
  <si>
    <t>Fish and game wardens    * Conservation Enforcement Officer* Fish Warden* Fish and Game Warden* Fish and Wildlife Warden* Game Warden* Wildlife Control Agent* Wildlife Officer* Wildlife and Game Protector</t>
  </si>
  <si>
    <t>Fishing and hunting workers</t>
  </si>
  <si>
    <t>Flight attendants    * Airline Flight Attendant* Airplane Flight Attendant* Flight Steward</t>
  </si>
  <si>
    <t>Floor layers, except carpet, wood, and hard tiles    * Composition Floor Layer* Cork Floor Installer* Laminate Floor Installer* Linoleum Installer* Resilient Tile Installer* Shock-Absorption Floor Layer* Vinyl Flooring Installer* Vinyl Installer</t>
  </si>
  <si>
    <t>Floor sanders and finishers    * Floor Finisher* Floor Refinisher* Floor Sander* Floor Sanding Machine Operator* Floor Scraper* Hardwood Finisher</t>
  </si>
  <si>
    <t>Floral designers    * Corsage Maker* Floral Arranger* Floral Artist* Floral Decorator* Florist* Florist Designer* Flower Arranger</t>
  </si>
  <si>
    <t>Food and tobacco roasting, baking, and drying machine operators and tenders    * Bean Roaster* Coffee Roaster* Fish Smoker* Food Dehydrator Operator* Grain Roaster* Malt House Kiln Operator* Meat Curer* Meat Smoker* Sausage Smoker* Smokehouse Worker* Tobacco Drier Operator</t>
  </si>
  <si>
    <t>Food batchmakers    * Almond Paste Mixer* Candy Maker* Candy Puller* Cheese Processor* Cottage Cheese Maker* Dough Scaler and Mixer* Frozen Yogurt Maker* Honey Blender* Ice Cream Maker* Liquid Sugar Fortifier* Peanut Butter Maker* Pickle Maker* Relish Maker* Taffy Puller</t>
  </si>
  <si>
    <t>Food cooking machine operators and tenders    * Doughnut Machine Operator* Dumpling Machine Operator* Fish Fryer* Food Cooking Machine Operator* Kettle Fry Cook Operator* Pierogi Maker* Potato Chip Frier* Tripe Cooker</t>
  </si>
  <si>
    <t>Food preparation and serving related workers, all other    * Kitchen Steward</t>
  </si>
  <si>
    <t>Food preparation workers    * Deli Clerk* Deli Slicer* Food Preparer* Fruit and Vegetable Parer* Salad Maker* Sandwich Maker</t>
  </si>
  <si>
    <t>Food processing workers, all other    * Olive Pitter* Pasta Press Operator* Poultry Hanger* Yeast Maker</t>
  </si>
  <si>
    <t>Food scientists and technologists    * Dairy Bacteriologist* Enologist* Food Preservation Scientist* Food Processing Scientist* Food Safety Scientist* Food Scientist* Food Technologist</t>
  </si>
  <si>
    <t>Food servers, nonrestaurant    * Boat Hop* Hospital Food Service Worker* Room Service Food Server</t>
  </si>
  <si>
    <t>Food service managers    * Banquet Director* Banquet Manager* Cafeteria Director* Food Service Director* Food Service Manager* Food and Beverage Manager* Restaurant General Manager* Tavern Operator</t>
  </si>
  <si>
    <t>Foreign language and literature teachers, postsecondary    * Arabic Professor* Biblical Languages Professor* Chinese Language Professor* French Professor* German Professor* Greek Professor* Hebrew Professor* Japanese Professor* Russian Language Professor* Spanish Literature Professor</t>
  </si>
  <si>
    <t>Forensic science technicians    * Ballistic Technician* Ballistician* Ballistics Expert* Crime Lab Technician* Crime Scene Technician* Criminalist Technician* Fingerprint Expert* Forensic Analyst* Forensic Science Technician* Handwriting Expert* Trace Evidence Technician* Wildlife Forensic Geneticist</t>
  </si>
  <si>
    <t>Forest and conservation technicians</t>
  </si>
  <si>
    <t>Forest and conservation workers    * Forest Nursery Worker* Forester Aide* Forestry Laborer* Rangelands Conservation Laborer* Reforestation Worker* Seedling Puller* Wetlands Conservation Laborer</t>
  </si>
  <si>
    <t>Forest fire inspectors and prevention specialists    * Environmental Protection Fire Control Officer* Fire Control Officer* Fire Operations Forester* Fire Ranger* Forest Fire Control Officer* Forest Fire Officer* Wildfire Prevention Specialist* Wildland Fire Operations Specialist</t>
  </si>
  <si>
    <t>Foresters    * Environmental Protection Forester* Forest Ecologist* Forestry Scientist* Land Management Forester* Operations Forester* Resource Forester* Service Forester* Timber Management Specialist* Urban Forester</t>
  </si>
  <si>
    <t>Forestry and conservation science teachers, postsecondary    * Ecology Professor* Environmental Conservation Professor* Forest Biometrics Professor* Forest Ecology Professor* Forest Management Professor* Forest Pathology Professor* Forest Resources Professor* Forest Technology Professor* Silviculture Professor* Timber Management Professor* Wildlife Conservation Professor</t>
  </si>
  <si>
    <t>Forging machine setters, operators, and tenders, metal and plastic    * Cold Header Operator* Forging Roll Operator* Header Setup Operator* Spike Machine Operator* Swager Operator* Swaging Machine Operator</t>
  </si>
  <si>
    <t>Foundry mold and coremakers    * Airset Caster* Airset Molder* Core Stripper* Foundry Molder* Green Sand Molder* No Bake Molder* Sand Molder* Wax Pattern Coater</t>
  </si>
  <si>
    <t>Fundraisers    * Campaign Fundraiser* Donor Relations Officer* Fundraising Officer</t>
  </si>
  <si>
    <t>Funeral attendants    * Funeral Assistant* Funeral Attendant* Funeral Greeter* Funeral Home Assistant* Funeral Home Associate* Mortician Helper* Pallbearer* Undertaker Helper</t>
  </si>
  <si>
    <t>Funeral home managers</t>
  </si>
  <si>
    <t>Furnace, kiln, oven, drier, and kettle operators and tenders    * Calciner Operator* Dry Kiln Operator* Induction Furnace Operator* Lime Kiln Operator* Lumber Kiln Operator* Rubber Curer* Soap Drier Tender* Tunnel Kiln Operator</t>
  </si>
  <si>
    <t>Furniture finishers    * Cabinet Finisher* Furniture Refinisher* Furniture Sander* Piano Refinisher* Wood Cabinet Finisher</t>
  </si>
  <si>
    <t>Gambling and sports book writers and runners    * Betting Clerk* Bookie* Casino Floor Runner* Keno Runner* Keno Writer* Race Book Writer* Race and Sports Book Writer* Sports Book Board Attendant* Sportsbook Ticket Writer</t>
  </si>
  <si>
    <t>Gambling cage workers    * Cage Cashier* Casino Cage Cashier* Casino Cashier* Gaming Cage Cashier* Gaming Cashier</t>
  </si>
  <si>
    <t>Gambling change persons and booth cashiers    * Mutuel Teller* Slot Attendant</t>
  </si>
  <si>
    <t>Gambling dealers    * 21 Dealer* Blackjack Dealer* Casino Dealer* Casino Games Dealer* Craps Dealer* Keno Dealer* Poker Dealer* Roulette Dealer* Table Games Dealer</t>
  </si>
  <si>
    <t>Gambling managers    * Bingo Manager* Casino Manager* Gaming Department Head* Gaming Director* Gaming Manager* Slot Operations Director* Slots Manager* Table Games Manager</t>
  </si>
  <si>
    <t>Gambling service workers, all other    * Card Table Attendant* Pit Clerk* Poker Prop Player* Proposition Player* Shill</t>
  </si>
  <si>
    <t>Gambling surveillance officers and gambling investigators    * Casino Investigator* Casino Surveillance Officer* Gambling Monitor* Gaming Surveillance Observer* Gaming Surveillance Officer</t>
  </si>
  <si>
    <t>Gas compressor and gas pumping station operators    * Acetylene Gas Compressor* Butane Compressor Operator* Compressor Station Operator* Gas Compressor Operator* Gas Cylinder Processor* Gas Storage Operator* High Pressure Compressed Gas Filler* LNG Plant Operator* Liquid Natural Gas Plant Operator</t>
  </si>
  <si>
    <t>Gas plant operators    * Gas Controller* Gas Plant Dispatcher* Gas Plant Operator* Gas Plant Technician* Natural Gas Plant Technician</t>
  </si>
  <si>
    <t>General and operations managers    * Department Store General Manager* General Manager* General Superintendent* Manufacturing Operations Manager* Operations Manager* Radio Station Manager* Television Station Manager</t>
  </si>
  <si>
    <t>General internal medicine physicians</t>
  </si>
  <si>
    <t>Genetic counselors    * Certified Genetic Counselor* Chromosomal Disorders Counselor* Genetic Counselor* Mitochondrial Disorders Counselor* Prenatal Genetic Counselor</t>
  </si>
  <si>
    <t>Geographers    * Biogeographer* Economic Geographer* GIS Geographer* Geographer* Geomorphologist* Glaciologist* Physical Geographer* Political Geographer</t>
  </si>
  <si>
    <t>Geography teachers, postsecondary    * Cartography Professor* GIS Professor* Geographic Information Systems Professor* Geomatics Professor</t>
  </si>
  <si>
    <t>Geological and hydrologic technicians</t>
  </si>
  <si>
    <t>Geoscientists, except hydrologists and geographers    * Crystallographer* Development Geologist* Environmental Geologist* Exploration Geologist* Geochemist* Geodesist* Geologist* Geomagnetist* Geophysicist* Geoscientist* Mine Geologist* Mineralogist* Mining Production Geologist* Oceanographer* Oceanologist* Paleontologist* Petroleum Geologist* Petrologist* Research Geologist* Sedimentationist* Seismologist* Stratigrapher* Volcanologist</t>
  </si>
  <si>
    <t>Glaziers    * Leaded Glass Installer* Plate Glass Installer* Stained Glass Glazier* Stained Glass Installer* Stained Glass Joiner* Window Glazier</t>
  </si>
  <si>
    <t>Graders and sorters, agricultural products    * Apple Sorter* Cherry Sorter* Cotton Grader* Egg Grader* Fruit Sorter* Meat Grader* Oyster Sorter* Peanut Grader* Potato Sorter* Seed Sorter* Strawberry Sorter* Vegetable Sorter* Wool Grader</t>
  </si>
  <si>
    <t>Graphic designers    * Catalogue Illustrator* Graphic Artist* Graphic Designer* Visual Designer</t>
  </si>
  <si>
    <t>Grinding and polishing workers, hand    * Hand Buffer* Hand Sander* Jewelry Grinder* Jewelry Polisher* Knife Grinder* Ring Polisher</t>
  </si>
  <si>
    <t>Grinding, lapping, polishing, and buffing machine tool setters, operators, and tenders, metal and plastic    * Aluminum Polisher* Deburring Machine Operator* Jewel Bearing Facer* Metal Grinder* Tool Polishing Machine Operator</t>
  </si>
  <si>
    <t>Grounds maintenance workers, all other    * Trail Construction Worker* Trail Maintenance Worker* Trailhead Construction Worker* Trailhead Maintenance Worker* Tree Trimmer Helper</t>
  </si>
  <si>
    <t>Hairdressers, hairstylists, and cosmetologists    * Beautician* Cosmetologist* Funeral Home Makeup Artist* Hair Colorist* Hair Stylist* Hair and Makeup Designer* Hairdresser* Hairpiece Stylist* Wedding Makeup Artist* Wig Stylist</t>
  </si>
  <si>
    <t>Hazardous materials removal workers    * Asbestos Abatement Worker* Asbestos Remover* Decontamination Worker* Hazard Waste Handler* Hazmat Technician* Irradiated Fuel Handler* Lead Abatement Worker* Radiological Control and Safety Technician</t>
  </si>
  <si>
    <t>Health and safety engineers, except mining safety engineers and inspectors    * Fire Prevention Engineer* Fire Protection Engineer* Industrial Safety Engineer* Product Safety Engineer* Product Safety Test Engineer* System Safety Engineer</t>
  </si>
  <si>
    <t>Health education specialists    * Certified Diabetes Educator* Certified Health Education Specialist* Community Health Education Coordinator* Diabetes Educator* Health Education Specialist* Health Educator* Public Health Educator</t>
  </si>
  <si>
    <t>Health information technologists, medical registrars, surgical assistants, and healthcare practitioners and technical workers, all other</t>
  </si>
  <si>
    <t>Health specialties teachers, postsecondary    * Clinical Laboratory Science Professor* Clinical Sciences Professor* Dentistry Professor* Gastroenterology Professor* Neurology Professor* Nutrition Professor* Occupational Therapy Professor* Optometry Professor* Pharmacology Professor* Physical Therapy Professor* Podiatric Medicine Professor* Podiatry Professor* Public Health Professor</t>
  </si>
  <si>
    <t>Healthcare social workers    * AIDS Social Worker* C-SWHC* Certified Social Workers In Health Care* Healthcare Social Worker* Hospice Home Care Social Worker* Hospice Social Worker* Hospital Social Worker* Medical Social Worker* Neonatal Social Worker* Nephrology Social Worker* Oncology Social Worker* Pediatric Social Worker* Public Health Social Worker* Renal Social Worker</t>
  </si>
  <si>
    <t>Healthcare support workers, all other    * Ortho/Prosthetic Aide</t>
  </si>
  <si>
    <t>Hearing aid specialists    * Hearing Aid Fitter* Hearing Aid Technician* Hearing Instrument Specialist</t>
  </si>
  <si>
    <t>Heat treating equipment setters, operators, and tenders, metal and plastic    * Annealing Furnace Operator* Carburizing Furnace Operator* Flame Hardening Machine Setter* Heat Treater Apprentice* Heat Treating Furnace Tender* Induction Machine Setter* Wire Annealer* Wire Temperer</t>
  </si>
  <si>
    <t>Heating, air conditioning, and refrigeration mechanics and installers    * Air Conditioning Service Technician* Bulk Cooler Installer* Evaporative Cooler Installer* Furnace Converter* Furnace Fitter* Gas Furnace Installer* Heating, Ventilation, and Air Conditioning (HVAC) Mechanic* Oil Burner Repairer* Oil Furnace Installer* Refrigeration Systems Installer* Stoker Installer</t>
  </si>
  <si>
    <t>Heavy and tractor-trailer truck drivers    * Auto Carrier Driver* Cement Truck Driver* Concrete Mixer Driver* Concrete Mixer Truck Driver* Fuel Truck Driver* Garbage Truck Driver* Line Haul Driver* Logging Truck Driver* Moving Van Driver* Over-the-Road Driver* Semi-Truck Driver* Tanker Driver* Tow Truck Operator</t>
  </si>
  <si>
    <t>Helpers, construction trades, all other    * Boiler Coverer Helper* Bridge Ironworker Helper* Carpet Layer Helper* Cellulose Insulation Helper* Construction Ironworker Helper* Cork Insulator Helper* Drywall Hanger Helper* Drywall Stripper Helper* Drywall Taper Helper* HVAC Sheet Metal Installer Helper* Heat and Frost Insulator Helper* Linoleum Layer Helper* Ornamental Ironworker Helper* Pipe Insulator Helper* Plate Glass Installer Helper* Post Tensioning Ironworker Helper* Rod Buster Helper* Sheet Metal Duct Installer Helper* Sheet Rock Installation Helper* Sheet Rock Taper Helper* Stained Glass Glazier Helper* Terrazzo Finisher Helper* Terrazzo Layer Helper* Terrazzo Worker Helper* Trench Digger Helper* Wall Taper Helper* Window Glazier Helper</t>
  </si>
  <si>
    <t>Helpers--brickmasons, blockmasons, stonemasons, and tile and marble setters    * Adobe Layer Helper* Brick Carrier* Brick Washer* Bricklayer Helper* Ceramic Tile Installation Helper* Chimney Builder Helper* Firebrick Layer Helper* Marble Installation Helper* Mortar Mixer* Parquet Floor Layer's Helper* Refractory Tile Helper* Wood Tile Installation Helper</t>
  </si>
  <si>
    <t>Helpers--carpenters    * Beam Builder Helper* Building Carpenter Helper* Carpenter Assistant* Carpenter Helper* Construction Carpenters Helper* Hardwood Floor Installation Helper* House Carpenter Helper</t>
  </si>
  <si>
    <t>Helpers--electricians    * Electrical Sign Wirer Helper* Electrician's Assistant* House Wirer Helper* Marine Electrician Helper* Stage Electrician Helper* Utilities Ground Worker</t>
  </si>
  <si>
    <t>Helpers--extraction workers    * Blaster Helper* Blasting Helper* Boring Machine Operator Helper* Continuous Miner Operator Helper* Driller Helper* Loading Machine Operator Helper* Longwall Machine Operator Helper* Mining Helper* Roof Bolter Helper* Rotary Drill Operator Helper* Shale Planer Operator Helper</t>
  </si>
  <si>
    <t>Helpers--installation, maintenance, and repair workers    * Automobile Body Repairer Helper* Cable Splicer Helper* Hydroelectric Machinery Mechanic Helper* Locksmith Helper* Mechanic's Assistant* Meter Repairer Helper* Motorboat Mechanic Helper* Powerhouse Mechanic Helper* Streetcar Repairer Helper</t>
  </si>
  <si>
    <t>Helpers--painters, paperhangers, plasterers, and stucco masons    * Billboard Poster Helper* Bridge Painter Helper* Dry Plasterer Helper* Highway Painter Helper* House Painter Helper* Ornamental Plasterer Helper* Plaster Tender* Ship Painter Helper* Swimming Pool Plasterer Helper* Wallpaper Hanger Helper* Wallpaperer Helper</t>
  </si>
  <si>
    <t>Helpers--pipelayers, plumbers, pipefitters, and steamfitters    * Gas Main Fitter Helper* Hydraulic Plumber Helper* Industrial Gas Fitter Helper* Marine Pipefitter Helper* Marine Steam Fitter Helper* Pipe Fitter Helper* Plumber Assistant* Plumber Helper* Sewer Pipe Layer Helper* Sprinkler Fitter Helper* Trench Pipe Layer Helper* Water Main Installer Helper</t>
  </si>
  <si>
    <t>Helpers--production workers    * Blending Tank Helper* Commercial Baker Helper* Machinist Helper* Slitter Helper* Tailor Helper* Welder Helper* Woodworker Helper</t>
  </si>
  <si>
    <t>Helpers--roofers    * Hot Tar Roofer Helper* Industrial Roofer Helper* Residential Roofer Helper* Roofer Assistant* Roofer Helper* Roofing Laborer* Shingles Roofer Helper* Slate Roofer Helper* Terra Cotta Roofer Helper</t>
  </si>
  <si>
    <t>Highway maintenance workers    * Highway Maintainer* Highway Maintenance Crew Worker* Highway Worker* Lane Marker Installer* Road Patcher* Road Sign Installer</t>
  </si>
  <si>
    <t>Historians    * Genealogist* Historiographer* Protohistorian</t>
  </si>
  <si>
    <t>History teachers, postsecondary    * African History Professor* American History Professor* Historiography Professor* Jewish History Professor* Russian History Professor* South Asian History Professor</t>
  </si>
  <si>
    <t>Hoist and winch operators    * Hoist Operator* Winch Derrick Operator* Winch Operator</t>
  </si>
  <si>
    <t>Home appliance repairers    * Certified Appliance Service Technician* Electric Stove Installer* Gas Appliance Repairer* Gas Appliance Servicer* Home Appliance Installer* Stove Installer* Vacuum Cleaner Repair Person* Vacuum Cleaner Repairer* Washing Machine Installer* Washing Machine Repairer* Window Air Conditioner Installer</t>
  </si>
  <si>
    <t>Home health and personal care aides</t>
  </si>
  <si>
    <t>Hosts and hostesses, restaurant, lounge, and coffee shop    * Bar Host/Hostess* Bar Hostess* Dining Room Host* Dining Room Host/Hostess* Maitre D'* Tearoom Host/Hostess* Tearoom Hostess</t>
  </si>
  <si>
    <t>Hotel, motel, and resort desk clerks    * Assistant Innkeeper* Hotel Desk Clerk* Hotel Front Desk Clerk* Hotel Registration Clerk* Motel Clerk* Motel Front Desk Attendant* Resort Desk Clerk</t>
  </si>
  <si>
    <t>Human resources assistants, except payroll and timekeeping    * Employment Clerk* HR Clerk* Personnel Clerk</t>
  </si>
  <si>
    <t>Human resources managers    * Employee Relations Manager* Job Analysis Manager* Labor Relations Director* Personnel Administrator* Personnel Director* Personnel Manager* Position Description Manager</t>
  </si>
  <si>
    <t>Human resources specialists    * Corporate Recruiter* Credentialing Coordinator* Employee Placement Specialist* Human Resources Generalist* Job Placement Officer* Job Placement Specialist* Job Recruiter* Personnel Coordinator* Personnel Officer* Personnel Recruiter* Personnel Specialist* Staffing Coordinator</t>
  </si>
  <si>
    <t>Hydrologists    * Hydrogeologist* Hydrologist* Isotope Hydrologist* Surface Hydrologist</t>
  </si>
  <si>
    <t>Industrial engineering technologists and technicians    * Industrial Engineering Technician* Motion Study Technician* Production Control Technologist* Time Study Technician* Time Study Technologist</t>
  </si>
  <si>
    <t>Industrial engineers    * Efficiency Engineer* Manufacturing Engineer* Packaging Engineer* Production Engineer</t>
  </si>
  <si>
    <t>Industrial machinery mechanics    * Bag Machine Adjuster* Boilerhouse Mechanic* Foundry Equipment Mechanic* Hydroelectric Machinery Mechanic* Industrial Conveyor Belt Repairer* Loom Fixer* Loom Technician</t>
  </si>
  <si>
    <t>Industrial production managers    * Industrial Production Manager* Manufacturing Director* Plant Chief* Plant Manager* Plant Superintendent* Production Control Manager</t>
  </si>
  <si>
    <t>Industrial truck and tractor operators    * Forklift Driver* Forklift Operator* Front-End Loader Operator* Hydraulic Lift Driver* Industrial Truck Operator* Reach-Lift Truck Driver* Stacker Operator</t>
  </si>
  <si>
    <t>Industrial-organizational psychologists    * Engineering Psychologist* Human Resources Psychologist* I/O Psychologist* Industrial Psychologist* Management Psychologist* Organizational Psychologist* Organizational Research Consultant* Personnel Research Psychologist</t>
  </si>
  <si>
    <t>Information and record clerks, all other    * Election Clerk* Flight Crew Scheduler* Probate Clerk* Student Admissions Clerk</t>
  </si>
  <si>
    <t>Information security analysts</t>
  </si>
  <si>
    <t>Inspectors, testers, sorters, samplers, and weighers    * Ampoule Examiner* Bag Grader* Cigarette Examiner* Compressed Gas Tester* Machined Parts Quality Inspector* Petroleum Sampler* Quality Assurance Inspector* Quality Control Inspector* Quality Inspector* Spark Plug Tester</t>
  </si>
  <si>
    <t>Installation, maintenance, and repair workers, all other    * Bowling Alley Mechanic* Fire Extinguisher Installer* Gasoline Pump Installer* Gunsmith* Ski Lift Mechanic* Wheelwright* Windmill Mechanic* Window Shade Installer</t>
  </si>
  <si>
    <t>Instructional coordinators    * Curriculum Coordinator* Curriculum Designer* Curriculum Specialist* Curriculum and Assessment Director* Curriculum and Instruction Director* Instructional Coordinator* Instructional Materials Director* School Curriculum Developer* Special Education Curriculum Specialist</t>
  </si>
  <si>
    <t>Insulation workers, floor, ceiling, and wall    * Ceiling Insulation Blower* Composition Weatherboard Installer* Cork Insulation Installer* Cork Insulator* Insulation Machine Operator* Interior Surface Insulation Worker* Wall Insulation Sprayer</t>
  </si>
  <si>
    <t>Insulation workers, mechanical    * Boiler Coverer* Heat and Frost Insulator* Pipe Coverer* Pipe Insulator* Refrigeration Insulator* Sheet Metal Insulator</t>
  </si>
  <si>
    <t>Insurance appraisers, auto damage    * Auto Damage Appraiser* Auto Damage Insurance Appraiser* Automobile Damage Appraiser* Vehicle Damage Appraiser</t>
  </si>
  <si>
    <t>Insurance claims and policy processing clerks    * Insurance Claims Clerk* Insurance Clerk* Insurance Examining Clerk* Insurance Policy Issue Clerk* Underwriting Assistant* Underwriting Clerk</t>
  </si>
  <si>
    <t>Insurance sales agents    * Health Insurance Sales Agent* Insurance Agent* Insurance Broker* Life Insurance Agent* Life Insurance Salesperson* Pension Agent</t>
  </si>
  <si>
    <t>Insurance underwriters    * Automobile and Property Underwriter* Bond Underwriter* Insurance Analyst* Insurance Underwriter* Insurance Writer* Underwriting Account Representative* Underwriting Service Representative</t>
  </si>
  <si>
    <t>Interior designers    * Certified Kitchen Designer* Furniture Arranger* Home Lighting Adviser* Interior Decorator* Interior Designer* Kitchen Designer* Kitchen and Bath Designer</t>
  </si>
  <si>
    <t>Interpreters and translators    * American Sign Language Interpreter* Court Interpreter* Deaf Interpreter* Diplomatic Interpreter* Language Translator* Translator</t>
  </si>
  <si>
    <t>Interviewers, except eligibility and loan    * Admitting Interviewer* Census Clerk* Census Taker* Field Enumerator* Market Research Interviewer* Outpatient Interviewing Clerk* Survey Interviewer* Telephone Interviewer</t>
  </si>
  <si>
    <t>Janitors and cleaners, except maids and housekeeping cleaners    * Building Custodian* Cleaning and Maintenance Worker* Custodial Worker* Custodian* Floor Cleaner* Heavy Duty Custodian* Industrial Plant Custodian* Janitor* Office Cleaner* School Custodian* Window Cleaner* Window Washer</t>
  </si>
  <si>
    <t>Jewelers and precious stone and metal workers    * Diamond Grader* Diamond Polisher* Diamond Setter* Facetor* Gem Cutter* Gemologist* Goldsmith* Jewelry Repairer* Jewelsmith* Lapidarist* Pewterer* Silversmith</t>
  </si>
  <si>
    <t>Judges, magistrate judges, and magistrates    * Administrative Court Justice* Circuit Court Judge* County Court Judge* Criminal Court Judge* District Court Judge* Jurist* Justice* Probate Judge* Trial Court Judge* Tribal Judge</t>
  </si>
  <si>
    <t>Judicial law clerks    * Judicial Clerk</t>
  </si>
  <si>
    <t>Kindergarten teachers, except special education    * Bilingual Kindergarten Teacher* Kindergarten Teacher</t>
  </si>
  <si>
    <t>Labor relations specialists    * Employee Relations Specialist* Industrial Relations Analyst* Industrial Relations Specialist* Labor Relations Consultant* Labor Relations Representative* Union Representative</t>
  </si>
  <si>
    <t>Laborers and freight, stock, and material movers, hand    * Cargo Handler* Cart Pusher* Freight Handler* Grave Digger* Manufacturing Laborer* Material Handler* Package Handler* Shipping and Receiving Material Handler* Stock Mover* Van Loader* Wharf Laborer</t>
  </si>
  <si>
    <t>Landscape architects    * Golf Course Architect* Golf Course Designer* Landscape Designer* Lanscape Architect</t>
  </si>
  <si>
    <t>Landscaping and groundskeeping workers    * Golf Course Laborer* Greenskeeper* Greenskeeper Laborer* Grounds Caretaker* Grounds Maintenance Worker* Hedge Trimmer* Lawn Care Worker* Lawn Caretaker* Lawn Maintenance Worker* Lawn Mower* Lawn Service Worker* Shrub Planter* Sod Layer</t>
  </si>
  <si>
    <t>Lathe and turning machine tool setters, operators, and tenders, metal and plastic    * Engine Lathe Operator* Gear Cutter* Screw Machine Operator* Screw Machine Tool Setter</t>
  </si>
  <si>
    <t>Laundry and dry-cleaning workers    * Drycleaner* Launderer* Laundress* Laundry Attendant* Laundry Equipment Operator* Laundry Operator* Laundry Sorter* Laundry Worker* Precision Dyer</t>
  </si>
  <si>
    <t>Law teachers, postsecondary    * Constitutional Law Professor* Contracts Law Professor* Criminal Law Professor* Environmental Law Professor* Labor Law Professor* Torts Law Professor</t>
  </si>
  <si>
    <t>Lawyers    * Agency Legal Counsel* Assistant Attorney General* Assistant Corporation Counsel* Assistant Counsel* Associate Attorney* Attorney* Attorney At Law* Attorney General* Brief Writer* City Attorney* Civil Lawyer* Commonwealth Attorney* Corporate Attorney* Corporate Counsel* Corporate Counselor* County Attorney* Defense Attorney* Deputy Attorney General* Deputy Chief Counsel* District Attorney* Environmental Attorney* Estate Conservator* General Counsel* Insurance Attorney* Lawyer* Legal Counsel* Probate Lawyer* Prosecutor* Public Defender* Real Estate Attorney* Sports Attorney* Tax Attorney* Trial Attorney* Trial Lawyer</t>
  </si>
  <si>
    <t>Layout workers, metal and plastic    * Shipfitter* Shipfitter Apprentice</t>
  </si>
  <si>
    <t>Legal secretaries and administrative assistants    * Accredited Legal Secretary* Certified Legal Secretary Specialist* Law Secretary* Legal Administrative Assistant</t>
  </si>
  <si>
    <t>Legal support workers, all other    * Legal Technician</t>
  </si>
  <si>
    <t>Legislators    * City Alderman* City Council Member* Congressional Representative* Councilor* Legislator* Member of Congress* Selectman* Senator* Tribal Council Member</t>
  </si>
  <si>
    <t>Librarians and media collections specialists</t>
  </si>
  <si>
    <t>Library assistants, clerical    * Book Sorter* Braille and Talking Books Clerk* Circulation Clerk* Film Library Clerk* Library Aide* Library Assistant* Library Circulation Clerk* Library Clerk* Medical Library Assistant* Microfilm Clerk</t>
  </si>
  <si>
    <t>Library science teachers, postsecondary    * Library and Information Science Professor* Library and Information Technology Instructor* Medical Records Library Professor</t>
  </si>
  <si>
    <t>Library technicians    * Cataloging Library Technical Assistant* Library Acquisitions Technician* Library Cataloging Technician* Library Circulation Technician* Library Technical Assistant* Serials or Bindery Library Technical Assistant</t>
  </si>
  <si>
    <t>Licensed practical and licensed vocational nurses    * LP Nurse* LPN* LVN* Licensed Practical Nurse* Licensed Vocational Nurse* Pediatric Licensed Practical Nurse* Triage Licensed Practical Nurse</t>
  </si>
  <si>
    <t>Life scientists, all other    * Life Science Taxonomist</t>
  </si>
  <si>
    <t>Life, physical, and social science technicians, all other    * Meteorological Aide* Polygraph Examiner</t>
  </si>
  <si>
    <t>Lifeguards, ski patrol, and other recreational protective service workers    * Beach Lifeguard* Certified Ski Patroller* Life Guard* OEC Technician* Outdoor Emergency Care Technician* Pool Lifeguard* Ski Patrol</t>
  </si>
  <si>
    <t>Light truck drivers    * Pharmacy Delivery Driver</t>
  </si>
  <si>
    <t>Lighting technicians and media and communication equipment workers, all other</t>
  </si>
  <si>
    <t>Loading and moving machine operators, underground mining</t>
  </si>
  <si>
    <t>Loan interviewers and clerks    * Loan Interviewer* Loan Processor* Mortgage Closing Clerk* Mortgage Loan Closer* Mortgage Loan Processing Clerk* Mortgage Loan Processor* Mortgage Processor</t>
  </si>
  <si>
    <t>Loan officers    * Branch Lending Officer* Commercial Lender* Loan Analyst* Loan Officer* Loan Reviewer* Real Estate Loan Officer</t>
  </si>
  <si>
    <t>Locker room, coatroom, and dressing room attendants    * Athletic Equipment Manager* Bathhouse Attendant* Checkroom Attendant* Cloak Room Attendant* Coat Checker* Ladies Locker Room Attendant* Locker Room Attendant* Locker Room Manager* Locker Room Supervisor* Washroom Attendant</t>
  </si>
  <si>
    <t>Locksmiths and safe repairers    * Key Maker* Keysmith* Lock Expert* Lock Fitter* Lock Setter* Lock Technician* Locksmith* Safe and Vault Installer* Safe and Vault Mechanic</t>
  </si>
  <si>
    <t>Locomotive engineers    * Freight Engineer* Railroad Engineer* Railway Engineer* Train Engineer</t>
  </si>
  <si>
    <t>Lodging managers    * Bed and Breakfast Innkeeper* Boardinghouse Keeper* Hotel Director* Hotel Manager* Hotel Operations Manager* Innkeeper* Lodging Facilities Manager</t>
  </si>
  <si>
    <t>Log graders and scalers    * Log Check Scaler* Log Grader* Log Scaler* Log Sorter* Timber Estimator* Veneer Grader</t>
  </si>
  <si>
    <t>Logging equipment operators    * Delimber Operator* Feller Buncher Operator* Feller Operator* Grapple Operator* Grapple Skidder Operator* Log Hauler* Log Processor Operator* Log Stacker Operator* Logging Crane Operator* Logging Shovel Operator* Logging Tractor Operator* Lumber Stacker Operator* Timber Harvester Operator* Tree-Shear Operator</t>
  </si>
  <si>
    <t>Logging workers, all other    * Log Cutter* Log Peeler* Log Roper* Rigging Slinger* Timber Hand</t>
  </si>
  <si>
    <t>Logisticians    * Logistician* Logistics Analyst* Logistics Coordinator* Logistics Planner* Logistics Specialist</t>
  </si>
  <si>
    <t>Machine feeders and offbearers    * Brick Offbearer* Chain Offbearer* Chopper Feeder* Doffer* Dryer Feeder* Hopper Feeder* Hopper Filler* Line Feeder* Offbearer* Packing Machine Can Feeder* Spike Machine Feeder* Spinning Doffer* Spooler Operator</t>
  </si>
  <si>
    <t>Machinists    * Automotive Machinist* CNC Machinist* Gear Machinist* Manual Lathe Machinist* Precision Machinist* Production Machinist* Tool Room Machinist</t>
  </si>
  <si>
    <t>Magnetic resonance imaging technologists    * Computed Tomography/Magnetic Resonance Imaging (CT/MRI) Technologist* MRI Technologist</t>
  </si>
  <si>
    <t>Maids and housekeeping cleaners    * Chambermaid* Cleaning Maid* Cottage Attendant* Domestic Maid* House Cleaner* Housekeeping Aide* Housekeeping Staff* Motel Maid* Ward Maid</t>
  </si>
  <si>
    <t>Mail clerks and mail machine operators, except postal service    * Direct Mail Clerk* Mailroom Clerk* Packaging Clerk</t>
  </si>
  <si>
    <t>Maintenance and repair workers, general    * Building Maintenance Mechanic* Building Mechanic* Building Services Mechanic* Maintenance Mechanic* Mechanics Handyman* Plant Maintenance Technician</t>
  </si>
  <si>
    <t>Maintenance workers, machinery    * Crane Oiler</t>
  </si>
  <si>
    <t>Makeup artists, theatrical and performance    * Special Effects Makeup Artist</t>
  </si>
  <si>
    <t>Management analysts    * Business Analyst* Business Consultant* Business Management Analyst* Business Process Consultant* Clerical Methods Analyst* Commercial Specialist* Industrial Analyst* Management Analyst* Management Consultant* Records Management Analyst</t>
  </si>
  <si>
    <t>Manicurists and pedicurists    * Fingernail Sculptor* Nail Technician* Pedicurist</t>
  </si>
  <si>
    <t>Manufactured building and mobile home installers    * Housetrailer Servicer* Mobile Home Mechanic* Mobile Home Servicer* Mobile Home Technician* Modular Home Crew Member</t>
  </si>
  <si>
    <t>Marine engineers and naval architects    * Marine Architect* Marine Equipment Engineer* Marine Structural Designer* Naval Engineer* Ships Equipment Engineer</t>
  </si>
  <si>
    <t>Market research analysts and marketing specialists    * Market Research Analyst* Market Research Specialist* Marketing Analyst* Marketing Consultant* Marketing Forecaster* Marketing Specialist</t>
  </si>
  <si>
    <t>Marketing managers    * Internet Marketing Manager* Marketing Administrator* Marketing Director* VP Marketing</t>
  </si>
  <si>
    <t>Marriage and family therapists    * Child and Family Counselor* Couples Therapist* Family Counselor* Family Therapist* Marriage Counselor* Marriage Therapist* Relationship Counselor</t>
  </si>
  <si>
    <t>Massage therapists    * Deep Tissue Massage Therapist* Licensed Massage Practitioner* Licensed Massage Therapist* Massage Therapist* Masseur* Masseuse* Massotherapist* Rolfer* Swedish Masseuse</t>
  </si>
  <si>
    <t>Material moving workers, all other    * Freight Elevator Operator</t>
  </si>
  <si>
    <t>Materials engineers    * Automotive Sheet Metal Engineer* Ceramic Engineer* Forensic Materials Engineer* Glass Science Engineer* Metallographer* Metallurgical Engineer* Metallurgist* Welding Engineer</t>
  </si>
  <si>
    <t>Materials scientists    * Materials Scientist* Metal Alloy Scientist* Plastics Scientist</t>
  </si>
  <si>
    <t>Mathematical science teachers, postsecondary    * Actuarial Science Professor* Biostatistics Professor* Calculus Professor* Geometry Professor* Mathematics Professor* Statistical Methods Professor* Statistics Professor* Topology Professor</t>
  </si>
  <si>
    <t>Mathematicians    * Algebraist* Cipher Expert* Cryptanalyst* Cryptographer* Cryptographic Vulnerability Analyst* Geometrician* Mathematician</t>
  </si>
  <si>
    <t>Meat, poultry, and fish cutters and trimmers    * Crab Picker* Deboner* Fish Cutter* Fish Filleter* Frozen Meat Cutter* Meat Trimmer* Oyster Shucker* Poultry Cutter* Poultry Eviscerator* Shrimp Peeler* Shrimp Picker* Wing Scorer</t>
  </si>
  <si>
    <t>Mechanical door repairers    * Automatic Door Mechanic* Door Closer Mechanic* Garage Door Technician* Mechanical Door Repairer* Overhead Door Technician</t>
  </si>
  <si>
    <t>Mechanical drafters    * Aeronautical Drafter* Automotive Design Drafter* Die Designer* Gage Designer* Mechanical Design Drafter* Mechanical Drafter* Tool Designer* Tool and Die Designer</t>
  </si>
  <si>
    <t>Mechanical engineering technologists and technicians    * Gyroscopic Engineering Technician* Heat Transfer Technician* Hydraulic Technician* Mechanical Engineering Technician* Optomechanical Technician</t>
  </si>
  <si>
    <t>Mechanical engineers    * Auto Research Engineer* Combustion Engineer* Engine Designer* Heating and Cooling Systems Engineer* Mechanical Engineer* Tool Engineer* Tool and Die Engineer</t>
  </si>
  <si>
    <t>Media and communication workers, all other    * Stage Technician</t>
  </si>
  <si>
    <t>Medical and health services managers    * Clinic Director* Clinical Services Director* Emergency Medical Service Coordinator* Health Care Manager* Health Services Administrator* Health Services Director* Healthcare Administrator* Healthcare Manager* Hospice Director* Hospice Plan Administrator* Hospital Administrator* Hospital Director* Medical Director* Medical Records Administrator* Medical and Health Information Manager* Mental Health Program Manager* Nursing Home Manager* Nursing Service Director* Occupational Therapy Director* Public Health Administrator* Respiratory Therapy Director* Speech and Hearing Therapy Director* Wellness Director* Wellness Manager</t>
  </si>
  <si>
    <t>Medical appliance technicians    * Arch-Support Maker* Brace Maker* Hearing Aid Repair Technician* Orthopaedic Technician* Orthopaedic Technologist* Orthotic Fabricator Technician* Orthotic Finish Grinding Technician* Orthotics Fitter* Orthotics Technician* Prosthetics Fabrication Technician* Prosthetics Lab Technician* Prosthetics Technician* Surgical Appliance Fitter</t>
  </si>
  <si>
    <t>Medical assistants    * Autopsy Assistant* Certified Medical Assistant* Chiropractic Assistant* Clinical Medical Assistant* Morgue Attendant* Ocular Care Aide* Optometric Aide* Optometrist Assistant* Optometry Assistant* Orthopedic Cast Specialist* Podiatric Aide</t>
  </si>
  <si>
    <t>Medical dosimetrists, medical records specialists, and health technologists and technicians, all other</t>
  </si>
  <si>
    <t>Medical equipment preparers    * Central Sterile Supply Technician* Certified Registered Central Service Technician* Health Equipment Servicer* Medical Equipment Preparer* Medical Supply Technician* Oxygen Equipment Preparer* Sterile Preparation Technician* Sterile Processing Technician* Sterile Processing and Distribution Technician* Sterilization Specialist* Sterilization Technician</t>
  </si>
  <si>
    <t>Medical equipment repairers    * BMET* Biomedical Electronics Technician* Biomedical Equipment Technician* Certified Biomedical Equipment Technician* Dental Equipment Mechanic* Dental Equipment Repairer* Durable Medical Equipment Repairer* Electromedical Equipment Technician* Radiology Equipment Servicer* Surgical Instrument Mechanic</t>
  </si>
  <si>
    <t>Medical scientists, except epidemiologists    * Cancer Researcher* Clinical Pharmacologist* Clinical Research Scientist* Gerontologist* Histologist* Histopathologist* Immunochemist* Industrial Pharmacist* Medical Health Researcher* Medical Research Scientist* Medical Scientist* Neuroscientist* Pharmacologist* Serologist* Toxicologist</t>
  </si>
  <si>
    <t>Medical secretaries and administrative assistants    * Dental Secretary* Hospital Secretary* Psychiatric Secretary</t>
  </si>
  <si>
    <t>Medical transcriptionists    * Certified Medical Transcriptionist* Medical Record Transcriber* Medical Stenographer* Medical Transcriber* Medical Transcriptionist* Pathology Transcriptionist* Radiology Transcriptionist* Registered Medical Transcriptionist</t>
  </si>
  <si>
    <t>Meeting, convention, and event planners    * Certified Meeting Professional* Conference Organizer* Conference Planner* Conference Planning Manager* Conference Services Director* Conference Services Manager* Convention Planner* Convention Services Manager* Corporate Meeting Planner* Event Planner* Events Manager* Wedding Planner</t>
  </si>
  <si>
    <t>Mental health and substance abuse social workers    * Community Mental Health Social Worker* Drug Abuse Social Worker* Psychiatric Social Worker* Psychotherapist Social Worker</t>
  </si>
  <si>
    <t>Merchandise displayers and window trimmers    * Display Artist* Display Decorator* Display Designer* Display Specialist* Mannequin Decorator* Merchandise Displayer* Show Floor Decorator* Visual Merchandiser* Visual Merchandising Specialist* Window Decorator* Window Draper* Window Dresser* Window Trimmer</t>
  </si>
  <si>
    <t>Metal workers and plastic workers, all other    * Electrical Discharge Machine Setup Operator* Metal Rivet Machine Operator* Tin Recovery Worker</t>
  </si>
  <si>
    <t>Metal-refining furnace operators and tenders    * Electric Arc Furnace Operator* Melt Room Operator* Smelter Operator</t>
  </si>
  <si>
    <t>Meter readers, utilities    * Electric Meter Reader* Gas Meter Reader* Water Meter Reader</t>
  </si>
  <si>
    <t>Microbiologists    * Bacteriologist* Clinical Microbiologist* Medical Microbiologist* Microbiological Analyst* Public Health Microbiologist* Quality Control Microbiologist* Virologist</t>
  </si>
  <si>
    <t>Middle school teachers, except special and career/technical education    * 7th Grade Social Studies Teacher* Junior High School Teacher* Middle School PE Teacher* Middle School Science Teacher</t>
  </si>
  <si>
    <t>Milling and planing machine setters, operators, and tenders, metal and plastic    * Metal Milling Machine Operator* Metal Rotary Head Milling Machine Setup Operator* Plastic Thread Milling Machine Setup Operator</t>
  </si>
  <si>
    <t>Millwrights    * Construction Millwright* Machine Erector* Machinery Dismantler* Maintenance Millwright* Manufacturing Millwright</t>
  </si>
  <si>
    <t>Mining and geological engineers, including mining safety engineers    * Geophysical Engineer* Mineral Engineer* Mining Engineer* Seismic Engineer</t>
  </si>
  <si>
    <t>Miscellaneous assemblers and fabricators</t>
  </si>
  <si>
    <t>Miscellaneous construction and related workers</t>
  </si>
  <si>
    <t>Miscellaneous entertainers and performers, sports and related workers</t>
  </si>
  <si>
    <t>Miscellaneous first-line supervisors, protective service workers</t>
  </si>
  <si>
    <t>Mixing and blending machine setters, operators, and tenders    * Asphalt Blender* Clay Mixer* Concrete Batcher* Dye Mixer* Glue Mixer* Ink Blender* Ink Mixer* Plaster Mixer* Resin Mixer</t>
  </si>
  <si>
    <t>Mobile heavy equipment mechanics, except engines    * Bulldozer Mechanic* Construction Equipment Mechanic* Dragline Mechanic* Forklift Mechanic* Forklift Technician</t>
  </si>
  <si>
    <t>Model makers, metal and plastic    * Metal Mockup Maker* Plastic Jig and Fixture Builder</t>
  </si>
  <si>
    <t>Model makers, wood    * Architectural Wood Model Maker</t>
  </si>
  <si>
    <t>Models    * Artist's Model* Clothes Model* Fashion Model* Figure Model* Hand Model* Hat Model* Model* Photographer's Model* Studio Model</t>
  </si>
  <si>
    <t>Molders, shapers, and casters, except metal and plastic    * Almond Paste Molder* Burial Vault Maker* Cigar Roller* Clay Modeler* Concrete Vault Maker* Glass Bender* Glass Block Bender* Glass Blower* Glass Presser* Glass Tube Bender* Mannequin Mold Maker* Neon Glass Bender* Neon Glass Blower* Neon Molder* Neon Tube Bender* Rubber Molder* Stone Carver</t>
  </si>
  <si>
    <t>Molding, coremaking, and casting machine setters, operators, and tenders, metal and plastic    * Aluminum Molding Machine Operator* Blow Mold Operator* Compression Molding Machine Operator* Plastic Cup Fabricating Machine Operator</t>
  </si>
  <si>
    <t>Morticians, undertakers, and funeral arrangers    * Certified Mortician* Funeral Arrangement Director* Funeral Arranger* Funeral Director* Licensed Funeral Director</t>
  </si>
  <si>
    <t>Motion picture projectionists    * Chief Projectionist* Film Projector Operator* Motion Picture Operator* Motion Picture Projectionist* Movie Projectionist* Projector Booth Operator* Stereoptician</t>
  </si>
  <si>
    <t>Motor vehicle operators, all other    * Assembly Line Driver* Ice-Resurfacing Machine Operators* Motorcycle Deliverer* Street Cleaning Equipment Operator* Street Sweeper Operator</t>
  </si>
  <si>
    <t>Motorboat mechanics and service technicians    * Certified Marine Mechanic* Marine Propulsion Technician* Marine Technician* Motorboat Mechanic* Outboard Motor Mechanic* Outboard Technician</t>
  </si>
  <si>
    <t>Motorboat operators    * Launch Operator* Motorboat Operator* Outboard Motorboat Operator* Speedboat Driver* Speedboat Operator* Water Taxi Ferry Operator* Water Taxi Operator</t>
  </si>
  <si>
    <t>Motorcycle mechanics    * ATV Technician* All Terrain Vehicle Technician* Motor Scooter Mechanic* Motorcycle Mechanic* Motorcycle Repairer* Motorcycle Service Technician* Motorcycle Technician* Scooter Mechanic</t>
  </si>
  <si>
    <t>Multiple machine tool setters, operators, and tenders, metal and plastic    * Combination Machine Tool Operator* Multi-operation Forming Machine Setter</t>
  </si>
  <si>
    <t>Museum technicians and conservators    * Art Conservator* Art Preparator* Conservation Technician* Ethnographic Materials Conservator* Museum Exhibit Technician* Objects Conservator* Paintings Conservator* Paper Conservator* Textile Conservator</t>
  </si>
  <si>
    <t>Music directors and composers    * Choir Director* Choirmaster* Chorus Master* Composer* Jingle Writer* Maestro* Music Adapter* Music Arranger* Music Copyist* Music Director* Music Minister* Music Pastor* Orchestra Conductor* Orchestra Director* Orchestrator* Songwriter</t>
  </si>
  <si>
    <t>Musical instrument repairers and tuners    * Accordion Repairer* Band Instrument Repair Technician* Banjo Repairer* Bow Rehairer* Brass and Wind Instrument Repairer* Chip Tuner* Fretted String Instrument Repairer* Guitar Builder* Guitar Repairer* Keyboard Instrument Repairer* Luthier* Mandolin Repairer* Organ Installer* Organ Tuner* Percussion Instrument Repairer* Piano Regulator* Piano Technician* Piano Tuner* Pipe Organ Technician* Stringed Instrument Repairer* Tone Regulator* Violin Repairer</t>
  </si>
  <si>
    <t>Musicians and singers    * Accompanist* Baritone* Bassoonist* Bugler* Cellist* Choir Member* Church Organist* Clarinetist* Concert Pianist* Concert Singer* Double Bass Player* English Horn Player* Flutist* Guitar Player* Guitarist* Harpist* Horn Player* Instrumentalist* Musician* Oboist* Opera Singer* Organist* Percussionist* Pianist* Piano Player* Piccoloist* Rapper* Soloist* Tenor* Timpanist* Trombonist* Trumpet Player* Trumpeter* Violinist* Violist* Vocalist</t>
  </si>
  <si>
    <t>Natural sciences managers    * Agricultural Research Director* Geochemical Manager* Geophysical Manager* Ocean Program Administrator</t>
  </si>
  <si>
    <t>Network and computer systems administrators</t>
  </si>
  <si>
    <t>New accounts clerks    * Banking Services Clerk* New Accounts Banking Representative* New Client Banking Services Clerk</t>
  </si>
  <si>
    <t>News analysts, reporters, and journalists</t>
  </si>
  <si>
    <t>Nuclear engineers    * Atomic Process Engineer* Nuclear Engineer* Nuclear Radiation Engineer* Nuclear Steam Supply System Engineer* Radiation Engineer* Reactor Engineer* Reactor Projects Engineer</t>
  </si>
  <si>
    <t>Nuclear medicine technologists    * Certified Nuclear Medicine Technologist* Isotope Technologist* Nuclear Cardiology Technologist* Nuclear Medical Technologist* Radioisotope Technologist* Registered Nuclear Medicine Technologist</t>
  </si>
  <si>
    <t>Nuclear power reactor operators    * Nuclear Control Room Operator* Nuclear Reactor Operator* Nuclear Station Operator* Reactor Operator</t>
  </si>
  <si>
    <t>Nuclear technicians    * Nuclear Monitoring Technician* Nuclear Technician* Radiation Protection Technician* Radiochemical Technician</t>
  </si>
  <si>
    <t>Nurse anesthetists    * Certified Registered Nurse Anesthetist* Certified Registered Nurse Anesthetist (CRNA)* DNAP* Doctor of Nurse Anesthesia Practice* Nurse Anesthetist</t>
  </si>
  <si>
    <t>Nurse midwives    * Certified Nurse Midwife* Certified Nurse Midwife (CNM)</t>
  </si>
  <si>
    <t>Nurse practitioners    * Acute Care Nurse Practitioner* Adult Nurse Practitioner* Cardiology Nurse Practitioner* Certified Nurse Practitioner* Certified Pediatric Nurse Practitioner* Certified Registered Nurse Practitioner* Dermatology Nurse Practitioner* Electrophysiology Nurse Practitioner* Emergency Medicine Nurse Practitioner* Family Health Nurse Practitioner* Family Practice Nurse Practitioner* Gastroenterology Nurse Practitioner* Gerontological Nurse Practitioner* Internal Medicine Nurse Practitioner* NP* Neurosurgical Nurse Practitioner* Nurse Practitioner* Obstetrics-Gynecology Nurse Practitioner* Orthopedic Nurse Practitioner* Palliative Care Nurse Practitioner* Pediatric Nurse Practitioner* Surgical Nurse Practitioner</t>
  </si>
  <si>
    <t>Nursing assistants</t>
  </si>
  <si>
    <t>Nursing instructors and teachers, postsecondary    * Advanced Nursing Professor* Clinical Nursing Instructor* Clinical Nursing Professor* Registered Nursing Professor</t>
  </si>
  <si>
    <t>Obstetricians and gynecologists</t>
  </si>
  <si>
    <t>Occupational health and safety specialists</t>
  </si>
  <si>
    <t>Occupational health and safety technicians</t>
  </si>
  <si>
    <t>Occupational therapists    * OT* Occupational Therapist* Registered Occupational Therapist</t>
  </si>
  <si>
    <t>Occupational therapy aides    * Certified Occupational Rehabilitation Aide* OT Aide* Occupational Rehabilitation Aide* Occupational Therapist Aide* Rehabilitation Services Aide</t>
  </si>
  <si>
    <t>Occupational therapy assistants    * COTA* Certified Occupational Therapy Assistant* Licensed Occupational Therapy Assistant* Occupational Therapist Assistants</t>
  </si>
  <si>
    <t>Office and administrative support workers, all other    * Braille Transcriber* Envelope Stuffer* Fingerprint Clerk* Investigation Clerk* Newspaper Inserter* Notary Public</t>
  </si>
  <si>
    <t>Office clerks, general    * Administrative Clerk* Office Assistant* Office Clerk* Real Estate Clerk</t>
  </si>
  <si>
    <t>Office machine operators, except computer    * Business Machine Operator* Coin Machine Operator* Coin Rolling Machine Operator* Coin Wrapping Machine Operator* Collator Operator* Copy Center Operator* Copy Machine Operator* Duplicating Machine Operator</t>
  </si>
  <si>
    <t>Operating engineers and other construction equipment operators    * Angle Dozer Operator* Blade Grader Operator* Bulldozer Operator* Ditching Machine Operating Engineer* Grader Operator* Motor Grader Operator* Scraper Operator* Steam Shovel Operating Engineer* Steam Shovel Operator</t>
  </si>
  <si>
    <t>Operations research analysts    * Operations Analyst* Operations Research Analyst* Procedure Analyst* Process Analyst</t>
  </si>
  <si>
    <t>Ophthalmic laboratory technicians    * Contact Lens Cutter* Contact Lens Technician* Eyeglass Assembler* Eyeglass Lens Cutter* Eyeglass Maker* Lens Grinder* Lens Grinder and Polisher* Lens Mounter* Precision Lens Centerer and Edger* Prescription Eyeglass Maker</t>
  </si>
  <si>
    <t>Ophthalmic medical technicians    * Ocular Care Technologist* Ophthalmic Technologist</t>
  </si>
  <si>
    <t>Opticians, dispensing    * Certified Optician* Contact Lens Fitter* Eyeglass Fitter* Licensed Dispensing Optician* Licensed Optical Dispenser* Licensed Optician* Optical Dispenser* Optician</t>
  </si>
  <si>
    <t>Optometrists    * Doctor of Optometry* Optometrist</t>
  </si>
  <si>
    <t>Oral and maxillofacial surgeons    * Dental Surgeon* Maxillofacial Surgeon* Oral Surgeon</t>
  </si>
  <si>
    <t>Order clerks    * Catalogue Clerk* Classified Ad Clerk* Mail Order Clerk* Order Desk Clerk* Service Order Clerk* Subscription Clerk* Want Ad Clerk</t>
  </si>
  <si>
    <t>Orderlies</t>
  </si>
  <si>
    <t>Orthodontists    * Dentofacial Orthopedics Dentist* Invisible Braces Orthodontist* Orthodontist* Pediatric Orthodontist</t>
  </si>
  <si>
    <t>Orthotists and prosthetists    * American Board Certified Orthotist* Artificial Limb Fitter* Certified Orthotic Fitter* Certified Prosthetist/Orthotist* Licensed Prosthetist* Orthotic/Prosthetic Practitioner* Orthotist* Pedorthist* Prosthetist</t>
  </si>
  <si>
    <t>Outdoor power equipment and other small engine mechanics    * Chain Saw Mechanic* Edge Trimmer Mechanic* Electric Golf Cart Repairers* Electric Wheelchair Repairer* Go-Cart Mechanic* Golf Cart Mechanic* Lawn Mower Repairer* Mobility Scooter Repairer* Motor Scooter Mechanic* Power Saw Mechanic* Power Wheelchair Mechanic* Snowblower Mechanic* Snowmobile Mechanic</t>
  </si>
  <si>
    <t>Packaging and filling machine operators and tenders    * Bottle Capper* Bottle Line Worker* Bottle Packer* Can Filler* Can Sealer* Keg Filler* Potato Chip Packaging Machine Operator* Tea Bag Packer</t>
  </si>
  <si>
    <t>Packers and packagers, hand    * Bagger* Carton Wrapper* Egg Packer* Gift Wrapper* Grocery Store Bagger* Meat Packager* Meat Wrapper* Utility Bagger</t>
  </si>
  <si>
    <t>Painters, construction and maintenance    * Bridge Painter* Facilities Painter* Highway Painter* House Painter* Industrial Painter* Parking Line Painter* Roof Painter* Traffic Line Painter</t>
  </si>
  <si>
    <t>Painting, coating, and decorating workers    * Ceramic Painter* China Decorator* Glass Decorator* Lacquerer* Sign Painter</t>
  </si>
  <si>
    <t>Paper goods machine setters, operators, and tenders    * Box Fabricator* Carton Making Machine Operator* Corrugated Box Machine Operator* Corrugator Machine Operator* Corrugator Operator* Envelope Machine Operator* Napkin Machine Operator* Paper Bag Machine Operator* Paper Cone Machine Tender* Paper Machine Operator</t>
  </si>
  <si>
    <t>Paperhangers    * Billboard Poster* Paperhanger* Wall Covering Installer* Wallpaper Hanger* Wallpaperer</t>
  </si>
  <si>
    <t>Paralegals and legal assistants    * Assistant Paralegal* Legal Aide* Legal Assistant* Paralegal* Summer Associate* Summer Law Clerk</t>
  </si>
  <si>
    <t>Parking attendants    * Auto Parker* Car Jockey* Parking Attendant* Parking Ramp Attendant* Valet Parker* Valet Runner</t>
  </si>
  <si>
    <t>Parking enforcement workers    * Meter Maid* Parking Enforcement Officer* Parking Meter Attendant</t>
  </si>
  <si>
    <t>Parts salespersons    * Appliance Parts Counter Clerk* Auto Parts Salesperson* Electronic Parts Salesperson* Parts Clerk* Parts Counter Clerk</t>
  </si>
  <si>
    <t>Passenger attendants    * Dining Car Steward* Ship Steward* Sleeping Car Service Attendant* Train Attendant</t>
  </si>
  <si>
    <t>Passenger vehicle drivers, except bus drivers, transit and intercity</t>
  </si>
  <si>
    <t>Patternmakers, metal and plastic    * Metal Patternmaker</t>
  </si>
  <si>
    <t>Patternmakers, wood    * Wood Die Maker</t>
  </si>
  <si>
    <t>Paving, surfacing, and tamping equipment operators    * Asphalt Paver* Asphalt Paving Machine Operator* Asphalt Roller Operator* Asphalt Tamping Machine Operator* Blacktop-Paver Operator* Paver Operator* Road Grader* Screed Operator</t>
  </si>
  <si>
    <t>Payroll and timekeeping clerks    * Flight Crew Time Clerk* Payroll Bookkeeper* Personnel Scheduler* Time Clerk* Time and Attendance Clerk* Timekeeper</t>
  </si>
  <si>
    <t>Pediatricians, general</t>
  </si>
  <si>
    <t>Personal financial advisors    * Certified Financial Planner* Estate Planner* Estate Planning Counselor* Financial Counselor* Individual Pension Adviser* Individual Pension Consultant* Personal Financial Advisor* Personal Financial Planner* Personal Investment Adviser</t>
  </si>
  <si>
    <t>Personal service managers, all other; entertainment and recreation managers, except gambling; and managers, all other</t>
  </si>
  <si>
    <t>Pest control workers    * Exterminator* Fumigator* Insecticide Expert* Mosquito Sprayer* Pest Controller* Rat Exterminator* Rodent Exterminator* Termite Technician* Termite Treater</t>
  </si>
  <si>
    <t>Pesticide handlers, sprayers, and applicators, vegetation    * Certified Pesticide Applicator* Fruit Sprayer* Herbicide Sprayer* Orchard Sprayer* Plant Sprayer* Weed Sprayer</t>
  </si>
  <si>
    <t>Petroleum engineers    * Natural Gas Engineer* Oil Drilling Engineer* Oil Exploration Engineer* Oil Well Engineer* Petroleum Engineer</t>
  </si>
  <si>
    <t>Petroleum pump system operators, refinery operators, and gaugers    * Hydrotreater Operator* Oil Gauger* Oil Pipeline Dispatcher* Oil Pipeline Operator* Oil Refiner* Petroleum Plant Operator* Petroleum Refinery Control Panel Operator* Petroleum Refinery Operator* Petroleum Refining Equipment Operator</t>
  </si>
  <si>
    <t>Pharmacists    * Apothecary* Clinical Pharmacist* Druggist* Hospital Pharmacist* Registered Pharmacist</t>
  </si>
  <si>
    <t>Pharmacy aides    * Certified Pharmacist Assistant* Pharmacist Aide* Pharmacist Assistant* Pharmacy Assistant* Pharmacy Clerk* Prescription Clerk</t>
  </si>
  <si>
    <t>Pharmacy technicians    * CPHT* Certified Pharmacy Technician* Pharmacist Technician* Pharmacy Laboratory Technician* Pharmacy Technician</t>
  </si>
  <si>
    <t>Philosophy and religion teachers, postsecondary    * Biblical Studies Professor* Divinity Professor* Eastern Philosophy Professor* Old Testament Professor* Pastoral Ministries Professor* Religious Studies Professor* Theology Professor* Western Philosophy Professor</t>
  </si>
  <si>
    <t>Phlebotomists    * Certified Phlebotomy Technician* Phlebotomist* Phlebotomy Technician* Venipuncturist</t>
  </si>
  <si>
    <t>Photographers    * Advertising Photographer* Aerial Photographer* Industrial Photographer* Marine Photographer* Medical Photographer* News Photographer* Newspaper Photojournalist* Photojournalist* Portrait Photographer* School Photographer* Wedding Photographer</t>
  </si>
  <si>
    <t>Photographic process workers and processing machine operators    * Digital Imaging Technician* Digital Photo Printer* Digital Photo Technician* Digital Retoucher* Film Developing Machine Operator* Film Printer* Film Process Operator* Film Processor* Photo Lab Specialist* Photo Lab Technician* Photo Machine Operator* Photo Print Specialist* Photo Retoucher* Print Retoucher</t>
  </si>
  <si>
    <t>Physical scientists, all other    * Physical Scientist</t>
  </si>
  <si>
    <t>Physical therapist aides    * Clinical Rehabilitation Aide* Physical Therapy Aide* Physiotherapy Aide</t>
  </si>
  <si>
    <t>Physical therapist assistants    * LPTA* Licensed Physical Therapist Assistant* Physical Therapy Assistant* Physical Therapy Technician* Physiotherapy Assistant</t>
  </si>
  <si>
    <t>Physical therapists    * Cardiopulmonary Physical Therapist* Geriatric Physical Therapist* Orthopedic Physical Therapist* PT* Pediatric Physical Therapist* Physical Therapist* Physiotherapist* Pulmonary Physical Therapist* Sports Physical Therapist</t>
  </si>
  <si>
    <t>Physician assistants    * Anesthesiologist Assistant* Certified Physician's Assistant* Family Practice Physician Assistant* Orthopaedic Physician Assistant* Orthopedic Physician Assistant* Pediatric Physician Assistant* Radiology Practitioner Assistant* Surgical Physician Assistant</t>
  </si>
  <si>
    <t>Physicians, all other; and ophthalmologists, except pediatric</t>
  </si>
  <si>
    <t>Physicists    * Fluid Dynamicist* Health Physicist* Mathematical Physicist* Medical Physicist* Molecular Physicist* Nuclear Physicist* Optical Scientist* Research Physicist* Rheologist* Thermodynamic Physicist* Thermodynamicist</t>
  </si>
  <si>
    <t>Physics teachers, postsecondary    * Aerodynamics Professor* Astrophysics Professor* Atomic Physics Professor* Ballistics Professor* Hydrodynamics Professor* Medical Physics Professor* Nuclear Physics Professor* Physical Science Professor* Thermodynamics Professor</t>
  </si>
  <si>
    <t>Pile driver operators    * Diesel Pile Hammer Operator* Hydraulic Pile Hammer Operator* Hydraulic Press-In Operator* Pile Driver Operator* Vibratory Pile Driver</t>
  </si>
  <si>
    <t>Pipelayers    * Cast-Iron Drain Pipe Layer* Pipe Layer* Sewer Pipe Layer* Trench Pipe Layer* Water Main Pipe Layer</t>
  </si>
  <si>
    <t>Plant and system operators, all other    * Asphalt Plant Operator* Concrete Batch Plant Operator* Lime Filter Operator* Sand Plant Attendant</t>
  </si>
  <si>
    <t>Plasterers and stucco masons    * Dry Plasterer* Journey Level Plasterer* Molding Plasterer* Ornamental Plasterer* Plasterer Apprentice* Stucco Plasterer* Stucco Worker* Swimming Pool Plasterer</t>
  </si>
  <si>
    <t>Plating machine setters, operators, and tenders, metal and plastic    * Anodizer* Chrome Plater* Chromium Plater* Copper Plater* Electro Plater* Electrogalvanizing Machine Operator* Electroplater* Galvanizer* Hard Chrome Plater* Metal Plater* Metal Spraying Machine Operator* Metalizing Machine Operator* Nickel Plater* Plating Machine Operator* Tin Plater</t>
  </si>
  <si>
    <t>Plumbers, pipefitters, and steamfitters    * Fire Sprinkler Installer* Gas Main Fitter* Gas Plumber* Hydraulic Plumber* Industrial Gas Fitter* Marine Pipefitter* Marine Steamfitter* Master Plumber* Pipe Fitter* Plumber* Solar Thermal Installer* Sprinkler Fitter* Steamfitter* Water Pump Installer</t>
  </si>
  <si>
    <t>Podiatrists    * Chiropodist* Doctor of Podiatric Medicine* Foot Doctor* Foot Orthopedist* Foot and Ankle Surgeon* Orthopedic Podiatrist* Podiatric Physician</t>
  </si>
  <si>
    <t>Police and sheriff's patrol officers    * Border Guard* Border Patrol Officer* Constable* Cop* Deputy Sheriff* Highway Patrol Officer* Motorcycle Police* Mounted Police* Park Police* Patrol Officer* Policeman* Policewoman* State Highway Police Officer* State Trooper</t>
  </si>
  <si>
    <t>Political science teachers, postsecondary    * Government Professor* International Relations Professor* Political Theory Professor* Public Policy Professor</t>
  </si>
  <si>
    <t>Political scientists    * Government Affairs Researcher* Government Affairs Specialist* Local Governance and Citizen Participation Specialist* Political Consultant* Political Research Scientist* Political Researcher</t>
  </si>
  <si>
    <t>Postal service clerks    * Bulk Mail Clerk* Bulk Mail Technician* Parcel Post Clerk* Postal Clerk* Postal Service Clerk* Postal Service Window Clerk</t>
  </si>
  <si>
    <t>Postal service mail carriers    * City Letter Carrier* Letter Carrier* Mail Deliverer* Parcel Post Carrier* Postal Mail Carrier* Rural Mail Carrier* Rural Route Carrier* USPS Letter Carrier</t>
  </si>
  <si>
    <t>Postal service mail sorters, processors, and processing machine operators    * Flat Sorter Operator* Flat Sorting Machine Clerk* Mail Forwarding System Markup Clerk* Parcel Post Distribution Machine Operator* Post Office Markup Clerk* Postal Service Mail Processor* Small Package and Bundle Sorter Clerk</t>
  </si>
  <si>
    <t>Postmasters and mail superintendents    * Postal Supervisor* Postmaster</t>
  </si>
  <si>
    <t>Postsecondary teachers, all other    * Braille Teacher* Flight Simulator Teacher* Interdisciplinary Professor* Military Science Teacher* Project Management Professor</t>
  </si>
  <si>
    <t>Pourers and casters, metal    * Aluminum Pourer* Ingot Caster* Iron Pourer* Molten Iron Pourer* Steel Pourer* Tin Pourer* White Metal Caster</t>
  </si>
  <si>
    <t>Power distributors and dispatchers    * Power System Dispatcher* Steam Plant Control Room Operator* Steam and Power Panel Operator* Substation Operator</t>
  </si>
  <si>
    <t>Power plant operators    * Hydroelectric Plant Operator* Power Plant Control Room Operator* Powerhouse Operator* Turbine Room Attendant</t>
  </si>
  <si>
    <t>Precision instrument and equipment repairers, all other    * Gyroscope Repairer* Hydrometer Calibrator* Scale Adjuster* Telescope Repairer</t>
  </si>
  <si>
    <t>Prepress technicians and workers    * Digital Proofing and Platemaker* Electronic Pre-Press Technician* Photoengraver* Plate Mounter* Pre-Press Proofer* Prepress Stripper* Type Setter</t>
  </si>
  <si>
    <t>Preschool teachers, except special education    * Early Childhood Teacher* Head Start Teacher* Nursery School Teacher* Nursery Teacher* Pre-K Teacher* Pre-Kindergarten Teacher* Preschool Teacher</t>
  </si>
  <si>
    <t>Pressers, textile, garment, and related materials    * Clothes Ironer* Clothes Presser* Clothing Presser* Garment Presser* Pants Presser* Shirt Presser* Silk Presser* Wool Presser</t>
  </si>
  <si>
    <t>Print binding and finishing workers    * Bindery Cutter Operator* Bindery Folder Operator* Bindery Machine Operator* Bindery Worker* Book Repairer* Bookbinder* Bookbinding Machine Operator* Case Binder Operator* Foil Stamp Operator* Perfect Binder Operator* Saddle Stitch Operator* Saddle Stitcher Operator* Spiral Binder Operator</t>
  </si>
  <si>
    <t>Printing press operators    * Digital Press Operator* Flexographic Press Operator* Gravure Press Operator* Lithograph Press Operator* Lithographing Machine Operator* Offset Lithographic Press Setter and Set-Up Operator* Offset Press Operator* Printing Machine Operator* Screen Printing Machine Operator* Screen Printing Press Operator* Silk Screen Operator* Silk Screen Printer* Web Offset Press Feeder* Web Press Operator</t>
  </si>
  <si>
    <t>Private detectives and investigators    * Certified Legal Investigator* Licensed Private Investigator* Loss Prevention Detective* Private Detective* Private Eye* Private Investigator* Skip Tracer* Store Detective</t>
  </si>
  <si>
    <t>Probation officers and correctional treatment specialists    * Correctional Treatment Specialist* Juvenile Probation Officer* Parole Agent* Parole Officer* Probation Officer</t>
  </si>
  <si>
    <t>Procurement clerks    * Procurement Assistant* Procurement Clerk* Purchasing Assistant* Purchasing Clerk</t>
  </si>
  <si>
    <t>Producers and directors    * Broadcast Producer* Casting Director* Film Maker* Independent Film Maker* Independent Video Producer* Motion Picture Director* Movie Producer* Music Video Director* Music Video Producer* News Production Supervisor* Newscast Director* Newscast Producer* On-Air Director* Pageant Director* Radio Producer* Radio Television Technical Director* Stage Manager* Television News Producer* Television Newscast Director* Television Producer* Television Program Director* Theater Company Producer* Video Producer</t>
  </si>
  <si>
    <t>Production workers, all other</t>
  </si>
  <si>
    <t>Production, planning, and expediting clerks    * Expeditor* Material Control Clerk* Material Expediter* Mill Recorder* Production Control Clerk* Production Control Coordinating Clerk* Production Control Coordinator* Production Scheduler* Work Ticket Distributor</t>
  </si>
  <si>
    <t>Project management specialists and business operations specialists, all other</t>
  </si>
  <si>
    <t>Proofreaders and copy markers    * Braille Proofreader* Clerical Proofreader* Copy Reader* Editorial Assistant* Format Proofreader* Proofreader</t>
  </si>
  <si>
    <t>Property appraisers and assessors</t>
  </si>
  <si>
    <t>Property, real estate, and community association managers    * Apartment Manager* Building Rental Manager* Community Association Manager* Condominium Association Manager* Homeowner Association Manager* Land Acquisition Manager* Leasing Property Manager* Property Manager* Real Estate Manager</t>
  </si>
  <si>
    <t>Prosthodontists    * Maxillofacial Prosthetics Dentist* Maxillofacial Prosthodontist* Prosthodontist* Reconstructive Dentist</t>
  </si>
  <si>
    <t>Psychiatric aides</t>
  </si>
  <si>
    <t>Psychiatric technicians    * Behavioral Health Technician* Mental Health Technician* Psychiatric Technician</t>
  </si>
  <si>
    <t>Psychiatrists</t>
  </si>
  <si>
    <t>Psychologists, all other    * Developmental Psychologist* Experimental Psychologist* Forensic Psychologist* Neuropsychologist* Psychometrist* Psychotherapist* Rehabilitation Psychologist* Social Psychologist* Sports Psychologist</t>
  </si>
  <si>
    <t>Psychology teachers, postsecondary    * Applied Psychology Professor* Child Development Professor* Clinical Psychology Professor* Educational Psychology Professor* Human Relations Professor* Industrial Psychology Professor* Industrial/Organizational Psychology Professor* Psychology Professor</t>
  </si>
  <si>
    <t>Public relations and fundraising managers</t>
  </si>
  <si>
    <t>Public relations specialists    * Environmental Communications Specialist* Lobbyist* Media Relations Specialist* Press Agent* Press Secretary* Public Affairs Officer* Public Relations Counselor* Public Relations Officer* Public Relations Representative* Publicist* Publicity Agent* Publicity Writer</t>
  </si>
  <si>
    <t>Public safety telecommunicators    * 911 Dispatcher* 911 Operator* Ambulance Dispatcher* Emergency Communications Dispatcher* Emergency Communications Operator* Emergency Operator* Emergency Telecommunications Dispatcher* Fire Dispatcher* Police Dispatcher* Police Radio Dispatcher</t>
  </si>
  <si>
    <t>Pump operators, except wellhead pumpers    * Acid Pump Operator* Brewery Pumper* Concrete Pump Operator* Fluid Pump Operator</t>
  </si>
  <si>
    <t>Purchasing managers    * Contract Administrator* Contracting Manager* Director of Strategic Sourcing* Procurement Manager* Purchasing Director* Purchasing Manager* Sourcing Manager</t>
  </si>
  <si>
    <t>Radiation therapists    * Dosimetrist* Radiation Therapist* Radiation Therapy Technologist* Registered Radiation Therapist</t>
  </si>
  <si>
    <t>Radio, cellular, and tower equipment installers and repairers    * Radio Frequency Technician* Radio Mechanic* Radio Repairer* Two-Way Radio Technician</t>
  </si>
  <si>
    <t>Radiologic technologists and technicians    * Computed Axial Tomography Technologist* Computed Tomography (CT) Scanner Operator* Radiologic Technician* Registered Radiologic Technologist* Skiagrapher* X-Ray Technician</t>
  </si>
  <si>
    <t>Rail car repairers    * Freight Car Repairer* Mine Car Mechanic* Rail Car Maintenance Mechanic* Rail Car Mechanic* Streetcar Repairer* Subway Car Repairer* Tank Car Reconditioner* Trolley Car Mechanic* Trolley Car Overhauler</t>
  </si>
  <si>
    <t>Rail transportation workers, all other    * Railway Equipment Operator* Retarder Operator* Transfer Table Operator</t>
  </si>
  <si>
    <t>Rail yard engineers, dinkey operators, and hostlers    * Coal Tram Driver* Dinkey Driver* Dinkey Operator* Engine Hostler* Haulage Engine Operator* Railcar Switcher* Yard Hostler</t>
  </si>
  <si>
    <t>Rail-track laying and maintenance equipment operators    * Ballast Cleaning Machine Operator* Rail Maintenance Worker* Railroad Track Mechanic* Track Layer* Track Machine Operator* Track Maintainer* Track Moving Machine Operator* Track Repair Worker* Track Repairer* Track Service Worker* Track Surfacing Machine Operator* Trackwalker</t>
  </si>
  <si>
    <t>Railroad brake, signal, and switch operators and locomotive firers</t>
  </si>
  <si>
    <t>Railroad conductors and yardmasters    * Freight Conductor* Passenger Car Conductor* Train Conductor* Yard Conductor</t>
  </si>
  <si>
    <t>Real estate brokers    * Licensed Real Estate Broker* Real Estate Broker</t>
  </si>
  <si>
    <t>Real estate sales agents    * Agricultural Real Estate Agent* Apartment Rental Agent* Industrial Real Estate Agent* Land Sales Agent* Right of Way Agent</t>
  </si>
  <si>
    <t>Receptionists and information clerks    * Appointment Clerk* Dental Receptionist* Front Desk Receptionist* Land Leasing Information Clerk</t>
  </si>
  <si>
    <t>Recreation and fitness studies teachers, postsecondary    * Health and Physical Education Professor* Human Performance Professor* Kinesiology Professor* Leisure Studies Professor* Physical Education (PE) Professor* Physical Education Professor* Swimming Professor</t>
  </si>
  <si>
    <t>Recreation workers    * Activities Aide* Activities Assistant* Activities Coordinator* Activities Leader* Camp Counselor* Playground Worker* Recreation Activities Coordinator* Recreation Assistant* Recreational Aide</t>
  </si>
  <si>
    <t>Recreational therapists    * CTRS* Certified Recreational Therapist* Certified Therapeutic Recreation Specialist* Drama Therapist* Recreational Therapist* Therapeutic Recreation Specialist</t>
  </si>
  <si>
    <t>Recreational vehicle service technicians    * Master Certified RV Technician* Mobile Service Recreational Vehicle Technician* RV Mechanic* RV Servicer* RVDA Master Certified RV Technician* Recreational Vehicle (RV) Repairer* Recreational Vehicle Mechanic</t>
  </si>
  <si>
    <t>Refractory materials repairers, except brickmasons    * Bondactor Machine Operator* Cupola Repairer* Kiln Door Builder* Ladle Repairer* Refractory Repairer</t>
  </si>
  <si>
    <t>Refuse and recyclable material collectors    * Garbage Collector* Recyclable Materials Collector* Refuse Collector* Scrap Metal Collector* Solid Waste Collector* Trash Collector</t>
  </si>
  <si>
    <t>Registered nurses    * CCU Nurse* CNS* Clinical Nurse Specialist* Community Health Nurse* Coronary Care Unit Nurse* Emergency Room RN* Endoscopy Registered Nurse* Hospice Registered Nurse* Obstetrical Nurse* Oncology Registered Nurse* PACU Nurse* Pediatric Registered Nurse* Post-Anesthesia Care Unit Nurse* Psychiatric Nurse* RN* Registered Nurse* Triage Registered Nurse</t>
  </si>
  <si>
    <t>Rehabilitation counselors    * Certified Rehabilitation Counselor* Coordinator of Rehabilitation Services* Psychosocial Rehabilitation Counselor* Rehabilitation Counselor* Veterans Rehabilitation Counselor* Vocational Rehabilitation Counselor</t>
  </si>
  <si>
    <t>Reinforcing iron and rebar workers    * Post Tensioning Ironworker* Rebar Worker* Reinforcing Steel  Worker* Rod Buster* Steel Rod Buster* Steel Tier</t>
  </si>
  <si>
    <t>Religious workers, all other    * Buddhist Monk* Christian Science Nurse* Missionary* Mohel* Nun* Pastoral Worker* Prior* Sacristan* Sunday School Missionary* Traveling Missionary* Verger</t>
  </si>
  <si>
    <t>Reservation and transportation ticket agents and travel clerks    * Airline Reservation Agent* Airline Reservationist* Airline Ticket Agent* Gate Agent* Hotel Reservationist* Passenger Agent* Passenger Booking Clerk* Reservation Agent* Reservation Sales Agent* Train Clerk* Train Reservation Clerk* Transportation Clerk* Travel Clerk</t>
  </si>
  <si>
    <t>Residential advisors    * Dormitory Counselor* House Parent* Residence Director* Residence Life Coordinator* Residential Advisor* Residential Director* Residential Life Director* Sorority Mother</t>
  </si>
  <si>
    <t>Respiratory therapists    * CRT* Certified Respiratory Therapist* Inhalation Therapist* Oxygen Therapist* RRT* Registered Respiratory Therapist* Respiratory Therapist</t>
  </si>
  <si>
    <t>Retail salespersons    * Automotive Salesperson* Department Store Salesperson* Menswear Salesperson* New Car Salesperson* Pet Supplies Salesperson* Pets Salesperson* Shoe Salesperson* Used Car Salesperson* Women's Apparel Salesperson</t>
  </si>
  <si>
    <t>Riggers    * Acrobatic Rigger* Boat Rigger* Crane Rigger* Fly Rail Operator* Gantry Rigger* High Rigger* Marine Rigger* Parachute Rigger* Ship Rigger* Theatrical Rigger* Wire Rigger* Yacht Rigger* Yard Rigger</t>
  </si>
  <si>
    <t>Rock splitters, quarry    * Quarry Plug and Feather Driller* Sandstone Splitter</t>
  </si>
  <si>
    <t>Rolling machine setters, operators, and tenders, metal and plastic    * Brass Roller* Forming Roll Operator* Metal Sheet Roller Operator* Pipe Straightener* Plastic Straightening Roll Operator* Steel Roller</t>
  </si>
  <si>
    <t>Roof bolters, mining</t>
  </si>
  <si>
    <t>Roofers    * Composition Roofer* Hot Tar Roofer* Industrial Roofer* Metal Roofing Mechanic* Residential Roofer* Roofer* Sheet Metal Roofer* Shingles Roofer* Slate Roofer* Terra Cotta Roofer</t>
  </si>
  <si>
    <t>Rotary drill operators, oil and gas    * Drilling Rig Operator* Natural Gas Shothole Driller* Oil Driller* Oil Rig Driller* Oil Well Cable Tool Driller* Oil Well Cable Tool Operator* Oil Well Driller* Prospecting Driller</t>
  </si>
  <si>
    <t>Roustabouts, oil and gas    * Oil Field Roustabout* Oil Rig Roughneck* Roustabout* Roustabout Pusher</t>
  </si>
  <si>
    <t>Sailors and marine oilers    * Able Seaman* Deck Cadet* Deck Hand* Deckhand* Merchant Mariner* Merchant Seaman* Ordinary Seaman* Sailor* Vessel Ordinary Seaman</t>
  </si>
  <si>
    <t>Sales and related workers, all other    * Auctioneer* Blood Donor Recruiter* Leaflet Distributor* Livestock Auctioneer* Personal Shopper* Store Gift Wrap Associate</t>
  </si>
  <si>
    <t>Sales engineers    * Aerospace Products Sales Engineer* Missile Navigation Systems Sales Engineer* Nuclear Equipment Sales Engineer</t>
  </si>
  <si>
    <t>Sales managers    * District Sales Manager* E-Commerce Director* Export Manager* Regional Sales Manager* Sales Account Manager* Sales Director* Territory Sales Manager</t>
  </si>
  <si>
    <t>Sales representatives of services, except advertising, insurance, financial services, and travel</t>
  </si>
  <si>
    <t>Sales representatives, wholesale and manufacturing, except technical and scientific products    * Bottling Equipment Sales Representative* Freight Broker* Hotel Supplies Salesperson* Mortician Supplies Sales Representative* Pulpwood Dealer* Wholesale Diamond Broker</t>
  </si>
  <si>
    <t>Sales representatives, wholesale and manufacturing, technical and scientific products    * Chemical Sales Representative* Electroplating Sales Representative* Engineering Supplies Sales* Pharmaceutical Detailer* Pharmaceutical Sales Representative* Pharmaceutical Salesperson* Surgical Instruments Sales Representative* Wholesale Ultrasonic Equipment Salesperson</t>
  </si>
  <si>
    <t>Sawing machine setters, operators, and tenders, wood    * Backup Sawyer* Band Scroll Saw Operator* Bandmill Operator* Buzzsaw Operator* Chop Saw Operator* Circle Saw Operator* Curve Saw Operator* Cut Off Saw Operator* Hardwood Sawyer* Headrig Sawyer* Panel Saw Operator* Rip Saw Operator* Stave Saw Operator* Trim Saw Operator</t>
  </si>
  <si>
    <t>School bus monitors and protective service workers, all other</t>
  </si>
  <si>
    <t>Secondary school teachers, except special and career/technical education    * High School Biology Teacher* High School English Teacher* High School French Teacher* High School History Teacher* High School Math Teacher* High School Music Director* High School Teacher</t>
  </si>
  <si>
    <t>Secretaries and administrative assistants, except legal, medical, and executive    * Alumni Secretary* Department Secretary* Office Secretary* Personal Secretary* Real Estate Administrative Assistant* School Attendance Secretary* School Secretary</t>
  </si>
  <si>
    <t>Securities, commodities, and financial services sales agents    * Commodities Broker* Commodity Trader* Equity Trader* Investment Banker* Municipal Bond Trader* Mutual Fund Sales Agent* Securities Trader* Stock Broker* Stock Trader</t>
  </si>
  <si>
    <t>Security and fire alarm systems installers    * Alarm Adjuster* Alarm Technician* Burglar Alarm Installer* Fire Alarm Installer* Fire Alarm Technician* Home Security Alarm Installer</t>
  </si>
  <si>
    <t>Security guards    * Armed Guard* Bank Guard* Bodyguard* Bouncer* Private Watchman* Security Officer</t>
  </si>
  <si>
    <t>Self-enrichment teachers    * Ballet Teacher* CPR Instructor* Ceramics Instructor* Citizenship Teacher* Dance Teacher* Defensive Driving Instructor* Driver Education Instructor* Driving Instructor* First Aid Instructor* Horseback Riding Instructor* Judo Instructor* Karate Instructor* Knitting Teacher* Martial Arts Instructor* Sailing Instructor* Skiing Instructor* Snowboard Instructor* Theater Education Teacher</t>
  </si>
  <si>
    <t>Semiconductor processing technicians    * Electronic Semiconductor Processor* Semiconductor Assembler* Wafer Fabricator</t>
  </si>
  <si>
    <t>Separating, filtering, clarifying, precipitating, and still machine setters, operators, and tenders    * Brewmaster* Fermentation Operator* Fermenter* Linseed Oil Temperer* Milk Pasteurizer* Milk Processor* Molasses Preparer* Pasteurizer* Winemaker</t>
  </si>
  <si>
    <t>Septic tank servicers and sewer pipe cleaners    * Electric Sewer Cleaning Machine Operator* Septic Pump Truck Driver* Septic Tank Cleaner* Sewage Screen Operator* Sewer Cleaner* Sewer Pipe Cleaner* Sewer and Drain Technician</t>
  </si>
  <si>
    <t>Service unit operators, oil and gas    * Oil Well Fishing-Tool Technician* Well Service Pump Equipment Operator* Well Service Rig Operator* Well Services Operator* Well Servicing Rig Operator</t>
  </si>
  <si>
    <t>Set and exhibit designers    * Scenic Designer* Set Decorator* Set Designer* Stage Scenery Designer* Theater Set Production Designer</t>
  </si>
  <si>
    <t>Sewers, hand    * Hand Quilter* Hand Sewer* Hand Stitcher* Hand Weaver</t>
  </si>
  <si>
    <t>Sewing machine operators    * Blind Stitch Machine Operator* Button Sewing Machine Operator* Carpet Sewing Machine Operator* Custom T-Shirt Embroidery Machine Operator* Embroidery Machine Operator* Hemming and Tacking Machine Operator* Ultrasonic Seaming Machine Operator</t>
  </si>
  <si>
    <t>Shampooers    * Scalp Treatment Specialist* Shampoo Assistant* Shampoo Technician* Shampooer</t>
  </si>
  <si>
    <t>Sheet metal workers    * Air Conditioning Sheet Metal Installer* Heating, Ventilation, and Air Conditioning  (HVAC) Sheet Metal Installer* Sheet Metal Duct Installer* Sheet Metal Fabricator* Sheet Metal Former* Sheet Metal Installer* Sheet Metal Layout Mechanic* Sheet Metal Layout Worker* Sheet Metal Worker* Tinsmith</t>
  </si>
  <si>
    <t>Ship engineers    * Barge Engineer* Ferry Engineer* Towboat Engineer* Tug Boat Engineer* Tugboat Engineer</t>
  </si>
  <si>
    <t>Shipping, receiving, and inventory clerks    * Freight Clerk* Incoming Freight Clerk* Receiving Clerk* Reconsignment Clerk* Route Delivery Clerk* Shipping Order Clerk* Shipping and Receiving Clerk* Store Receiving Clerk</t>
  </si>
  <si>
    <t>Shoe and leather workers and repairers    * Cobbler* Leather Lacer* Leather Worker* Luggage Repairer* Saddle Maker* Saddle and Harness Maker* Shoe Maker* Shoemaker</t>
  </si>
  <si>
    <t>Shoe machine operators and tenders    * Arch Cushion Press Operator* Insole Beveler* Lacing Operator* Lasting Machine Operator* Pump Stitcher* Rasper Machine Operator* Shoe Cementer* Shoe Sewing Machine Operator and Tender* Sole Trimmer</t>
  </si>
  <si>
    <t>Signal and track switch repairers    * Electric Track Switch Maintainer* Light Rail Signal Technician* Rail Signal Mechanic* Railway Signal Technician* Third Rail Installer* Train Control Electronic Technician* Train Control Technician</t>
  </si>
  <si>
    <t>Skincare specialists    * Electrolysis Needle Operator* Electrolysis Operator* Electrolysist* Esthetician* Facialist* Licensed Esthetician* Medical Esthetician* Skin Care Technician</t>
  </si>
  <si>
    <t>Slaughterers and meat packers    * Beef Splitter* Cattle Killer* Halal Meat Packer* Hog Slaughterer* Meat Packer* Meat Processor* Poultry Slaughterer* Shochet* Slaughterer</t>
  </si>
  <si>
    <t>Social and community service managers    * Child Welfare Director* Community Service Director* Community Service Organization Director* Family Service Center Director* Neighborhood Service Center Director* Social Service Director* Social Services Director* Youth Program Director</t>
  </si>
  <si>
    <t>Social and human service assistants    * Addictions Counselor Assistant* Case Work Aide* Clinical Social Work Aide* Family Service Assistant* Human Services Worker* Social Work Assistant</t>
  </si>
  <si>
    <t>Social science research assistants    * City Planning Aide* Economic Research Assistant* Economist Research Assistant* Historian Research Assistant* Political Science Research Assistant* Psychologist Research Assistant* Sociology Research Assistant</t>
  </si>
  <si>
    <t>Social sciences teachers, postsecondary, all other    * Social Science Professor* Survey Research Professor* Urban Planning Professor</t>
  </si>
  <si>
    <t>Social scientists and related workers, all other    * Behavioral Scientist* Demographer* Ethnologist* Etymologist* Linguist* Philologist* Social Scientist</t>
  </si>
  <si>
    <t>Social work teachers, postsecondary    * Family Welfare Social Work Professor* Geriatric Social Work Professor* Health Social Work Professor* Social Work Professor</t>
  </si>
  <si>
    <t>Social workers, all other    * Criminal Justice Social Worker* Forensic Social Worker* Sexual Assault Social Worker</t>
  </si>
  <si>
    <t>Sociologists    * Criminologist* Family Sociologist* Penologist* Rural Sociologist* Sociologist* Urban Sociologist</t>
  </si>
  <si>
    <t>Sociology teachers, postsecondary    * Comparative Sociology Professor* Race Relations Professor* Social Organization Professor</t>
  </si>
  <si>
    <t>Software developers and software quality assurance analysts and testers</t>
  </si>
  <si>
    <t>Soil and plant scientists    * Agriculturist* Agronomist* Arboreal Scientist* Crop Nutrition Scientist* Floriculturist* Horticulturist* Plant Physiologist* Plant Scientist* Pomologist* Soil Fertility Extension Specialist* Soil Scientist* Viticulturist</t>
  </si>
  <si>
    <t>Solar photovoltaic installers    * PV Installer* PV Panel Installer* Photovoltaic (PV) Installation Technician* Solar PV Installer</t>
  </si>
  <si>
    <t>Sound engineering technicians    * Audio Recording Engineer* Disc Recordist* Dub Room Engineer* Film Sound Engineer* Play Back Operator* Public Address Technician* Recording Engineer* Sound Assistant* Sound Cutter* Sound Designer* Sound Editor* Sound Effects Technician* Sound Engineering Technician</t>
  </si>
  <si>
    <t>Special education teachers, all other    * Autism Tutor* Special Education Teacher for Adults with Disabilities</t>
  </si>
  <si>
    <t>Special education teachers, kindergarten and elementary school    * SED Elementary School Teacher* Severe Emotional Disorders Elementary School Teacher* Special Education Kindergarten Teacher</t>
  </si>
  <si>
    <t>Special education teachers, middle school</t>
  </si>
  <si>
    <t>Special education teachers, preschool    * Early Childhood Special Education Teacher* Early Childhood Special Educator* Pre-K Special Education Teacher* Pre-Kindergarten Special Education Teacher* Special Education Preschool Teacher</t>
  </si>
  <si>
    <t>Special education teachers, secondary school</t>
  </si>
  <si>
    <t>Special effects artists and animators    * 3D Animator* Animator* Multimedia Artist* Special Effects Artist</t>
  </si>
  <si>
    <t>Speech-language pathologists    * Language Pathologist* Public School Speech Clinician* Public School Speech Therapist* Speech Clinician* Speech Pathologist* Speech Therapist* Speech and Language Specialist</t>
  </si>
  <si>
    <t>Stationary engineers and boiler operators    * Boiler Engineer* Boiler OperatorÂ¿Â¿Â¿* Boiler Plant Operator* Boiler Room Operator* Heating, Ventilation, and Air Conditioning (HVAC) Mechanic Boiler Operator* High Pressure Boiler Operator</t>
  </si>
  <si>
    <t>Statistical assistants    * Actuarial Assistant* Actuary Clerk* Data Analysis Assistant* Statistical Clerk* Tariff Compiling Clerk</t>
  </si>
  <si>
    <t>Statisticians    * Analytical Statistician* Applied Statistician* Biometrician* Biostatistician* Environmental Statistician* Mathematical Statistician* Research Biostatistician* Sampling Expert* Statistical Analyst* Statistical Reporting Analyst* Statistician* Survey Statistician* Time Study Statistician</t>
  </si>
  <si>
    <t>Stockers and order fillers</t>
  </si>
  <si>
    <t>Stonemasons    * Banker Mason* Curbstone Setter* Granite Setter* Memorial Mason* Monument Mason* Rock Mason* Stone Chimney Mason* Stone Layer* Stonemason</t>
  </si>
  <si>
    <t>Structural iron and steel workers    * Bridge Ironworker* Construction Ironworker* Iron Guardrail Installer* Metal Tank Erector* Ornamental Ironworker* Pre-Engineered Metal Building Ironworker* Precast Concrete Ironworker* Steel Fabricator* Steel Fitter* Structural Steel Erector* Wind Turbine Erector</t>
  </si>
  <si>
    <t>Structural metal fabricators and fitters    * Mill Beam Fitter* Protector Plate Attacher</t>
  </si>
  <si>
    <t>Substance abuse, behavioral disorder, and mental health counselors</t>
  </si>
  <si>
    <t>Substitute teachers, short-term</t>
  </si>
  <si>
    <t>Subway and streetcar operators    * Light Rail Operator* Light Rail Transit Operator* Light Rail Vehicle Operator* Rapid Transit Operator* Subway Conductor* Subway Train Operator* Tram Operator* Trolley Car Operator</t>
  </si>
  <si>
    <t>Surgeons, except ophthalmologists</t>
  </si>
  <si>
    <t>Surgical technologists    * Certified Surgical Technologist* OR Tech* Operating Room Technician* Surgical First Assistant* Surgical Scrub Technologist* Surgical Technologist</t>
  </si>
  <si>
    <t>Survey researchers    * Pollster* Survey Methodologist* Survey Questionnaire Designer* Survey Researcher</t>
  </si>
  <si>
    <t>Surveying and mapping technicians    * Cartographic Aide* Cartographic Technician* Field Map Technician* GIS Mapping Technician* Geophysical Prospecting Surveying Technician* Mapping Technician* Mineral Surveying Technician* Surveying Technician* Topography Technician</t>
  </si>
  <si>
    <t>Surveyors    * City Surveyor* County Surveyor* Geodetic Surveyor* Geophysical Prospecting Surveyor* Land Surveyor* Mine Surveyor* Mineral Surveyor* Registered Land Surveyor* Topographical Surveyor</t>
  </si>
  <si>
    <t>Switchboard operators, including answering service    * PBX Operator* Private Branch Exchange Operator* Telephone Answering Service Operator* Telephone Switchboard Operator</t>
  </si>
  <si>
    <t>Tailors, dressmakers, and custom sewers    * Alterations Sewer* Alterations Tailor* Bridal Gown Fitter* Coat Cutter* Coat Maker* Couture Dressmaker* Dress Fitter* Fur Tailor* Garment Fitter* Suit Maker* Vest Maker</t>
  </si>
  <si>
    <t>Tank car, truck, and ship loaders    * Barge Loader* Bulk Tank Car Unloader* Dock Loader* Rail Car Loader* Rail Loader* Ship Unloader* Tank Car Loader* Tank Truck Loader</t>
  </si>
  <si>
    <t>Tapers    * Drywall Taper* Sheet Rock Taper* Wall Taper</t>
  </si>
  <si>
    <t>Tax examiners and collectors, and revenue agents    * City Collector* Customs Appraiser* Income Tax Adjuster* Internal Revenue Agent* Internal Revenue Service Agent* Revenue Collector* Revenue Enforcement Agent* Tax Compliance Officer* Tax Compliance Representative* Tax Examiner* Tax Investigator* Tax Revenue Officer</t>
  </si>
  <si>
    <t>Tax preparers    * Corporate Tax Preparer* Income Tax Advisor* Income Tax Preparer* Licensed Tax Consultant* Tax Consultant* Tax Specialist</t>
  </si>
  <si>
    <t>Teaching assistants, except postsecondary</t>
  </si>
  <si>
    <t>Teaching assistants, postsecondary</t>
  </si>
  <si>
    <t>Technical writers    * Assembly Instructions Writer* Documentation Writer* Engineering Writer* Handbook Writer* Medical Writer* Specifications Writer* Technical Communicator* Technical Writer</t>
  </si>
  <si>
    <t>Telecommunications equipment installers and repairers, except line installers    * Communications Equipment Installer* Fiber Optic Central Office Installer* Headend Technician* Private Branch Exchange (PBX ) Installer and Repairer* Switchboard Wirer* Telecommunications Switch Technician</t>
  </si>
  <si>
    <t>Telecommunications line installers and repairers    * Cable Television Installer* FIOS Line Installer* Fiber Optic Technician* Telecommunication Lines Repairer* Telecommunications Line Installer* Telephone Cable Splicer* Telephone Lines Repairer* Telephone Lineworker</t>
  </si>
  <si>
    <t>Telemarketers    * Inbound Telemarketer* Outbound Telemarketer* Telemarketer* Telemarketing Sales Representative* Telephone Solicitor* Telesales Representative* Telesales Specialist</t>
  </si>
  <si>
    <t>Telephone operators    * 411 Directory Assistance Operator* Directory Assistance Operator* Information Operator* Local Telephone Operator* Long Distance Operator* Telephone Exchange Operator</t>
  </si>
  <si>
    <t>Tellers    * Bank Teller* Commercial Teller* Exchange Teller* Foreign Banknote Teller* Foreign Exchange Clerk* Loan Teller* Money Order Clerk* Receiving Teller* Savings Teller* Securities Teller</t>
  </si>
  <si>
    <t>Terrazzo workers and finishers    * Granite-Chip Terrazzo  Finisher* Marble-Chip Terrazzo Worker* Onyx-Chip Terrazzo Worker* Rustic Terrazzo Setter* Terrazzo Finisher* Terrazzo Grinder* Terrazzo Installer* Terrazzo Layer* Terrazzo Setter* Terrazzo Worker</t>
  </si>
  <si>
    <t>Textile bleaching and dyeing machine operators and tenders    * Cloth Dyer* Dye Range Operator* Rug Dyer* Skein Yarn Dyer* Yarn Dyer</t>
  </si>
  <si>
    <t>Textile cutting machine setters, operators, and tenders    * Bedspread Cutter* Canvas Cutter* Cloth Cutter* Industrial Fabric Cutter* Textile Slitting Machine Operator* Twill Cutter* Upholstery Cutter* Welt Trimming Machine Operator</t>
  </si>
  <si>
    <t>Textile knitting and weaving machine setters, operators, and tenders    * Crochet Machine Operator* Jacquard Loom Weaver* Knitter Operator* Knitting Machine Operator* Loom Operator* Looping Machine Operator* Warp Knitting Machine Operator</t>
  </si>
  <si>
    <t>Textile winding, twisting, and drawing out machine setters, operators, and tenders    * Rope Machine Setter* Roving Winder* Silk Winding Machine Operator* Twister Operator* Winder Operator</t>
  </si>
  <si>
    <t>Textile, apparel, and furnishings workers, all other    * Apparel Embroidery Digitizer* Feltmaker* Hat Blocking Machine Operator* Swatch Maker* Tassel Making Machine Operator</t>
  </si>
  <si>
    <t>Therapists, all other    * Art Therapist* Auriculotherapist* Educational Therapist* Hydrotherapist* Music Therapist* Peripatologist</t>
  </si>
  <si>
    <t>Tile and stone setters    * Ceramic Tile Installer* Hard Tile Setter* Marble Ceiling Installer* Parquet Floor Layer* Tile Installer* Tile Mason* Wood Tile Installer</t>
  </si>
  <si>
    <t>Timing device assemblers and adjusters</t>
  </si>
  <si>
    <t>Tire builders    * Auto Tire Recapper* Retreader* Tire Finisher* Tire Molder* Tire Retreader</t>
  </si>
  <si>
    <t>Tire repairers and changers    * Auto Tire Worker* Tire Balancer* Tire Fixer* Tire Mechanic* Tire Mounter* Tire Servicer* Tire Technician</t>
  </si>
  <si>
    <t>Title examiners, abstractors, and searchers    * Abstract Searcher* Abstract Writer* Advisory Title Officer* Escrow Officer* Land Title Examiner* Lease Examiner* Lien Searcher* Title Agent* Title Checker* Title Examiner* Title Inspector* Title Investigator* Title Officer* Title Searcher</t>
  </si>
  <si>
    <t>Tool and die makers    * Jig Bore Tool Maker* Metal Die Finisher* Metal Gauge Maker* Plastic Die Maker Apprentice* Tool Maker* Toolmaker</t>
  </si>
  <si>
    <t>Tool grinders, filers, and sharpeners    * Tool Grinder* Tool Grinding Machine Operator* Tool Sharpener* Tool Straightener</t>
  </si>
  <si>
    <t>Tour and travel guides</t>
  </si>
  <si>
    <t>Traffic technicians    * Highway Traffic Control Technician* Traffic Engineering Technician* Traffic Signal Technician* Transportation Planning Technician* Transportation Technician</t>
  </si>
  <si>
    <t>Training and development managers    * E-Learning Manager* Employee Development Director* Employee Development Manager* Labor Training Manager</t>
  </si>
  <si>
    <t>Training and development specialists    * Computer Training Specialist* Corporate Trainer* Employee Development Specialist* Job Training Specialist* Training Coordinator* Training Specialist* Workforce Development Specialist</t>
  </si>
  <si>
    <t>Transit and railroad police    * Railroad Detective* Railroad Police Officer* Track Patrol* Transit Authority Police* Transit Police Officer</t>
  </si>
  <si>
    <t>Transportation inspectors    * Aircraft Inspector* Aircraft Landing Gear Inspector* Aircraft Quality Control Inspector* Airworthiness Safety Inspector* Freight Inspector* Locomotive Inspector* Motor Vehicle Emissions Inspector* Railroad Car Inspector* Railroad Inspector* School Bus Inspector* Transit Vehicle Inspector</t>
  </si>
  <si>
    <t>Transportation security screeners    * Airport Baggage Screener* Airport Security Screener* Flight Security Specialist* Transportation Security Administration (TSA) Screener* Transportation Security Officer</t>
  </si>
  <si>
    <t>Transportation, storage, and distribution managers    * Airport Manager* Cold Storage Supervisor* Distribution Center Manager* Logistics Manager* Logistics Supply Officer* Marine Oil Terminal Superintendent* Traffic Safety Administrator* Transportation Manager* Warehouse Manager* Warehouse Operations Manager</t>
  </si>
  <si>
    <t>Travel agents    * Auto Travel Counselor* Certified Corporate Travel Executive* Certified Travel Counselor* Corporate Travel Expert* Travel Agent* Travel Consultant* Travel Counselor* Travel Service Consultant</t>
  </si>
  <si>
    <t>Tree trimmers and pruners    * Pruner* Tree Pruner* Tree Specialist* Tree Surgeon* Tree Trimmer</t>
  </si>
  <si>
    <t>Tutors and teachers and instructors, all other</t>
  </si>
  <si>
    <t>Umpires, referees, and other sports officials    * Athletic Events Scorer* Baseball Umpire* Diving Judge* Dressage Judge* Equestrian Events Judge* Handicapper* Horse Show Judge* Paddock Judge* Pit Steward* Placing Judge* Race Starter</t>
  </si>
  <si>
    <t>Underground mining machine operators and extraction workers, all other</t>
  </si>
  <si>
    <t>Upholsterers    * Aircraft Seat Upholsterer* Auto Upholsterer* Chair Upholsterer* Dining Chair Seat Cushion Trimmer* Furniture Upholsterer* Seating Upholsterer</t>
  </si>
  <si>
    <t>Urban and regional planners    * City Planner* Community Development Planner* Regional Planner* Urban Planner</t>
  </si>
  <si>
    <t>Ushers, lobby attendants, and ticket takers    * Drive-In Theater Attendant* Lobby Attendant* Theater Usher* Ticket Attendant* Ticket Collector* Usher</t>
  </si>
  <si>
    <t>Veterinarians    * Animal Pathologist* Animal Surgeon* Doctor of Veterinary Medicine* Doctor of Veterinary Medicine (DVM)* Equine Veterinarian* Large Animal Veterinarian* Poultry Pathologist* Public Health Veterinarian* Small Animal Veterinarian* Veterinary Medicine Scientist* Wildlife Veterinarian</t>
  </si>
  <si>
    <t>Veterinary assistants and laboratory animal caretakers    * Laboratory Animal Caretaker* Veterinarian Assistant* Veterinarian Helper* Veterinary Attendant</t>
  </si>
  <si>
    <t>Veterinary technologists and technicians    * Certified Veterinary Technician* LVT* Licensed Veterinary Technician* Registered Veterinary Technician* Veterinary Lab Tech* Veterinary Laboratory Technician* Veterinary Surgery Technician* Veterinary Surgery Technologist* Veterinary Technologist* Veterinary X-Ray Operator</t>
  </si>
  <si>
    <t>Waiters and waitresses    * Cocktail Server* Cocktail Waitress* Dining Car Server* Restaurant Server* Wine Steward</t>
  </si>
  <si>
    <t>Watch and clock repairers    * Antique Clock Repairer* Chronometer Repairer* Clock Repair Technician* Clockmaker* Clocksmith* Horologist* Time Piece Repairer* Watchmaker</t>
  </si>
  <si>
    <t>Water and wastewater treatment plant and system operators    * Industrial Waste Treatment Technician* Lead Sewage Plant Operator* Liquid Waste Treatment Plant Operator* Sewage Plant Operator* Waste Treatment Operator* Wastewater Operator* Water Plant Operator* Water Treatment Technician</t>
  </si>
  <si>
    <t>Web developers and digital interface designers</t>
  </si>
  <si>
    <t>Weighers, measurers, checkers, and samplers, recordkeeping    * Bean Weigher* Cheese Weigher* Freight Checker* Sample Checker* Scale Attendant* Scale Clerk* Scale Operator* Warehouse Checker* Weighing Station Operator* Wool Sampler</t>
  </si>
  <si>
    <t>Welders, cutters, solderers, and brazers    * Aluminum Welder* Arc Welder* Brazer* Certified Maintenance Welder* Cutting Torch Operator* Pipe Welder* Silver Solderer* Sub Arc Operator* Welder Fitter* Wire Welder</t>
  </si>
  <si>
    <t>Welding, soldering, and brazing machine setters, operators, and tenders    * Brazing Machine Operator* Brazing Machine Setter and Setup Operator* Brazing Machine Tender* Electron Beam Welder Setter* Machine Welder* Reserve Tube Welder* Soldering Machine Operator* Soldering Machine Setter and Setup Operator* Soldering Machine Tender* Ultrasonic Welding Machine Operator* Welding Machine Operator</t>
  </si>
  <si>
    <t>Wellhead pumpers    * Oil Field Pumper* Oil Well Pumper* Oilfield Plant and Field Operator* Wellhead Pumper</t>
  </si>
  <si>
    <t>Wind turbine service technicians    * Wind Energy Mechanic* Wind Energy Technician* Wind Turbine Mechanic* Wind Turbine Technician</t>
  </si>
  <si>
    <t>Woodworkers, all other    * Pole Framer* Timber Framer* Wood Carver* Wood Casket Assembler* Wood Veneer Taper</t>
  </si>
  <si>
    <t>Woodworking machine setters, operators, and tenders, except sawing    * CNC Wood Lathe Operator* Roof Truss Builder* Speed Belt Sander* Tenon Operator* Wood Boring Machine Operator* Wood Dowel Machine Operator* Wood Lathe Operator* Wood Planer</t>
  </si>
  <si>
    <t>Word processors and typists    * Clerk Typist* Dictaphone Typist* Legal Transcriptionist* Statistical Typist* Transcription Typist* Typist* Word Processor</t>
  </si>
  <si>
    <t>Writers and authors    * Advertising Copy Writer* Advertising Copywriter* Author* Biographer* Copy Writer* Copywriter* Lyricist* Novelist* Playwright* Poet* Program Writer* Radio Script Writer* Screen Writer* Short Story Writer* Song Lyricist* Television Writer* Verse Writer</t>
  </si>
  <si>
    <t>Zoologists and wildlife biologists    * Aquatic Biologist* Entomologist* Fish Culturist* Fishery Biologist* Herpetologist* Ichthyologist* Lepidopterist* Marine Biologist* Migratory Game Bird Biologist* Ornithologist* Protozoologist* Wildlife Biologist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</si>
</sst>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1"/>
  <sheetViews>
    <sheetView tabSelected="1" workbookViewId="0">
      <selection activeCell="H1" sqref="H1:H1048576"/>
    </sheetView>
  </sheetViews>
  <sheetFormatPr defaultRowHeight="14.4" x14ac:dyDescent="0.3"/>
  <cols>
    <col min="8" max="8" width="9.5546875" style="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tr">
        <f>"13-2011"</f>
        <v>13-2011</v>
      </c>
      <c r="C2" s="1">
        <v>1392.2</v>
      </c>
      <c r="D2" s="1">
        <v>1488.2</v>
      </c>
      <c r="E2">
        <v>96</v>
      </c>
      <c r="F2">
        <v>6.9</v>
      </c>
      <c r="G2">
        <v>135</v>
      </c>
      <c r="H2" s="2">
        <v>73560</v>
      </c>
      <c r="I2" t="s">
        <v>15</v>
      </c>
      <c r="J2">
        <v>3</v>
      </c>
      <c r="K2" t="s">
        <v>16</v>
      </c>
      <c r="L2">
        <v>4</v>
      </c>
      <c r="M2" t="s">
        <v>16</v>
      </c>
      <c r="N2">
        <v>6</v>
      </c>
    </row>
    <row r="3" spans="1:14" x14ac:dyDescent="0.3">
      <c r="A3" t="s">
        <v>17</v>
      </c>
      <c r="B3" t="str">
        <f>"27-2011"</f>
        <v>27-2011</v>
      </c>
      <c r="C3">
        <v>51.6</v>
      </c>
      <c r="D3">
        <v>68.3</v>
      </c>
      <c r="E3">
        <v>16.7</v>
      </c>
      <c r="F3">
        <v>32.4</v>
      </c>
      <c r="G3">
        <v>8.1999999999999993</v>
      </c>
      <c r="H3" s="2" t="s">
        <v>18</v>
      </c>
      <c r="I3" t="s">
        <v>19</v>
      </c>
      <c r="J3">
        <v>6</v>
      </c>
      <c r="K3" t="s">
        <v>16</v>
      </c>
      <c r="L3">
        <v>4</v>
      </c>
      <c r="M3" t="s">
        <v>20</v>
      </c>
      <c r="N3">
        <v>3</v>
      </c>
    </row>
    <row r="4" spans="1:14" x14ac:dyDescent="0.3">
      <c r="A4" t="s">
        <v>21</v>
      </c>
      <c r="B4" t="str">
        <f>"15-2011"</f>
        <v>15-2011</v>
      </c>
      <c r="C4">
        <v>27.7</v>
      </c>
      <c r="D4">
        <v>34.5</v>
      </c>
      <c r="E4">
        <v>6.8</v>
      </c>
      <c r="F4">
        <v>24.5</v>
      </c>
      <c r="G4">
        <v>2.4</v>
      </c>
      <c r="H4" s="2">
        <v>111030</v>
      </c>
      <c r="I4" t="s">
        <v>15</v>
      </c>
      <c r="J4">
        <v>3</v>
      </c>
      <c r="K4" t="s">
        <v>16</v>
      </c>
      <c r="L4">
        <v>4</v>
      </c>
      <c r="M4" t="s">
        <v>20</v>
      </c>
      <c r="N4">
        <v>3</v>
      </c>
    </row>
    <row r="5" spans="1:14" x14ac:dyDescent="0.3">
      <c r="A5" t="s">
        <v>22</v>
      </c>
      <c r="B5" t="str">
        <f>"29-1298"</f>
        <v>29-1298</v>
      </c>
      <c r="C5">
        <v>55.7</v>
      </c>
      <c r="D5">
        <v>58.3</v>
      </c>
      <c r="E5">
        <v>2.6</v>
      </c>
      <c r="F5">
        <v>4.7</v>
      </c>
      <c r="G5">
        <v>3.6</v>
      </c>
      <c r="H5" s="2">
        <v>82420</v>
      </c>
      <c r="I5" t="s">
        <v>23</v>
      </c>
      <c r="J5">
        <v>2</v>
      </c>
      <c r="K5" t="s">
        <v>16</v>
      </c>
      <c r="L5">
        <v>4</v>
      </c>
      <c r="M5" t="s">
        <v>16</v>
      </c>
      <c r="N5">
        <v>6</v>
      </c>
    </row>
    <row r="6" spans="1:14" x14ac:dyDescent="0.3">
      <c r="A6" t="s">
        <v>24</v>
      </c>
      <c r="B6" t="str">
        <f>"51-9191"</f>
        <v>51-9191</v>
      </c>
      <c r="C6">
        <v>12.5</v>
      </c>
      <c r="D6">
        <v>12.6</v>
      </c>
      <c r="E6">
        <v>0.1</v>
      </c>
      <c r="F6">
        <v>0.9</v>
      </c>
      <c r="G6">
        <v>1.5</v>
      </c>
      <c r="H6" s="2">
        <v>36280</v>
      </c>
      <c r="I6" t="s">
        <v>25</v>
      </c>
      <c r="J6">
        <v>7</v>
      </c>
      <c r="K6" t="s">
        <v>16</v>
      </c>
      <c r="L6">
        <v>4</v>
      </c>
      <c r="M6" t="s">
        <v>26</v>
      </c>
      <c r="N6">
        <v>4</v>
      </c>
    </row>
    <row r="7" spans="1:14" x14ac:dyDescent="0.3">
      <c r="A7" t="s">
        <v>27</v>
      </c>
      <c r="B7" t="str">
        <f>"23-1021"</f>
        <v>23-1021</v>
      </c>
      <c r="C7">
        <v>15.5</v>
      </c>
      <c r="D7">
        <v>15.6</v>
      </c>
      <c r="E7">
        <v>0.1</v>
      </c>
      <c r="F7">
        <v>0.8</v>
      </c>
      <c r="G7">
        <v>0.7</v>
      </c>
      <c r="H7" s="2">
        <v>97520</v>
      </c>
      <c r="I7" t="s">
        <v>28</v>
      </c>
      <c r="J7">
        <v>1</v>
      </c>
      <c r="K7" t="s">
        <v>29</v>
      </c>
      <c r="L7">
        <v>1</v>
      </c>
      <c r="M7" t="s">
        <v>30</v>
      </c>
      <c r="N7">
        <v>5</v>
      </c>
    </row>
    <row r="8" spans="1:14" x14ac:dyDescent="0.3">
      <c r="A8" t="s">
        <v>31</v>
      </c>
      <c r="B8" t="str">
        <f>"11-3010"</f>
        <v>11-3010</v>
      </c>
      <c r="C8">
        <v>322</v>
      </c>
      <c r="D8">
        <v>350.5</v>
      </c>
      <c r="E8">
        <v>28.6</v>
      </c>
      <c r="F8">
        <v>8.9</v>
      </c>
      <c r="G8">
        <v>29.2</v>
      </c>
      <c r="H8" s="2">
        <v>98890</v>
      </c>
      <c r="I8" t="s">
        <v>15</v>
      </c>
      <c r="J8">
        <v>3</v>
      </c>
      <c r="K8" t="s">
        <v>32</v>
      </c>
      <c r="L8">
        <v>2</v>
      </c>
      <c r="M8" t="s">
        <v>16</v>
      </c>
      <c r="N8">
        <v>6</v>
      </c>
    </row>
    <row r="9" spans="1:14" x14ac:dyDescent="0.3">
      <c r="A9" t="s">
        <v>33</v>
      </c>
      <c r="B9" t="str">
        <f>"25-3011"</f>
        <v>25-3011</v>
      </c>
      <c r="C9">
        <v>48.3</v>
      </c>
      <c r="D9">
        <v>45.9</v>
      </c>
      <c r="E9">
        <v>-2.4</v>
      </c>
      <c r="F9">
        <v>-5</v>
      </c>
      <c r="G9">
        <v>5.0999999999999996</v>
      </c>
      <c r="H9" s="2">
        <v>55350</v>
      </c>
      <c r="I9" t="s">
        <v>15</v>
      </c>
      <c r="J9">
        <v>3</v>
      </c>
      <c r="K9" t="s">
        <v>16</v>
      </c>
      <c r="L9">
        <v>4</v>
      </c>
      <c r="M9" t="s">
        <v>16</v>
      </c>
      <c r="N9">
        <v>6</v>
      </c>
    </row>
    <row r="10" spans="1:14" x14ac:dyDescent="0.3">
      <c r="A10" t="s">
        <v>34</v>
      </c>
      <c r="B10" t="str">
        <f>"11-2011"</f>
        <v>11-2011</v>
      </c>
      <c r="C10">
        <v>23.2</v>
      </c>
      <c r="D10">
        <v>25.6</v>
      </c>
      <c r="E10">
        <v>2.4</v>
      </c>
      <c r="F10">
        <v>10.3</v>
      </c>
      <c r="G10">
        <v>2.5</v>
      </c>
      <c r="H10" s="2">
        <v>133460</v>
      </c>
      <c r="I10" t="s">
        <v>15</v>
      </c>
      <c r="J10">
        <v>3</v>
      </c>
      <c r="K10" t="s">
        <v>32</v>
      </c>
      <c r="L10">
        <v>2</v>
      </c>
      <c r="M10" t="s">
        <v>16</v>
      </c>
      <c r="N10">
        <v>6</v>
      </c>
    </row>
    <row r="11" spans="1:14" x14ac:dyDescent="0.3">
      <c r="A11" t="s">
        <v>35</v>
      </c>
      <c r="B11" t="str">
        <f>"41-3011"</f>
        <v>41-3011</v>
      </c>
      <c r="C11">
        <v>115.1</v>
      </c>
      <c r="D11">
        <v>118.7</v>
      </c>
      <c r="E11">
        <v>3.6</v>
      </c>
      <c r="F11">
        <v>3.1</v>
      </c>
      <c r="G11">
        <v>14.8</v>
      </c>
      <c r="H11" s="2">
        <v>54940</v>
      </c>
      <c r="I11" t="s">
        <v>25</v>
      </c>
      <c r="J11">
        <v>7</v>
      </c>
      <c r="K11" t="s">
        <v>16</v>
      </c>
      <c r="L11">
        <v>4</v>
      </c>
      <c r="M11" t="s">
        <v>26</v>
      </c>
      <c r="N11">
        <v>4</v>
      </c>
    </row>
    <row r="12" spans="1:14" x14ac:dyDescent="0.3">
      <c r="A12" t="s">
        <v>36</v>
      </c>
      <c r="B12" t="str">
        <f>"17-3021"</f>
        <v>17-3021</v>
      </c>
      <c r="C12">
        <v>11.9</v>
      </c>
      <c r="D12">
        <v>12.9</v>
      </c>
      <c r="E12">
        <v>1.1000000000000001</v>
      </c>
      <c r="F12">
        <v>8.9</v>
      </c>
      <c r="G12">
        <v>1.2</v>
      </c>
      <c r="H12" s="2">
        <v>68570</v>
      </c>
      <c r="I12" t="s">
        <v>37</v>
      </c>
      <c r="J12">
        <v>4</v>
      </c>
      <c r="K12" t="s">
        <v>16</v>
      </c>
      <c r="L12">
        <v>4</v>
      </c>
      <c r="M12" t="s">
        <v>16</v>
      </c>
      <c r="N12">
        <v>6</v>
      </c>
    </row>
    <row r="13" spans="1:14" x14ac:dyDescent="0.3">
      <c r="A13" t="s">
        <v>38</v>
      </c>
      <c r="B13" t="str">
        <f>"17-2011"</f>
        <v>17-2011</v>
      </c>
      <c r="C13">
        <v>61.4</v>
      </c>
      <c r="D13">
        <v>66.5</v>
      </c>
      <c r="E13">
        <v>5.0999999999999996</v>
      </c>
      <c r="F13">
        <v>8.3000000000000007</v>
      </c>
      <c r="G13">
        <v>4</v>
      </c>
      <c r="H13" s="2">
        <v>118610</v>
      </c>
      <c r="I13" t="s">
        <v>15</v>
      </c>
      <c r="J13">
        <v>3</v>
      </c>
      <c r="K13" t="s">
        <v>16</v>
      </c>
      <c r="L13">
        <v>4</v>
      </c>
      <c r="M13" t="s">
        <v>16</v>
      </c>
      <c r="N13">
        <v>6</v>
      </c>
    </row>
    <row r="14" spans="1:14" x14ac:dyDescent="0.3">
      <c r="A14" t="s">
        <v>39</v>
      </c>
      <c r="B14" t="str">
        <f>"13-1011"</f>
        <v>13-1011</v>
      </c>
      <c r="C14">
        <v>18.7</v>
      </c>
      <c r="D14">
        <v>27.3</v>
      </c>
      <c r="E14">
        <v>8.6</v>
      </c>
      <c r="F14">
        <v>46.3</v>
      </c>
      <c r="G14">
        <v>3.4</v>
      </c>
      <c r="H14" s="2">
        <v>75420</v>
      </c>
      <c r="I14" t="s">
        <v>15</v>
      </c>
      <c r="J14">
        <v>3</v>
      </c>
      <c r="K14" t="s">
        <v>32</v>
      </c>
      <c r="L14">
        <v>2</v>
      </c>
      <c r="M14" t="s">
        <v>16</v>
      </c>
      <c r="N14">
        <v>6</v>
      </c>
    </row>
    <row r="15" spans="1:14" x14ac:dyDescent="0.3">
      <c r="A15" t="s">
        <v>40</v>
      </c>
      <c r="B15" t="str">
        <f>"19-4010"</f>
        <v>19-4010</v>
      </c>
      <c r="C15">
        <v>26.6</v>
      </c>
      <c r="D15">
        <v>28.7</v>
      </c>
      <c r="E15">
        <v>2.1</v>
      </c>
      <c r="F15">
        <v>7.9</v>
      </c>
      <c r="G15">
        <v>3.7</v>
      </c>
      <c r="H15" s="2">
        <v>41970</v>
      </c>
      <c r="I15" t="s">
        <v>37</v>
      </c>
      <c r="J15">
        <v>4</v>
      </c>
      <c r="K15" t="s">
        <v>16</v>
      </c>
      <c r="L15">
        <v>4</v>
      </c>
      <c r="M15" t="s">
        <v>26</v>
      </c>
      <c r="N15">
        <v>4</v>
      </c>
    </row>
    <row r="16" spans="1:14" x14ac:dyDescent="0.3">
      <c r="A16" t="s">
        <v>41</v>
      </c>
      <c r="B16" t="str">
        <f>"17-2021"</f>
        <v>17-2021</v>
      </c>
      <c r="C16">
        <v>1.5</v>
      </c>
      <c r="D16">
        <v>1.5</v>
      </c>
      <c r="E16">
        <v>0.1</v>
      </c>
      <c r="F16">
        <v>4.5</v>
      </c>
      <c r="G16">
        <v>0.1</v>
      </c>
      <c r="H16" s="2">
        <v>84410</v>
      </c>
      <c r="I16" t="s">
        <v>15</v>
      </c>
      <c r="J16">
        <v>3</v>
      </c>
      <c r="K16" t="s">
        <v>16</v>
      </c>
      <c r="L16">
        <v>4</v>
      </c>
      <c r="M16" t="s">
        <v>16</v>
      </c>
      <c r="N16">
        <v>6</v>
      </c>
    </row>
    <row r="17" spans="1:14" x14ac:dyDescent="0.3">
      <c r="A17" t="s">
        <v>42</v>
      </c>
      <c r="B17" t="str">
        <f>"45-2091"</f>
        <v>45-2091</v>
      </c>
      <c r="C17">
        <v>65</v>
      </c>
      <c r="D17">
        <v>73.400000000000006</v>
      </c>
      <c r="E17">
        <v>8.4</v>
      </c>
      <c r="F17">
        <v>12.9</v>
      </c>
      <c r="G17">
        <v>11.7</v>
      </c>
      <c r="H17" s="2">
        <v>32750</v>
      </c>
      <c r="I17" t="s">
        <v>43</v>
      </c>
      <c r="J17">
        <v>8</v>
      </c>
      <c r="K17" t="s">
        <v>16</v>
      </c>
      <c r="L17">
        <v>4</v>
      </c>
      <c r="M17" t="s">
        <v>26</v>
      </c>
      <c r="N17">
        <v>4</v>
      </c>
    </row>
    <row r="18" spans="1:14" x14ac:dyDescent="0.3">
      <c r="A18" t="s">
        <v>44</v>
      </c>
      <c r="B18" t="str">
        <f>"45-2011"</f>
        <v>45-2011</v>
      </c>
      <c r="C18">
        <v>16.600000000000001</v>
      </c>
      <c r="D18">
        <v>18.2</v>
      </c>
      <c r="E18">
        <v>1.5</v>
      </c>
      <c r="F18">
        <v>9.1</v>
      </c>
      <c r="G18">
        <v>2.9</v>
      </c>
      <c r="H18" s="2">
        <v>46700</v>
      </c>
      <c r="I18" t="s">
        <v>15</v>
      </c>
      <c r="J18">
        <v>3</v>
      </c>
      <c r="K18" t="s">
        <v>16</v>
      </c>
      <c r="L18">
        <v>4</v>
      </c>
      <c r="M18" t="s">
        <v>26</v>
      </c>
      <c r="N18">
        <v>4</v>
      </c>
    </row>
    <row r="19" spans="1:14" x14ac:dyDescent="0.3">
      <c r="A19" t="s">
        <v>45</v>
      </c>
      <c r="B19" t="str">
        <f>"25-1041"</f>
        <v>25-1041</v>
      </c>
      <c r="C19">
        <v>9.9</v>
      </c>
      <c r="D19">
        <v>10.4</v>
      </c>
      <c r="E19">
        <v>0.5</v>
      </c>
      <c r="F19">
        <v>5</v>
      </c>
      <c r="G19">
        <v>1</v>
      </c>
      <c r="H19" s="2">
        <v>90340</v>
      </c>
      <c r="I19" t="s">
        <v>28</v>
      </c>
      <c r="J19">
        <v>1</v>
      </c>
      <c r="K19" t="s">
        <v>16</v>
      </c>
      <c r="L19">
        <v>4</v>
      </c>
      <c r="M19" t="s">
        <v>16</v>
      </c>
      <c r="N19">
        <v>6</v>
      </c>
    </row>
    <row r="20" spans="1:14" x14ac:dyDescent="0.3">
      <c r="A20" t="s">
        <v>46</v>
      </c>
      <c r="B20" t="str">
        <f>"45-2099"</f>
        <v>45-2099</v>
      </c>
      <c r="C20">
        <v>12.3</v>
      </c>
      <c r="D20">
        <v>12.9</v>
      </c>
      <c r="E20">
        <v>0.6</v>
      </c>
      <c r="F20">
        <v>4.9000000000000004</v>
      </c>
      <c r="G20">
        <v>2</v>
      </c>
      <c r="H20" s="2">
        <v>30140</v>
      </c>
      <c r="I20" t="s">
        <v>43</v>
      </c>
      <c r="J20">
        <v>8</v>
      </c>
      <c r="K20" t="s">
        <v>16</v>
      </c>
      <c r="L20">
        <v>4</v>
      </c>
      <c r="M20" t="s">
        <v>30</v>
      </c>
      <c r="N20">
        <v>5</v>
      </c>
    </row>
    <row r="21" spans="1:14" x14ac:dyDescent="0.3">
      <c r="A21" t="s">
        <v>47</v>
      </c>
      <c r="B21" t="str">
        <f>"53-2021"</f>
        <v>53-2021</v>
      </c>
      <c r="C21">
        <v>24.5</v>
      </c>
      <c r="D21">
        <v>25.5</v>
      </c>
      <c r="E21">
        <v>0.9</v>
      </c>
      <c r="F21">
        <v>3.8</v>
      </c>
      <c r="G21">
        <v>2.5</v>
      </c>
      <c r="H21" s="2">
        <v>130420</v>
      </c>
      <c r="I21" t="s">
        <v>37</v>
      </c>
      <c r="J21">
        <v>4</v>
      </c>
      <c r="K21" t="s">
        <v>16</v>
      </c>
      <c r="L21">
        <v>4</v>
      </c>
      <c r="M21" t="s">
        <v>20</v>
      </c>
      <c r="N21">
        <v>3</v>
      </c>
    </row>
    <row r="22" spans="1:14" x14ac:dyDescent="0.3">
      <c r="A22" t="s">
        <v>48</v>
      </c>
      <c r="B22" t="str">
        <f>"53-1041"</f>
        <v>53-1041</v>
      </c>
      <c r="C22">
        <v>11</v>
      </c>
      <c r="D22">
        <v>12.3</v>
      </c>
      <c r="E22">
        <v>1.3</v>
      </c>
      <c r="F22">
        <v>11.9</v>
      </c>
      <c r="G22">
        <v>1.4</v>
      </c>
      <c r="H22" s="2">
        <v>53610</v>
      </c>
      <c r="I22" t="s">
        <v>25</v>
      </c>
      <c r="J22">
        <v>7</v>
      </c>
      <c r="K22" t="s">
        <v>32</v>
      </c>
      <c r="L22">
        <v>2</v>
      </c>
      <c r="M22" t="s">
        <v>16</v>
      </c>
      <c r="N22">
        <v>6</v>
      </c>
    </row>
    <row r="23" spans="1:14" x14ac:dyDescent="0.3">
      <c r="A23" t="s">
        <v>49</v>
      </c>
      <c r="B23" t="str">
        <f>"49-3011"</f>
        <v>49-3011</v>
      </c>
      <c r="C23">
        <v>130.1</v>
      </c>
      <c r="D23">
        <v>145.4</v>
      </c>
      <c r="E23">
        <v>15.3</v>
      </c>
      <c r="F23">
        <v>11.8</v>
      </c>
      <c r="G23">
        <v>12.7</v>
      </c>
      <c r="H23" s="2">
        <v>66440</v>
      </c>
      <c r="I23" t="s">
        <v>50</v>
      </c>
      <c r="J23">
        <v>5</v>
      </c>
      <c r="K23" t="s">
        <v>16</v>
      </c>
      <c r="L23">
        <v>4</v>
      </c>
      <c r="M23" t="s">
        <v>16</v>
      </c>
      <c r="N23">
        <v>6</v>
      </c>
    </row>
    <row r="24" spans="1:14" x14ac:dyDescent="0.3">
      <c r="A24" t="s">
        <v>51</v>
      </c>
      <c r="B24" t="str">
        <f>"53-6098"</f>
        <v>53-6098</v>
      </c>
      <c r="C24">
        <v>32.1</v>
      </c>
      <c r="D24">
        <v>36.700000000000003</v>
      </c>
      <c r="E24">
        <v>4.5</v>
      </c>
      <c r="F24">
        <v>14.1</v>
      </c>
      <c r="G24">
        <v>5.0999999999999996</v>
      </c>
      <c r="H24" s="2">
        <v>37790</v>
      </c>
      <c r="I24" t="s">
        <v>25</v>
      </c>
      <c r="J24">
        <v>7</v>
      </c>
      <c r="K24" t="s">
        <v>16</v>
      </c>
      <c r="L24">
        <v>4</v>
      </c>
      <c r="M24" t="s">
        <v>30</v>
      </c>
      <c r="N24">
        <v>5</v>
      </c>
    </row>
    <row r="25" spans="1:14" x14ac:dyDescent="0.3">
      <c r="A25" t="s">
        <v>52</v>
      </c>
      <c r="B25" t="str">
        <f>"51-2011"</f>
        <v>51-2011</v>
      </c>
      <c r="C25">
        <v>37.799999999999997</v>
      </c>
      <c r="D25">
        <v>31.7</v>
      </c>
      <c r="E25">
        <v>-6</v>
      </c>
      <c r="F25">
        <v>-15.9</v>
      </c>
      <c r="G25">
        <v>3.2</v>
      </c>
      <c r="H25" s="2">
        <v>53160</v>
      </c>
      <c r="I25" t="s">
        <v>25</v>
      </c>
      <c r="J25">
        <v>7</v>
      </c>
      <c r="K25" t="s">
        <v>16</v>
      </c>
      <c r="L25">
        <v>4</v>
      </c>
      <c r="M25" t="s">
        <v>26</v>
      </c>
      <c r="N25">
        <v>4</v>
      </c>
    </row>
    <row r="26" spans="1:14" x14ac:dyDescent="0.3">
      <c r="A26" t="s">
        <v>53</v>
      </c>
      <c r="B26" t="str">
        <f>"53-2022"</f>
        <v>53-2022</v>
      </c>
      <c r="C26">
        <v>10.4</v>
      </c>
      <c r="D26">
        <v>11.7</v>
      </c>
      <c r="E26">
        <v>1.3</v>
      </c>
      <c r="F26">
        <v>12.9</v>
      </c>
      <c r="G26">
        <v>1.2</v>
      </c>
      <c r="H26" s="2">
        <v>51330</v>
      </c>
      <c r="I26" t="s">
        <v>25</v>
      </c>
      <c r="J26">
        <v>7</v>
      </c>
      <c r="K26" t="s">
        <v>16</v>
      </c>
      <c r="L26">
        <v>4</v>
      </c>
      <c r="M26" t="s">
        <v>20</v>
      </c>
      <c r="N26">
        <v>3</v>
      </c>
    </row>
    <row r="27" spans="1:14" x14ac:dyDescent="0.3">
      <c r="A27" t="s">
        <v>54</v>
      </c>
      <c r="B27" t="str">
        <f>"53-2011"</f>
        <v>53-2011</v>
      </c>
      <c r="C27">
        <v>74.7</v>
      </c>
      <c r="D27">
        <v>85</v>
      </c>
      <c r="E27">
        <v>10.3</v>
      </c>
      <c r="F27">
        <v>13.7</v>
      </c>
      <c r="G27">
        <v>9.6</v>
      </c>
      <c r="H27" s="2">
        <v>160970</v>
      </c>
      <c r="I27" t="s">
        <v>15</v>
      </c>
      <c r="J27">
        <v>3</v>
      </c>
      <c r="K27" t="s">
        <v>32</v>
      </c>
      <c r="L27">
        <v>2</v>
      </c>
      <c r="M27" t="s">
        <v>26</v>
      </c>
      <c r="N27">
        <v>4</v>
      </c>
    </row>
    <row r="28" spans="1:14" x14ac:dyDescent="0.3">
      <c r="A28" t="s">
        <v>55</v>
      </c>
      <c r="B28" t="str">
        <f>"53-3011"</f>
        <v>53-3011</v>
      </c>
      <c r="C28">
        <v>14.2</v>
      </c>
      <c r="D28">
        <v>16.5</v>
      </c>
      <c r="E28">
        <v>2.2999999999999998</v>
      </c>
      <c r="F28">
        <v>16.3</v>
      </c>
      <c r="G28">
        <v>1.9</v>
      </c>
      <c r="H28" s="2">
        <v>27930</v>
      </c>
      <c r="I28" t="s">
        <v>25</v>
      </c>
      <c r="J28">
        <v>7</v>
      </c>
      <c r="K28" t="s">
        <v>16</v>
      </c>
      <c r="L28">
        <v>4</v>
      </c>
      <c r="M28" t="s">
        <v>26</v>
      </c>
      <c r="N28">
        <v>4</v>
      </c>
    </row>
    <row r="29" spans="1:14" x14ac:dyDescent="0.3">
      <c r="A29" t="s">
        <v>56</v>
      </c>
      <c r="B29" t="str">
        <f>"39-3091"</f>
        <v>39-3091</v>
      </c>
      <c r="C29">
        <v>264.39999999999998</v>
      </c>
      <c r="D29">
        <v>349.8</v>
      </c>
      <c r="E29">
        <v>85.4</v>
      </c>
      <c r="F29">
        <v>32.299999999999997</v>
      </c>
      <c r="G29">
        <v>72.900000000000006</v>
      </c>
      <c r="H29" s="2">
        <v>24760</v>
      </c>
      <c r="I29" t="s">
        <v>43</v>
      </c>
      <c r="J29">
        <v>8</v>
      </c>
      <c r="K29" t="s">
        <v>16</v>
      </c>
      <c r="L29">
        <v>4</v>
      </c>
      <c r="M29" t="s">
        <v>30</v>
      </c>
      <c r="N29">
        <v>5</v>
      </c>
    </row>
    <row r="30" spans="1:14" x14ac:dyDescent="0.3">
      <c r="A30" t="s">
        <v>57</v>
      </c>
      <c r="B30" t="str">
        <f>"29-1211"</f>
        <v>29-1211</v>
      </c>
      <c r="C30">
        <v>31.3</v>
      </c>
      <c r="D30">
        <v>31.2</v>
      </c>
      <c r="E30">
        <v>-0.2</v>
      </c>
      <c r="F30">
        <v>-0.5</v>
      </c>
      <c r="G30">
        <v>0.8</v>
      </c>
      <c r="H30" s="2">
        <v>208000</v>
      </c>
      <c r="I30" t="s">
        <v>28</v>
      </c>
      <c r="J30">
        <v>1</v>
      </c>
      <c r="K30" t="s">
        <v>16</v>
      </c>
      <c r="L30">
        <v>4</v>
      </c>
      <c r="M30" t="s">
        <v>58</v>
      </c>
      <c r="N30">
        <v>1</v>
      </c>
    </row>
    <row r="31" spans="1:14" x14ac:dyDescent="0.3">
      <c r="A31" t="s">
        <v>59</v>
      </c>
      <c r="B31" t="str">
        <f>"45-2021"</f>
        <v>45-2021</v>
      </c>
      <c r="C31">
        <v>8.4</v>
      </c>
      <c r="D31">
        <v>8.1999999999999993</v>
      </c>
      <c r="E31">
        <v>-0.3</v>
      </c>
      <c r="F31">
        <v>-3.2</v>
      </c>
      <c r="G31">
        <v>1.3</v>
      </c>
      <c r="H31" s="2">
        <v>40770</v>
      </c>
      <c r="I31" t="s">
        <v>25</v>
      </c>
      <c r="J31">
        <v>7</v>
      </c>
      <c r="K31" t="s">
        <v>16</v>
      </c>
      <c r="L31">
        <v>4</v>
      </c>
      <c r="M31" t="s">
        <v>30</v>
      </c>
      <c r="N31">
        <v>5</v>
      </c>
    </row>
    <row r="32" spans="1:14" x14ac:dyDescent="0.3">
      <c r="A32" t="s">
        <v>60</v>
      </c>
      <c r="B32" t="str">
        <f>"39-2021"</f>
        <v>39-2021</v>
      </c>
      <c r="C32">
        <v>272.39999999999998</v>
      </c>
      <c r="D32">
        <v>366.1</v>
      </c>
      <c r="E32">
        <v>93.6</v>
      </c>
      <c r="F32">
        <v>34.4</v>
      </c>
      <c r="G32">
        <v>56.4</v>
      </c>
      <c r="H32" s="2">
        <v>26080</v>
      </c>
      <c r="I32" t="s">
        <v>25</v>
      </c>
      <c r="J32">
        <v>7</v>
      </c>
      <c r="K32" t="s">
        <v>16</v>
      </c>
      <c r="L32">
        <v>4</v>
      </c>
      <c r="M32" t="s">
        <v>30</v>
      </c>
      <c r="N32">
        <v>5</v>
      </c>
    </row>
    <row r="33" spans="1:14" x14ac:dyDescent="0.3">
      <c r="A33" t="s">
        <v>61</v>
      </c>
      <c r="B33" t="str">
        <f>"33-9011"</f>
        <v>33-9011</v>
      </c>
      <c r="C33">
        <v>11.8</v>
      </c>
      <c r="D33">
        <v>13</v>
      </c>
      <c r="E33">
        <v>1.2</v>
      </c>
      <c r="F33">
        <v>10.5</v>
      </c>
      <c r="G33">
        <v>1.2</v>
      </c>
      <c r="H33" s="2">
        <v>38430</v>
      </c>
      <c r="I33" t="s">
        <v>25</v>
      </c>
      <c r="J33">
        <v>7</v>
      </c>
      <c r="K33" t="s">
        <v>16</v>
      </c>
      <c r="L33">
        <v>4</v>
      </c>
      <c r="M33" t="s">
        <v>26</v>
      </c>
      <c r="N33">
        <v>4</v>
      </c>
    </row>
    <row r="34" spans="1:14" x14ac:dyDescent="0.3">
      <c r="A34" t="s">
        <v>62</v>
      </c>
      <c r="B34" t="str">
        <f>"19-1011"</f>
        <v>19-1011</v>
      </c>
      <c r="C34">
        <v>3.5</v>
      </c>
      <c r="D34">
        <v>3.9</v>
      </c>
      <c r="E34">
        <v>0.3</v>
      </c>
      <c r="F34">
        <v>9.6999999999999993</v>
      </c>
      <c r="G34">
        <v>0.4</v>
      </c>
      <c r="H34" s="2">
        <v>63490</v>
      </c>
      <c r="I34" t="s">
        <v>15</v>
      </c>
      <c r="J34">
        <v>3</v>
      </c>
      <c r="K34" t="s">
        <v>16</v>
      </c>
      <c r="L34">
        <v>4</v>
      </c>
      <c r="M34" t="s">
        <v>16</v>
      </c>
      <c r="N34">
        <v>6</v>
      </c>
    </row>
    <row r="35" spans="1:14" x14ac:dyDescent="0.3">
      <c r="A35" t="s">
        <v>63</v>
      </c>
      <c r="B35" t="str">
        <f>"39-2011"</f>
        <v>39-2011</v>
      </c>
      <c r="C35">
        <v>60.2</v>
      </c>
      <c r="D35">
        <v>77.400000000000006</v>
      </c>
      <c r="E35">
        <v>17.2</v>
      </c>
      <c r="F35">
        <v>28.5</v>
      </c>
      <c r="G35">
        <v>9.9</v>
      </c>
      <c r="H35" s="2">
        <v>31520</v>
      </c>
      <c r="I35" t="s">
        <v>25</v>
      </c>
      <c r="J35">
        <v>7</v>
      </c>
      <c r="K35" t="s">
        <v>16</v>
      </c>
      <c r="L35">
        <v>4</v>
      </c>
      <c r="M35" t="s">
        <v>26</v>
      </c>
      <c r="N35">
        <v>4</v>
      </c>
    </row>
    <row r="36" spans="1:14" x14ac:dyDescent="0.3">
      <c r="A36" t="s">
        <v>64</v>
      </c>
      <c r="B36" t="str">
        <f>"19-3091"</f>
        <v>19-3091</v>
      </c>
      <c r="C36">
        <v>8.5</v>
      </c>
      <c r="D36">
        <v>9.1</v>
      </c>
      <c r="E36">
        <v>0.6</v>
      </c>
      <c r="F36">
        <v>7.4</v>
      </c>
      <c r="G36">
        <v>0.8</v>
      </c>
      <c r="H36" s="2">
        <v>66130</v>
      </c>
      <c r="I36" t="s">
        <v>23</v>
      </c>
      <c r="J36">
        <v>2</v>
      </c>
      <c r="K36" t="s">
        <v>16</v>
      </c>
      <c r="L36">
        <v>4</v>
      </c>
      <c r="M36" t="s">
        <v>16</v>
      </c>
      <c r="N36">
        <v>6</v>
      </c>
    </row>
    <row r="37" spans="1:14" x14ac:dyDescent="0.3">
      <c r="A37" t="s">
        <v>65</v>
      </c>
      <c r="B37" t="str">
        <f>"25-1061"</f>
        <v>25-1061</v>
      </c>
      <c r="C37">
        <v>6.7</v>
      </c>
      <c r="D37">
        <v>7.2</v>
      </c>
      <c r="E37">
        <v>0.5</v>
      </c>
      <c r="F37">
        <v>8.1</v>
      </c>
      <c r="G37">
        <v>0.7</v>
      </c>
      <c r="H37" s="2">
        <v>89220</v>
      </c>
      <c r="I37" t="s">
        <v>28</v>
      </c>
      <c r="J37">
        <v>1</v>
      </c>
      <c r="K37" t="s">
        <v>16</v>
      </c>
      <c r="L37">
        <v>4</v>
      </c>
      <c r="M37" t="s">
        <v>16</v>
      </c>
      <c r="N37">
        <v>6</v>
      </c>
    </row>
    <row r="38" spans="1:14" x14ac:dyDescent="0.3">
      <c r="A38" t="s">
        <v>66</v>
      </c>
      <c r="B38" t="str">
        <f>"23-1022"</f>
        <v>23-1022</v>
      </c>
      <c r="C38">
        <v>6.9</v>
      </c>
      <c r="D38">
        <v>7.6</v>
      </c>
      <c r="E38">
        <v>0.7</v>
      </c>
      <c r="F38">
        <v>9.6999999999999993</v>
      </c>
      <c r="G38">
        <v>0.4</v>
      </c>
      <c r="H38" s="2">
        <v>66130</v>
      </c>
      <c r="I38" t="s">
        <v>15</v>
      </c>
      <c r="J38">
        <v>3</v>
      </c>
      <c r="K38" t="s">
        <v>32</v>
      </c>
      <c r="L38">
        <v>2</v>
      </c>
      <c r="M38" t="s">
        <v>26</v>
      </c>
      <c r="N38">
        <v>4</v>
      </c>
    </row>
    <row r="39" spans="1:14" x14ac:dyDescent="0.3">
      <c r="A39" t="s">
        <v>67</v>
      </c>
      <c r="B39" t="str">
        <f>"17-1011"</f>
        <v>17-1011</v>
      </c>
      <c r="C39">
        <v>126.7</v>
      </c>
      <c r="D39">
        <v>130.69999999999999</v>
      </c>
      <c r="E39">
        <v>3.9</v>
      </c>
      <c r="F39">
        <v>3.1</v>
      </c>
      <c r="G39">
        <v>9.4</v>
      </c>
      <c r="H39" s="2">
        <v>82320</v>
      </c>
      <c r="I39" t="s">
        <v>15</v>
      </c>
      <c r="J39">
        <v>3</v>
      </c>
      <c r="K39" t="s">
        <v>16</v>
      </c>
      <c r="L39">
        <v>4</v>
      </c>
      <c r="M39" t="s">
        <v>58</v>
      </c>
      <c r="N39">
        <v>1</v>
      </c>
    </row>
    <row r="40" spans="1:14" x14ac:dyDescent="0.3">
      <c r="A40" t="s">
        <v>68</v>
      </c>
      <c r="B40" t="str">
        <f>"17-3011"</f>
        <v>17-3011</v>
      </c>
      <c r="C40">
        <v>99.9</v>
      </c>
      <c r="D40">
        <v>99</v>
      </c>
      <c r="E40">
        <v>-0.9</v>
      </c>
      <c r="F40">
        <v>-0.9</v>
      </c>
      <c r="G40">
        <v>9.3000000000000007</v>
      </c>
      <c r="H40" s="2">
        <v>57500</v>
      </c>
      <c r="I40" t="s">
        <v>37</v>
      </c>
      <c r="J40">
        <v>4</v>
      </c>
      <c r="K40" t="s">
        <v>16</v>
      </c>
      <c r="L40">
        <v>4</v>
      </c>
      <c r="M40" t="s">
        <v>16</v>
      </c>
      <c r="N40">
        <v>6</v>
      </c>
    </row>
    <row r="41" spans="1:14" x14ac:dyDescent="0.3">
      <c r="A41" t="s">
        <v>69</v>
      </c>
      <c r="B41" t="str">
        <f>"11-9041"</f>
        <v>11-9041</v>
      </c>
      <c r="C41">
        <v>197.8</v>
      </c>
      <c r="D41">
        <v>205.9</v>
      </c>
      <c r="E41">
        <v>8.1</v>
      </c>
      <c r="F41">
        <v>4.0999999999999996</v>
      </c>
      <c r="G41">
        <v>14.7</v>
      </c>
      <c r="H41" s="2">
        <v>149530</v>
      </c>
      <c r="I41" t="s">
        <v>15</v>
      </c>
      <c r="J41">
        <v>3</v>
      </c>
      <c r="K41" t="s">
        <v>29</v>
      </c>
      <c r="L41">
        <v>1</v>
      </c>
      <c r="M41" t="s">
        <v>16</v>
      </c>
      <c r="N41">
        <v>6</v>
      </c>
    </row>
    <row r="42" spans="1:14" x14ac:dyDescent="0.3">
      <c r="A42" t="s">
        <v>70</v>
      </c>
      <c r="B42" t="str">
        <f>"25-1031"</f>
        <v>25-1031</v>
      </c>
      <c r="C42">
        <v>8.5</v>
      </c>
      <c r="D42">
        <v>9.1999999999999993</v>
      </c>
      <c r="E42">
        <v>0.7</v>
      </c>
      <c r="F42">
        <v>8.3000000000000007</v>
      </c>
      <c r="G42">
        <v>0.9</v>
      </c>
      <c r="H42" s="2">
        <v>90880</v>
      </c>
      <c r="I42" t="s">
        <v>28</v>
      </c>
      <c r="J42">
        <v>1</v>
      </c>
      <c r="K42" t="s">
        <v>16</v>
      </c>
      <c r="L42">
        <v>4</v>
      </c>
      <c r="M42" t="s">
        <v>16</v>
      </c>
      <c r="N42">
        <v>6</v>
      </c>
    </row>
    <row r="43" spans="1:14" x14ac:dyDescent="0.3">
      <c r="A43" t="s">
        <v>71</v>
      </c>
      <c r="B43" t="str">
        <f>"25-4011"</f>
        <v>25-4011</v>
      </c>
      <c r="C43">
        <v>8.1</v>
      </c>
      <c r="D43">
        <v>9</v>
      </c>
      <c r="E43">
        <v>0.9</v>
      </c>
      <c r="F43">
        <v>10.9</v>
      </c>
      <c r="G43">
        <v>1</v>
      </c>
      <c r="H43" s="2">
        <v>56760</v>
      </c>
      <c r="I43" t="s">
        <v>23</v>
      </c>
      <c r="J43">
        <v>2</v>
      </c>
      <c r="K43" t="s">
        <v>16</v>
      </c>
      <c r="L43">
        <v>4</v>
      </c>
      <c r="M43" t="s">
        <v>16</v>
      </c>
      <c r="N43">
        <v>6</v>
      </c>
    </row>
    <row r="44" spans="1:14" x14ac:dyDescent="0.3">
      <c r="A44" t="s">
        <v>72</v>
      </c>
      <c r="B44" t="str">
        <f>"25-1062"</f>
        <v>25-1062</v>
      </c>
      <c r="C44">
        <v>12.1</v>
      </c>
      <c r="D44">
        <v>13.1</v>
      </c>
      <c r="E44">
        <v>1.1000000000000001</v>
      </c>
      <c r="F44">
        <v>8.8000000000000007</v>
      </c>
      <c r="G44">
        <v>1.3</v>
      </c>
      <c r="H44" s="2">
        <v>78840</v>
      </c>
      <c r="I44" t="s">
        <v>28</v>
      </c>
      <c r="J44">
        <v>1</v>
      </c>
      <c r="K44" t="s">
        <v>16</v>
      </c>
      <c r="L44">
        <v>4</v>
      </c>
      <c r="M44" t="s">
        <v>16</v>
      </c>
      <c r="N44">
        <v>6</v>
      </c>
    </row>
    <row r="45" spans="1:14" x14ac:dyDescent="0.3">
      <c r="A45" t="s">
        <v>73</v>
      </c>
      <c r="B45" t="str">
        <f>"27-1011"</f>
        <v>27-1011</v>
      </c>
      <c r="C45">
        <v>98.5</v>
      </c>
      <c r="D45">
        <v>109.4</v>
      </c>
      <c r="E45">
        <v>10.8</v>
      </c>
      <c r="F45">
        <v>11</v>
      </c>
      <c r="G45">
        <v>11.5</v>
      </c>
      <c r="H45" s="2">
        <v>97270</v>
      </c>
      <c r="I45" t="s">
        <v>15</v>
      </c>
      <c r="J45">
        <v>3</v>
      </c>
      <c r="K45" t="s">
        <v>29</v>
      </c>
      <c r="L45">
        <v>1</v>
      </c>
      <c r="M45" t="s">
        <v>16</v>
      </c>
      <c r="N45">
        <v>6</v>
      </c>
    </row>
    <row r="46" spans="1:14" x14ac:dyDescent="0.3">
      <c r="A46" t="s">
        <v>74</v>
      </c>
      <c r="B46" t="str">
        <f>"25-1121"</f>
        <v>25-1121</v>
      </c>
      <c r="C46">
        <v>109.3</v>
      </c>
      <c r="D46">
        <v>120.3</v>
      </c>
      <c r="E46">
        <v>11</v>
      </c>
      <c r="F46">
        <v>10.1</v>
      </c>
      <c r="G46">
        <v>11.6</v>
      </c>
      <c r="H46" s="2">
        <v>69690</v>
      </c>
      <c r="I46" t="s">
        <v>23</v>
      </c>
      <c r="J46">
        <v>2</v>
      </c>
      <c r="K46" t="s">
        <v>16</v>
      </c>
      <c r="L46">
        <v>4</v>
      </c>
      <c r="M46" t="s">
        <v>16</v>
      </c>
      <c r="N46">
        <v>6</v>
      </c>
    </row>
    <row r="47" spans="1:14" x14ac:dyDescent="0.3">
      <c r="A47" t="s">
        <v>75</v>
      </c>
      <c r="B47" t="str">
        <f>"27-1019"</f>
        <v>27-1019</v>
      </c>
      <c r="C47">
        <v>12.6</v>
      </c>
      <c r="D47">
        <v>13.8</v>
      </c>
      <c r="E47">
        <v>1.2</v>
      </c>
      <c r="F47">
        <v>9.5</v>
      </c>
      <c r="G47">
        <v>1.5</v>
      </c>
      <c r="H47" s="2">
        <v>65800</v>
      </c>
      <c r="I47" t="s">
        <v>43</v>
      </c>
      <c r="J47">
        <v>8</v>
      </c>
      <c r="K47" t="s">
        <v>16</v>
      </c>
      <c r="L47">
        <v>4</v>
      </c>
      <c r="M47" t="s">
        <v>20</v>
      </c>
      <c r="N47">
        <v>3</v>
      </c>
    </row>
    <row r="48" spans="1:14" x14ac:dyDescent="0.3">
      <c r="A48" t="s">
        <v>76</v>
      </c>
      <c r="B48" t="str">
        <f>"19-2011"</f>
        <v>19-2011</v>
      </c>
      <c r="C48">
        <v>2.1</v>
      </c>
      <c r="D48">
        <v>2.2000000000000002</v>
      </c>
      <c r="E48">
        <v>0.1</v>
      </c>
      <c r="F48">
        <v>4.5</v>
      </c>
      <c r="G48">
        <v>0.2</v>
      </c>
      <c r="H48" s="2">
        <v>119730</v>
      </c>
      <c r="I48" t="s">
        <v>28</v>
      </c>
      <c r="J48">
        <v>1</v>
      </c>
      <c r="K48" t="s">
        <v>16</v>
      </c>
      <c r="L48">
        <v>4</v>
      </c>
      <c r="M48" t="s">
        <v>16</v>
      </c>
      <c r="N48">
        <v>6</v>
      </c>
    </row>
    <row r="49" spans="1:14" x14ac:dyDescent="0.3">
      <c r="A49" t="s">
        <v>77</v>
      </c>
      <c r="B49" t="str">
        <f>"27-2021"</f>
        <v>27-2021</v>
      </c>
      <c r="C49">
        <v>16.7</v>
      </c>
      <c r="D49">
        <v>23</v>
      </c>
      <c r="E49">
        <v>6.3</v>
      </c>
      <c r="F49">
        <v>38</v>
      </c>
      <c r="G49">
        <v>3.4</v>
      </c>
      <c r="H49" s="2">
        <v>50850</v>
      </c>
      <c r="I49" t="s">
        <v>43</v>
      </c>
      <c r="J49">
        <v>8</v>
      </c>
      <c r="K49" t="s">
        <v>16</v>
      </c>
      <c r="L49">
        <v>4</v>
      </c>
      <c r="M49" t="s">
        <v>20</v>
      </c>
      <c r="N49">
        <v>3</v>
      </c>
    </row>
    <row r="50" spans="1:14" x14ac:dyDescent="0.3">
      <c r="A50" t="s">
        <v>78</v>
      </c>
      <c r="B50" t="str">
        <f>"29-9091"</f>
        <v>29-9091</v>
      </c>
      <c r="C50">
        <v>30</v>
      </c>
      <c r="D50">
        <v>37</v>
      </c>
      <c r="E50">
        <v>7</v>
      </c>
      <c r="F50">
        <v>23.4</v>
      </c>
      <c r="G50">
        <v>3.1</v>
      </c>
      <c r="H50" s="2">
        <v>49860</v>
      </c>
      <c r="I50" t="s">
        <v>15</v>
      </c>
      <c r="J50">
        <v>3</v>
      </c>
      <c r="K50" t="s">
        <v>16</v>
      </c>
      <c r="L50">
        <v>4</v>
      </c>
      <c r="M50" t="s">
        <v>16</v>
      </c>
      <c r="N50">
        <v>6</v>
      </c>
    </row>
    <row r="51" spans="1:14" x14ac:dyDescent="0.3">
      <c r="A51" t="s">
        <v>79</v>
      </c>
      <c r="B51" t="str">
        <f>"19-2021"</f>
        <v>19-2021</v>
      </c>
      <c r="C51">
        <v>10.7</v>
      </c>
      <c r="D51">
        <v>11.6</v>
      </c>
      <c r="E51">
        <v>0.9</v>
      </c>
      <c r="F51">
        <v>8.3000000000000007</v>
      </c>
      <c r="G51">
        <v>1</v>
      </c>
      <c r="H51" s="2">
        <v>99740</v>
      </c>
      <c r="I51" t="s">
        <v>15</v>
      </c>
      <c r="J51">
        <v>3</v>
      </c>
      <c r="K51" t="s">
        <v>16</v>
      </c>
      <c r="L51">
        <v>4</v>
      </c>
      <c r="M51" t="s">
        <v>16</v>
      </c>
      <c r="N51">
        <v>6</v>
      </c>
    </row>
    <row r="52" spans="1:14" x14ac:dyDescent="0.3">
      <c r="A52" t="s">
        <v>80</v>
      </c>
      <c r="B52" t="str">
        <f>"25-1051"</f>
        <v>25-1051</v>
      </c>
      <c r="C52">
        <v>13.6</v>
      </c>
      <c r="D52">
        <v>14.5</v>
      </c>
      <c r="E52">
        <v>0.9</v>
      </c>
      <c r="F52">
        <v>6.4</v>
      </c>
      <c r="G52">
        <v>1.4</v>
      </c>
      <c r="H52" s="2">
        <v>94520</v>
      </c>
      <c r="I52" t="s">
        <v>28</v>
      </c>
      <c r="J52">
        <v>1</v>
      </c>
      <c r="K52" t="s">
        <v>16</v>
      </c>
      <c r="L52">
        <v>4</v>
      </c>
      <c r="M52" t="s">
        <v>16</v>
      </c>
      <c r="N52">
        <v>6</v>
      </c>
    </row>
    <row r="53" spans="1:14" x14ac:dyDescent="0.3">
      <c r="A53" t="s">
        <v>81</v>
      </c>
      <c r="B53" t="str">
        <f>"27-4011"</f>
        <v>27-4011</v>
      </c>
      <c r="C53">
        <v>73.900000000000006</v>
      </c>
      <c r="D53">
        <v>93.3</v>
      </c>
      <c r="E53">
        <v>19.399999999999999</v>
      </c>
      <c r="F53">
        <v>26.2</v>
      </c>
      <c r="G53">
        <v>10.199999999999999</v>
      </c>
      <c r="H53" s="2">
        <v>47920</v>
      </c>
      <c r="I53" t="s">
        <v>50</v>
      </c>
      <c r="J53">
        <v>5</v>
      </c>
      <c r="K53" t="s">
        <v>16</v>
      </c>
      <c r="L53">
        <v>4</v>
      </c>
      <c r="M53" t="s">
        <v>30</v>
      </c>
      <c r="N53">
        <v>5</v>
      </c>
    </row>
    <row r="54" spans="1:14" x14ac:dyDescent="0.3">
      <c r="A54" t="s">
        <v>82</v>
      </c>
      <c r="B54" t="str">
        <f>"29-1181"</f>
        <v>29-1181</v>
      </c>
      <c r="C54">
        <v>13.7</v>
      </c>
      <c r="D54">
        <v>15.8</v>
      </c>
      <c r="E54">
        <v>2.1</v>
      </c>
      <c r="F54">
        <v>15.7</v>
      </c>
      <c r="G54">
        <v>0.8</v>
      </c>
      <c r="H54" s="2">
        <v>81030</v>
      </c>
      <c r="I54" t="s">
        <v>28</v>
      </c>
      <c r="J54">
        <v>1</v>
      </c>
      <c r="K54" t="s">
        <v>16</v>
      </c>
      <c r="L54">
        <v>4</v>
      </c>
      <c r="M54" t="s">
        <v>16</v>
      </c>
      <c r="N54">
        <v>6</v>
      </c>
    </row>
    <row r="55" spans="1:14" x14ac:dyDescent="0.3">
      <c r="A55" t="s">
        <v>83</v>
      </c>
      <c r="B55" t="str">
        <f>"49-2097"</f>
        <v>49-2097</v>
      </c>
      <c r="C55">
        <v>29.9</v>
      </c>
      <c r="D55">
        <v>28.8</v>
      </c>
      <c r="E55">
        <v>-1.1000000000000001</v>
      </c>
      <c r="F55">
        <v>-3.8</v>
      </c>
      <c r="G55">
        <v>3</v>
      </c>
      <c r="H55" s="2">
        <v>41460</v>
      </c>
      <c r="I55" t="s">
        <v>50</v>
      </c>
      <c r="J55">
        <v>5</v>
      </c>
      <c r="K55" t="s">
        <v>16</v>
      </c>
      <c r="L55">
        <v>4</v>
      </c>
      <c r="M55" t="s">
        <v>30</v>
      </c>
      <c r="N55">
        <v>5</v>
      </c>
    </row>
    <row r="56" spans="1:14" x14ac:dyDescent="0.3">
      <c r="A56" t="s">
        <v>84</v>
      </c>
      <c r="B56" t="str">
        <f>"53-6031"</f>
        <v>53-6031</v>
      </c>
      <c r="C56">
        <v>115.7</v>
      </c>
      <c r="D56">
        <v>120.7</v>
      </c>
      <c r="E56">
        <v>5</v>
      </c>
      <c r="F56">
        <v>4.3</v>
      </c>
      <c r="G56">
        <v>16.399999999999999</v>
      </c>
      <c r="H56" s="2">
        <v>26540</v>
      </c>
      <c r="I56" t="s">
        <v>43</v>
      </c>
      <c r="J56">
        <v>8</v>
      </c>
      <c r="K56" t="s">
        <v>16</v>
      </c>
      <c r="L56">
        <v>4</v>
      </c>
      <c r="M56" t="s">
        <v>30</v>
      </c>
      <c r="N56">
        <v>5</v>
      </c>
    </row>
    <row r="57" spans="1:14" x14ac:dyDescent="0.3">
      <c r="A57" t="s">
        <v>85</v>
      </c>
      <c r="B57" t="str">
        <f>"49-3021"</f>
        <v>49-3021</v>
      </c>
      <c r="C57">
        <v>153.69999999999999</v>
      </c>
      <c r="D57">
        <v>161.80000000000001</v>
      </c>
      <c r="E57">
        <v>8.1</v>
      </c>
      <c r="F57">
        <v>5.3</v>
      </c>
      <c r="G57">
        <v>15.2</v>
      </c>
      <c r="H57" s="2">
        <v>45350</v>
      </c>
      <c r="I57" t="s">
        <v>25</v>
      </c>
      <c r="J57">
        <v>7</v>
      </c>
      <c r="K57" t="s">
        <v>16</v>
      </c>
      <c r="L57">
        <v>4</v>
      </c>
      <c r="M57" t="s">
        <v>20</v>
      </c>
      <c r="N57">
        <v>3</v>
      </c>
    </row>
    <row r="58" spans="1:14" x14ac:dyDescent="0.3">
      <c r="A58" t="s">
        <v>86</v>
      </c>
      <c r="B58" t="str">
        <f>"49-3022"</f>
        <v>49-3022</v>
      </c>
      <c r="C58">
        <v>19.7</v>
      </c>
      <c r="D58">
        <v>21.5</v>
      </c>
      <c r="E58">
        <v>1.7</v>
      </c>
      <c r="F58">
        <v>8.8000000000000007</v>
      </c>
      <c r="G58">
        <v>2.2999999999999998</v>
      </c>
      <c r="H58" s="2">
        <v>37710</v>
      </c>
      <c r="I58" t="s">
        <v>25</v>
      </c>
      <c r="J58">
        <v>7</v>
      </c>
      <c r="K58" t="s">
        <v>16</v>
      </c>
      <c r="L58">
        <v>4</v>
      </c>
      <c r="M58" t="s">
        <v>26</v>
      </c>
      <c r="N58">
        <v>4</v>
      </c>
    </row>
    <row r="59" spans="1:14" x14ac:dyDescent="0.3">
      <c r="A59" t="s">
        <v>87</v>
      </c>
      <c r="B59" t="str">
        <f>"49-3023"</f>
        <v>49-3023</v>
      </c>
      <c r="C59">
        <v>703.8</v>
      </c>
      <c r="D59">
        <v>705.9</v>
      </c>
      <c r="E59">
        <v>2.1</v>
      </c>
      <c r="F59">
        <v>0.3</v>
      </c>
      <c r="G59">
        <v>69</v>
      </c>
      <c r="H59" s="2">
        <v>44050</v>
      </c>
      <c r="I59" t="s">
        <v>50</v>
      </c>
      <c r="J59">
        <v>5</v>
      </c>
      <c r="K59" t="s">
        <v>16</v>
      </c>
      <c r="L59">
        <v>4</v>
      </c>
      <c r="M59" t="s">
        <v>30</v>
      </c>
      <c r="N59">
        <v>5</v>
      </c>
    </row>
    <row r="60" spans="1:14" x14ac:dyDescent="0.3">
      <c r="A60" t="s">
        <v>88</v>
      </c>
      <c r="B60" t="str">
        <f>"49-2091"</f>
        <v>49-2091</v>
      </c>
      <c r="C60">
        <v>21.2</v>
      </c>
      <c r="D60">
        <v>23.2</v>
      </c>
      <c r="E60">
        <v>2.1</v>
      </c>
      <c r="F60">
        <v>9.6999999999999993</v>
      </c>
      <c r="G60">
        <v>1.7</v>
      </c>
      <c r="H60" s="2">
        <v>67840</v>
      </c>
      <c r="I60" t="s">
        <v>37</v>
      </c>
      <c r="J60">
        <v>4</v>
      </c>
      <c r="K60" t="s">
        <v>16</v>
      </c>
      <c r="L60">
        <v>4</v>
      </c>
      <c r="M60" t="s">
        <v>16</v>
      </c>
      <c r="N60">
        <v>6</v>
      </c>
    </row>
    <row r="61" spans="1:14" x14ac:dyDescent="0.3">
      <c r="A61" t="s">
        <v>89</v>
      </c>
      <c r="B61" t="str">
        <f>"39-6011"</f>
        <v>39-6011</v>
      </c>
      <c r="C61">
        <v>28.6</v>
      </c>
      <c r="D61">
        <v>35.6</v>
      </c>
      <c r="E61">
        <v>7</v>
      </c>
      <c r="F61">
        <v>24.5</v>
      </c>
      <c r="G61">
        <v>4.8</v>
      </c>
      <c r="H61" s="2">
        <v>27050</v>
      </c>
      <c r="I61" t="s">
        <v>25</v>
      </c>
      <c r="J61">
        <v>7</v>
      </c>
      <c r="K61" t="s">
        <v>16</v>
      </c>
      <c r="L61">
        <v>4</v>
      </c>
      <c r="M61" t="s">
        <v>30</v>
      </c>
      <c r="N61">
        <v>5</v>
      </c>
    </row>
    <row r="62" spans="1:14" x14ac:dyDescent="0.3">
      <c r="A62" t="s">
        <v>90</v>
      </c>
      <c r="B62" t="str">
        <f>"33-3011"</f>
        <v>33-3011</v>
      </c>
      <c r="C62">
        <v>18.5</v>
      </c>
      <c r="D62">
        <v>18.600000000000001</v>
      </c>
      <c r="E62">
        <v>0.1</v>
      </c>
      <c r="F62">
        <v>0.4</v>
      </c>
      <c r="G62">
        <v>1.7</v>
      </c>
      <c r="H62" s="2">
        <v>48000</v>
      </c>
      <c r="I62" t="s">
        <v>25</v>
      </c>
      <c r="J62">
        <v>7</v>
      </c>
      <c r="K62" t="s">
        <v>16</v>
      </c>
      <c r="L62">
        <v>4</v>
      </c>
      <c r="M62" t="s">
        <v>26</v>
      </c>
      <c r="N62">
        <v>4</v>
      </c>
    </row>
    <row r="63" spans="1:14" x14ac:dyDescent="0.3">
      <c r="A63" t="s">
        <v>91</v>
      </c>
      <c r="B63" t="str">
        <f>"51-3011"</f>
        <v>51-3011</v>
      </c>
      <c r="C63">
        <v>193.4</v>
      </c>
      <c r="D63">
        <v>211.7</v>
      </c>
      <c r="E63">
        <v>18.399999999999999</v>
      </c>
      <c r="F63">
        <v>9.5</v>
      </c>
      <c r="G63">
        <v>28.3</v>
      </c>
      <c r="H63" s="2">
        <v>29400</v>
      </c>
      <c r="I63" t="s">
        <v>43</v>
      </c>
      <c r="J63">
        <v>8</v>
      </c>
      <c r="K63" t="s">
        <v>16</v>
      </c>
      <c r="L63">
        <v>4</v>
      </c>
      <c r="M63" t="s">
        <v>20</v>
      </c>
      <c r="N63">
        <v>3</v>
      </c>
    </row>
    <row r="64" spans="1:14" x14ac:dyDescent="0.3">
      <c r="A64" t="s">
        <v>92</v>
      </c>
      <c r="B64" t="str">
        <f>"39-5011"</f>
        <v>39-5011</v>
      </c>
      <c r="C64">
        <v>53</v>
      </c>
      <c r="D64">
        <v>62.3</v>
      </c>
      <c r="E64">
        <v>9.3000000000000007</v>
      </c>
      <c r="F64">
        <v>17.5</v>
      </c>
      <c r="G64">
        <v>6.4</v>
      </c>
      <c r="H64" s="2">
        <v>32470</v>
      </c>
      <c r="I64" t="s">
        <v>50</v>
      </c>
      <c r="J64">
        <v>5</v>
      </c>
      <c r="K64" t="s">
        <v>16</v>
      </c>
      <c r="L64">
        <v>4</v>
      </c>
      <c r="M64" t="s">
        <v>16</v>
      </c>
      <c r="N64">
        <v>6</v>
      </c>
    </row>
    <row r="65" spans="1:14" x14ac:dyDescent="0.3">
      <c r="A65" t="s">
        <v>93</v>
      </c>
      <c r="B65" t="str">
        <f>"35-3011"</f>
        <v>35-3011</v>
      </c>
      <c r="C65">
        <v>492.3</v>
      </c>
      <c r="D65">
        <v>652.29999999999995</v>
      </c>
      <c r="E65">
        <v>159.9</v>
      </c>
      <c r="F65">
        <v>32.5</v>
      </c>
      <c r="G65">
        <v>111.3</v>
      </c>
      <c r="H65" s="2">
        <v>24960</v>
      </c>
      <c r="I65" t="s">
        <v>43</v>
      </c>
      <c r="J65">
        <v>8</v>
      </c>
      <c r="K65" t="s">
        <v>16</v>
      </c>
      <c r="L65">
        <v>4</v>
      </c>
      <c r="M65" t="s">
        <v>30</v>
      </c>
      <c r="N65">
        <v>5</v>
      </c>
    </row>
    <row r="66" spans="1:14" x14ac:dyDescent="0.3">
      <c r="A66" t="s">
        <v>94</v>
      </c>
      <c r="B66" t="str">
        <f>"49-3091"</f>
        <v>49-3091</v>
      </c>
      <c r="C66">
        <v>12.1</v>
      </c>
      <c r="D66">
        <v>12.5</v>
      </c>
      <c r="E66">
        <v>0.4</v>
      </c>
      <c r="F66">
        <v>3.7</v>
      </c>
      <c r="G66">
        <v>1.4</v>
      </c>
      <c r="H66" s="2">
        <v>32630</v>
      </c>
      <c r="I66" t="s">
        <v>25</v>
      </c>
      <c r="J66">
        <v>7</v>
      </c>
      <c r="K66" t="s">
        <v>16</v>
      </c>
      <c r="L66">
        <v>4</v>
      </c>
      <c r="M66" t="s">
        <v>26</v>
      </c>
      <c r="N66">
        <v>4</v>
      </c>
    </row>
    <row r="67" spans="1:14" x14ac:dyDescent="0.3">
      <c r="A67" t="s">
        <v>95</v>
      </c>
      <c r="B67" t="str">
        <f>"43-3011"</f>
        <v>43-3011</v>
      </c>
      <c r="C67">
        <v>223.1</v>
      </c>
      <c r="D67">
        <v>202.6</v>
      </c>
      <c r="E67">
        <v>-20.5</v>
      </c>
      <c r="F67">
        <v>-9.1999999999999993</v>
      </c>
      <c r="G67">
        <v>20.8</v>
      </c>
      <c r="H67" s="2">
        <v>38100</v>
      </c>
      <c r="I67" t="s">
        <v>25</v>
      </c>
      <c r="J67">
        <v>7</v>
      </c>
      <c r="K67" t="s">
        <v>16</v>
      </c>
      <c r="L67">
        <v>4</v>
      </c>
      <c r="M67" t="s">
        <v>26</v>
      </c>
      <c r="N67">
        <v>4</v>
      </c>
    </row>
    <row r="68" spans="1:14" x14ac:dyDescent="0.3">
      <c r="A68" t="s">
        <v>96</v>
      </c>
      <c r="B68" t="str">
        <f>"43-3021"</f>
        <v>43-3021</v>
      </c>
      <c r="C68">
        <v>458.5</v>
      </c>
      <c r="D68">
        <v>471.6</v>
      </c>
      <c r="E68">
        <v>13.1</v>
      </c>
      <c r="F68">
        <v>2.9</v>
      </c>
      <c r="G68">
        <v>48.9</v>
      </c>
      <c r="H68" s="2">
        <v>39590</v>
      </c>
      <c r="I68" t="s">
        <v>25</v>
      </c>
      <c r="J68">
        <v>7</v>
      </c>
      <c r="K68" t="s">
        <v>16</v>
      </c>
      <c r="L68">
        <v>4</v>
      </c>
      <c r="M68" t="s">
        <v>26</v>
      </c>
      <c r="N68">
        <v>4</v>
      </c>
    </row>
    <row r="69" spans="1:14" x14ac:dyDescent="0.3">
      <c r="A69" t="s">
        <v>97</v>
      </c>
      <c r="B69" t="str">
        <f>"19-1021"</f>
        <v>19-1021</v>
      </c>
      <c r="C69">
        <v>34.799999999999997</v>
      </c>
      <c r="D69">
        <v>36.5</v>
      </c>
      <c r="E69">
        <v>1.6</v>
      </c>
      <c r="F69">
        <v>4.7</v>
      </c>
      <c r="G69">
        <v>3.2</v>
      </c>
      <c r="H69" s="2">
        <v>94270</v>
      </c>
      <c r="I69" t="s">
        <v>28</v>
      </c>
      <c r="J69">
        <v>1</v>
      </c>
      <c r="K69" t="s">
        <v>16</v>
      </c>
      <c r="L69">
        <v>4</v>
      </c>
      <c r="M69" t="s">
        <v>16</v>
      </c>
      <c r="N69">
        <v>6</v>
      </c>
    </row>
    <row r="70" spans="1:14" x14ac:dyDescent="0.3">
      <c r="A70" t="s">
        <v>98</v>
      </c>
      <c r="B70" t="str">
        <f>"17-2031"</f>
        <v>17-2031</v>
      </c>
      <c r="C70">
        <v>19.3</v>
      </c>
      <c r="D70">
        <v>20.5</v>
      </c>
      <c r="E70">
        <v>1.1000000000000001</v>
      </c>
      <c r="F70">
        <v>5.9</v>
      </c>
      <c r="G70">
        <v>1.4</v>
      </c>
      <c r="H70" s="2">
        <v>92620</v>
      </c>
      <c r="I70" t="s">
        <v>15</v>
      </c>
      <c r="J70">
        <v>3</v>
      </c>
      <c r="K70" t="s">
        <v>16</v>
      </c>
      <c r="L70">
        <v>4</v>
      </c>
      <c r="M70" t="s">
        <v>16</v>
      </c>
      <c r="N70">
        <v>6</v>
      </c>
    </row>
    <row r="71" spans="1:14" x14ac:dyDescent="0.3">
      <c r="A71" t="s">
        <v>99</v>
      </c>
      <c r="B71" t="str">
        <f>"25-1042"</f>
        <v>25-1042</v>
      </c>
      <c r="C71">
        <v>60.5</v>
      </c>
      <c r="D71">
        <v>68.2</v>
      </c>
      <c r="E71">
        <v>7.7</v>
      </c>
      <c r="F71">
        <v>12.8</v>
      </c>
      <c r="G71">
        <v>6.7</v>
      </c>
      <c r="H71" s="2">
        <v>85600</v>
      </c>
      <c r="I71" t="s">
        <v>28</v>
      </c>
      <c r="J71">
        <v>1</v>
      </c>
      <c r="K71" t="s">
        <v>16</v>
      </c>
      <c r="L71">
        <v>4</v>
      </c>
      <c r="M71" t="s">
        <v>16</v>
      </c>
      <c r="N71">
        <v>6</v>
      </c>
    </row>
    <row r="72" spans="1:14" x14ac:dyDescent="0.3">
      <c r="A72" t="s">
        <v>100</v>
      </c>
      <c r="B72" t="str">
        <f>"19-1029"</f>
        <v>19-1029</v>
      </c>
      <c r="C72">
        <v>46.2</v>
      </c>
      <c r="D72">
        <v>47.9</v>
      </c>
      <c r="E72">
        <v>1.7</v>
      </c>
      <c r="F72">
        <v>3.7</v>
      </c>
      <c r="G72">
        <v>4.2</v>
      </c>
      <c r="H72" s="2">
        <v>85290</v>
      </c>
      <c r="I72" t="s">
        <v>15</v>
      </c>
      <c r="J72">
        <v>3</v>
      </c>
      <c r="K72" t="s">
        <v>16</v>
      </c>
      <c r="L72">
        <v>4</v>
      </c>
      <c r="M72" t="s">
        <v>16</v>
      </c>
      <c r="N72">
        <v>6</v>
      </c>
    </row>
    <row r="73" spans="1:14" x14ac:dyDescent="0.3">
      <c r="A73" t="s">
        <v>101</v>
      </c>
      <c r="B73" t="str">
        <f>"19-4021"</f>
        <v>19-4021</v>
      </c>
      <c r="C73">
        <v>87.6</v>
      </c>
      <c r="D73">
        <v>93.5</v>
      </c>
      <c r="E73">
        <v>5.9</v>
      </c>
      <c r="F73">
        <v>6.7</v>
      </c>
      <c r="G73">
        <v>11.8</v>
      </c>
      <c r="H73" s="2">
        <v>46340</v>
      </c>
      <c r="I73" t="s">
        <v>15</v>
      </c>
      <c r="J73">
        <v>3</v>
      </c>
      <c r="K73" t="s">
        <v>16</v>
      </c>
      <c r="L73">
        <v>4</v>
      </c>
      <c r="M73" t="s">
        <v>16</v>
      </c>
      <c r="N73">
        <v>6</v>
      </c>
    </row>
    <row r="74" spans="1:14" x14ac:dyDescent="0.3">
      <c r="A74" t="s">
        <v>102</v>
      </c>
      <c r="B74" t="str">
        <f>"47-2011"</f>
        <v>47-2011</v>
      </c>
      <c r="C74">
        <v>14.9</v>
      </c>
      <c r="D74">
        <v>14.7</v>
      </c>
      <c r="E74">
        <v>-0.2</v>
      </c>
      <c r="F74">
        <v>-1</v>
      </c>
      <c r="G74">
        <v>1.3</v>
      </c>
      <c r="H74" s="2">
        <v>65360</v>
      </c>
      <c r="I74" t="s">
        <v>25</v>
      </c>
      <c r="J74">
        <v>7</v>
      </c>
      <c r="K74" t="s">
        <v>16</v>
      </c>
      <c r="L74">
        <v>4</v>
      </c>
      <c r="M74" t="s">
        <v>103</v>
      </c>
      <c r="N74">
        <v>2</v>
      </c>
    </row>
    <row r="75" spans="1:14" x14ac:dyDescent="0.3">
      <c r="A75" t="s">
        <v>104</v>
      </c>
      <c r="B75" t="str">
        <f>"43-3031"</f>
        <v>43-3031</v>
      </c>
      <c r="C75" s="1">
        <v>1620</v>
      </c>
      <c r="D75" s="1">
        <v>1571.9</v>
      </c>
      <c r="E75">
        <v>-48.1</v>
      </c>
      <c r="F75">
        <v>-3</v>
      </c>
      <c r="G75">
        <v>170.2</v>
      </c>
      <c r="H75" s="2">
        <v>42410</v>
      </c>
      <c r="I75" t="s">
        <v>19</v>
      </c>
      <c r="J75">
        <v>6</v>
      </c>
      <c r="K75" t="s">
        <v>16</v>
      </c>
      <c r="L75">
        <v>4</v>
      </c>
      <c r="M75" t="s">
        <v>26</v>
      </c>
      <c r="N75">
        <v>4</v>
      </c>
    </row>
    <row r="76" spans="1:14" x14ac:dyDescent="0.3">
      <c r="A76" t="s">
        <v>105</v>
      </c>
      <c r="B76" t="str">
        <f>"47-2021"</f>
        <v>47-2021</v>
      </c>
      <c r="C76">
        <v>69.599999999999994</v>
      </c>
      <c r="D76">
        <v>65.900000000000006</v>
      </c>
      <c r="E76">
        <v>-3.7</v>
      </c>
      <c r="F76">
        <v>-5.3</v>
      </c>
      <c r="G76">
        <v>6</v>
      </c>
      <c r="H76" s="2">
        <v>55080</v>
      </c>
      <c r="I76" t="s">
        <v>25</v>
      </c>
      <c r="J76">
        <v>7</v>
      </c>
      <c r="K76" t="s">
        <v>16</v>
      </c>
      <c r="L76">
        <v>4</v>
      </c>
      <c r="M76" t="s">
        <v>103</v>
      </c>
      <c r="N76">
        <v>2</v>
      </c>
    </row>
    <row r="77" spans="1:14" x14ac:dyDescent="0.3">
      <c r="A77" t="s">
        <v>106</v>
      </c>
      <c r="B77" t="str">
        <f>"53-6011"</f>
        <v>53-6011</v>
      </c>
      <c r="C77">
        <v>3.2</v>
      </c>
      <c r="D77">
        <v>3.3</v>
      </c>
      <c r="E77">
        <v>0.1</v>
      </c>
      <c r="F77">
        <v>2.8</v>
      </c>
      <c r="G77">
        <v>0.4</v>
      </c>
      <c r="H77" s="2">
        <v>52340</v>
      </c>
      <c r="I77" t="s">
        <v>25</v>
      </c>
      <c r="J77">
        <v>7</v>
      </c>
      <c r="K77" t="s">
        <v>16</v>
      </c>
      <c r="L77">
        <v>4</v>
      </c>
      <c r="M77" t="s">
        <v>30</v>
      </c>
      <c r="N77">
        <v>5</v>
      </c>
    </row>
    <row r="78" spans="1:14" x14ac:dyDescent="0.3">
      <c r="A78" t="s">
        <v>107</v>
      </c>
      <c r="B78" t="str">
        <f>"27-3011"</f>
        <v>27-3011</v>
      </c>
      <c r="C78">
        <v>30.7</v>
      </c>
      <c r="D78">
        <v>33.9</v>
      </c>
      <c r="E78">
        <v>3.2</v>
      </c>
      <c r="F78">
        <v>10.3</v>
      </c>
      <c r="G78">
        <v>3.3</v>
      </c>
      <c r="H78" s="2">
        <v>36770</v>
      </c>
      <c r="I78" t="s">
        <v>15</v>
      </c>
      <c r="J78">
        <v>3</v>
      </c>
      <c r="K78" t="s">
        <v>16</v>
      </c>
      <c r="L78">
        <v>4</v>
      </c>
      <c r="M78" t="s">
        <v>16</v>
      </c>
      <c r="N78">
        <v>6</v>
      </c>
    </row>
    <row r="79" spans="1:14" x14ac:dyDescent="0.3">
      <c r="A79" t="s">
        <v>108</v>
      </c>
      <c r="B79" t="str">
        <f>"27-4012"</f>
        <v>27-4012</v>
      </c>
      <c r="C79">
        <v>28.4</v>
      </c>
      <c r="D79">
        <v>31.6</v>
      </c>
      <c r="E79">
        <v>3.2</v>
      </c>
      <c r="F79">
        <v>11.2</v>
      </c>
      <c r="G79">
        <v>3.3</v>
      </c>
      <c r="H79" s="2">
        <v>43570</v>
      </c>
      <c r="I79" t="s">
        <v>37</v>
      </c>
      <c r="J79">
        <v>4</v>
      </c>
      <c r="K79" t="s">
        <v>16</v>
      </c>
      <c r="L79">
        <v>4</v>
      </c>
      <c r="M79" t="s">
        <v>30</v>
      </c>
      <c r="N79">
        <v>5</v>
      </c>
    </row>
    <row r="80" spans="1:14" x14ac:dyDescent="0.3">
      <c r="A80" t="s">
        <v>109</v>
      </c>
      <c r="B80" t="str">
        <f>"43-4011"</f>
        <v>43-4011</v>
      </c>
      <c r="C80">
        <v>45.5</v>
      </c>
      <c r="D80">
        <v>41.1</v>
      </c>
      <c r="E80">
        <v>-4.4000000000000004</v>
      </c>
      <c r="F80">
        <v>-9.8000000000000007</v>
      </c>
      <c r="G80">
        <v>4.2</v>
      </c>
      <c r="H80" s="2">
        <v>55270</v>
      </c>
      <c r="I80" t="s">
        <v>25</v>
      </c>
      <c r="J80">
        <v>7</v>
      </c>
      <c r="K80" t="s">
        <v>16</v>
      </c>
      <c r="L80">
        <v>4</v>
      </c>
      <c r="M80" t="s">
        <v>26</v>
      </c>
      <c r="N80">
        <v>4</v>
      </c>
    </row>
    <row r="81" spans="1:14" x14ac:dyDescent="0.3">
      <c r="A81" t="s">
        <v>110</v>
      </c>
      <c r="B81" t="str">
        <f>"13-2031"</f>
        <v>13-2031</v>
      </c>
      <c r="C81">
        <v>52.5</v>
      </c>
      <c r="D81">
        <v>55</v>
      </c>
      <c r="E81">
        <v>2.5</v>
      </c>
      <c r="F81">
        <v>4.8</v>
      </c>
      <c r="G81">
        <v>4.3</v>
      </c>
      <c r="H81" s="2">
        <v>78970</v>
      </c>
      <c r="I81" t="s">
        <v>15</v>
      </c>
      <c r="J81">
        <v>3</v>
      </c>
      <c r="K81" t="s">
        <v>16</v>
      </c>
      <c r="L81">
        <v>4</v>
      </c>
      <c r="M81" t="s">
        <v>16</v>
      </c>
      <c r="N81">
        <v>6</v>
      </c>
    </row>
    <row r="82" spans="1:14" x14ac:dyDescent="0.3">
      <c r="A82" t="s">
        <v>111</v>
      </c>
      <c r="B82" t="str">
        <f>"37-2019"</f>
        <v>37-2019</v>
      </c>
      <c r="C82">
        <v>18.399999999999999</v>
      </c>
      <c r="D82">
        <v>19.100000000000001</v>
      </c>
      <c r="E82">
        <v>0.7</v>
      </c>
      <c r="F82">
        <v>3.5</v>
      </c>
      <c r="G82">
        <v>2.6</v>
      </c>
      <c r="H82" s="2">
        <v>34510</v>
      </c>
      <c r="I82" t="s">
        <v>43</v>
      </c>
      <c r="J82">
        <v>8</v>
      </c>
      <c r="K82" t="s">
        <v>16</v>
      </c>
      <c r="L82">
        <v>4</v>
      </c>
      <c r="M82" t="s">
        <v>30</v>
      </c>
      <c r="N82">
        <v>5</v>
      </c>
    </row>
    <row r="83" spans="1:14" x14ac:dyDescent="0.3">
      <c r="A83" t="s">
        <v>112</v>
      </c>
      <c r="B83" t="str">
        <f>"49-3031"</f>
        <v>49-3031</v>
      </c>
      <c r="C83">
        <v>275.39999999999998</v>
      </c>
      <c r="D83">
        <v>296.8</v>
      </c>
      <c r="E83">
        <v>21.4</v>
      </c>
      <c r="F83">
        <v>7.8</v>
      </c>
      <c r="G83">
        <v>28.1</v>
      </c>
      <c r="H83" s="2">
        <v>50200</v>
      </c>
      <c r="I83" t="s">
        <v>25</v>
      </c>
      <c r="J83">
        <v>7</v>
      </c>
      <c r="K83" t="s">
        <v>16</v>
      </c>
      <c r="L83">
        <v>4</v>
      </c>
      <c r="M83" t="s">
        <v>20</v>
      </c>
      <c r="N83">
        <v>3</v>
      </c>
    </row>
    <row r="84" spans="1:14" x14ac:dyDescent="0.3">
      <c r="A84" t="s">
        <v>113</v>
      </c>
      <c r="B84" t="str">
        <f>"53-3052"</f>
        <v>53-3052</v>
      </c>
      <c r="C84">
        <v>165.2</v>
      </c>
      <c r="D84">
        <v>200</v>
      </c>
      <c r="E84">
        <v>34.799999999999997</v>
      </c>
      <c r="F84">
        <v>21</v>
      </c>
      <c r="G84">
        <v>24.6</v>
      </c>
      <c r="H84" s="2">
        <v>45900</v>
      </c>
      <c r="I84" t="s">
        <v>25</v>
      </c>
      <c r="J84">
        <v>7</v>
      </c>
      <c r="K84" t="s">
        <v>16</v>
      </c>
      <c r="L84">
        <v>4</v>
      </c>
      <c r="M84" t="s">
        <v>26</v>
      </c>
      <c r="N84">
        <v>4</v>
      </c>
    </row>
    <row r="85" spans="1:14" x14ac:dyDescent="0.3">
      <c r="A85" t="s">
        <v>114</v>
      </c>
      <c r="B85" t="str">
        <f>"25-1011"</f>
        <v>25-1011</v>
      </c>
      <c r="C85">
        <v>96.5</v>
      </c>
      <c r="D85">
        <v>102.8</v>
      </c>
      <c r="E85">
        <v>6.2</v>
      </c>
      <c r="F85">
        <v>6.5</v>
      </c>
      <c r="G85">
        <v>9.6999999999999993</v>
      </c>
      <c r="H85" s="2">
        <v>88010</v>
      </c>
      <c r="I85" t="s">
        <v>28</v>
      </c>
      <c r="J85">
        <v>1</v>
      </c>
      <c r="K85" t="s">
        <v>16</v>
      </c>
      <c r="L85">
        <v>4</v>
      </c>
      <c r="M85" t="s">
        <v>16</v>
      </c>
      <c r="N85">
        <v>6</v>
      </c>
    </row>
    <row r="86" spans="1:14" x14ac:dyDescent="0.3">
      <c r="A86" t="s">
        <v>115</v>
      </c>
      <c r="B86" t="str">
        <f>"51-3021"</f>
        <v>51-3021</v>
      </c>
      <c r="C86">
        <v>145</v>
      </c>
      <c r="D86">
        <v>137.19999999999999</v>
      </c>
      <c r="E86">
        <v>-7.8</v>
      </c>
      <c r="F86">
        <v>-5.4</v>
      </c>
      <c r="G86">
        <v>15.4</v>
      </c>
      <c r="H86" s="2">
        <v>32900</v>
      </c>
      <c r="I86" t="s">
        <v>43</v>
      </c>
      <c r="J86">
        <v>8</v>
      </c>
      <c r="K86" t="s">
        <v>16</v>
      </c>
      <c r="L86">
        <v>4</v>
      </c>
      <c r="M86" t="s">
        <v>20</v>
      </c>
      <c r="N86">
        <v>3</v>
      </c>
    </row>
    <row r="87" spans="1:14" x14ac:dyDescent="0.3">
      <c r="A87" t="s">
        <v>116</v>
      </c>
      <c r="B87" t="str">
        <f>"13-1020"</f>
        <v>13-1020</v>
      </c>
      <c r="C87">
        <v>439</v>
      </c>
      <c r="D87">
        <v>415.4</v>
      </c>
      <c r="E87">
        <v>-23.6</v>
      </c>
      <c r="F87">
        <v>-5.4</v>
      </c>
      <c r="G87">
        <v>39.5</v>
      </c>
      <c r="H87" s="2">
        <v>66690</v>
      </c>
      <c r="I87" t="s">
        <v>15</v>
      </c>
      <c r="J87">
        <v>3</v>
      </c>
      <c r="K87" t="s">
        <v>16</v>
      </c>
      <c r="L87">
        <v>4</v>
      </c>
      <c r="M87" t="s">
        <v>26</v>
      </c>
      <c r="N87">
        <v>4</v>
      </c>
    </row>
    <row r="88" spans="1:14" x14ac:dyDescent="0.3">
      <c r="A88" t="s">
        <v>117</v>
      </c>
      <c r="B88" t="str">
        <f>"51-7011"</f>
        <v>51-7011</v>
      </c>
      <c r="C88">
        <v>103.9</v>
      </c>
      <c r="D88">
        <v>113.1</v>
      </c>
      <c r="E88">
        <v>9.1</v>
      </c>
      <c r="F88">
        <v>8.8000000000000007</v>
      </c>
      <c r="G88">
        <v>11</v>
      </c>
      <c r="H88" s="2">
        <v>36710</v>
      </c>
      <c r="I88" t="s">
        <v>25</v>
      </c>
      <c r="J88">
        <v>7</v>
      </c>
      <c r="K88" t="s">
        <v>16</v>
      </c>
      <c r="L88">
        <v>4</v>
      </c>
      <c r="M88" t="s">
        <v>26</v>
      </c>
      <c r="N88">
        <v>4</v>
      </c>
    </row>
    <row r="89" spans="1:14" x14ac:dyDescent="0.3">
      <c r="A89" t="s">
        <v>118</v>
      </c>
      <c r="B89" t="str">
        <f>"17-3098"</f>
        <v>17-3098</v>
      </c>
      <c r="C89">
        <v>94.7</v>
      </c>
      <c r="D89">
        <v>98.8</v>
      </c>
      <c r="E89">
        <v>4.0999999999999996</v>
      </c>
      <c r="F89">
        <v>4.4000000000000004</v>
      </c>
      <c r="G89">
        <v>9.3000000000000007</v>
      </c>
      <c r="H89" s="2">
        <v>64190</v>
      </c>
      <c r="I89" t="s">
        <v>37</v>
      </c>
      <c r="J89">
        <v>4</v>
      </c>
      <c r="K89" t="s">
        <v>16</v>
      </c>
      <c r="L89">
        <v>4</v>
      </c>
      <c r="M89" t="s">
        <v>16</v>
      </c>
      <c r="N89">
        <v>6</v>
      </c>
    </row>
    <row r="90" spans="1:14" x14ac:dyDescent="0.3">
      <c r="A90" t="s">
        <v>119</v>
      </c>
      <c r="B90" t="str">
        <f>"49-9061"</f>
        <v>49-9061</v>
      </c>
      <c r="C90">
        <v>3.7</v>
      </c>
      <c r="D90">
        <v>4</v>
      </c>
      <c r="E90">
        <v>0.3</v>
      </c>
      <c r="F90">
        <v>8</v>
      </c>
      <c r="G90">
        <v>0.4</v>
      </c>
      <c r="H90" s="2">
        <v>40330</v>
      </c>
      <c r="I90" t="s">
        <v>25</v>
      </c>
      <c r="J90">
        <v>7</v>
      </c>
      <c r="K90" t="s">
        <v>16</v>
      </c>
      <c r="L90">
        <v>4</v>
      </c>
      <c r="M90" t="s">
        <v>20</v>
      </c>
      <c r="N90">
        <v>3</v>
      </c>
    </row>
    <row r="91" spans="1:14" x14ac:dyDescent="0.3">
      <c r="A91" t="s">
        <v>120</v>
      </c>
      <c r="B91" t="str">
        <f>"27-4031"</f>
        <v>27-4031</v>
      </c>
      <c r="C91">
        <v>30.3</v>
      </c>
      <c r="D91">
        <v>37.6</v>
      </c>
      <c r="E91">
        <v>7.3</v>
      </c>
      <c r="F91">
        <v>24.1</v>
      </c>
      <c r="G91">
        <v>3.9</v>
      </c>
      <c r="H91" s="2">
        <v>57200</v>
      </c>
      <c r="I91" t="s">
        <v>15</v>
      </c>
      <c r="J91">
        <v>3</v>
      </c>
      <c r="K91" t="s">
        <v>16</v>
      </c>
      <c r="L91">
        <v>4</v>
      </c>
      <c r="M91" t="s">
        <v>16</v>
      </c>
      <c r="N91">
        <v>6</v>
      </c>
    </row>
    <row r="92" spans="1:14" x14ac:dyDescent="0.3">
      <c r="A92" t="s">
        <v>121</v>
      </c>
      <c r="B92" t="str">
        <f>"53-5021"</f>
        <v>53-5021</v>
      </c>
      <c r="C92">
        <v>29.9</v>
      </c>
      <c r="D92">
        <v>33.9</v>
      </c>
      <c r="E92">
        <v>4</v>
      </c>
      <c r="F92">
        <v>13.5</v>
      </c>
      <c r="G92">
        <v>3.6</v>
      </c>
      <c r="H92" s="2">
        <v>77130</v>
      </c>
      <c r="I92" t="s">
        <v>50</v>
      </c>
      <c r="J92">
        <v>5</v>
      </c>
      <c r="K92" t="s">
        <v>32</v>
      </c>
      <c r="L92">
        <v>2</v>
      </c>
      <c r="M92" t="s">
        <v>16</v>
      </c>
      <c r="N92">
        <v>6</v>
      </c>
    </row>
    <row r="93" spans="1:14" x14ac:dyDescent="0.3">
      <c r="A93" t="s">
        <v>122</v>
      </c>
      <c r="B93" t="str">
        <f>"29-2031"</f>
        <v>29-2031</v>
      </c>
      <c r="C93">
        <v>58.2</v>
      </c>
      <c r="D93">
        <v>63</v>
      </c>
      <c r="E93">
        <v>4.7</v>
      </c>
      <c r="F93">
        <v>8.1</v>
      </c>
      <c r="G93">
        <v>4.7</v>
      </c>
      <c r="H93" s="2">
        <v>59100</v>
      </c>
      <c r="I93" t="s">
        <v>37</v>
      </c>
      <c r="J93">
        <v>4</v>
      </c>
      <c r="K93" t="s">
        <v>16</v>
      </c>
      <c r="L93">
        <v>4</v>
      </c>
      <c r="M93" t="s">
        <v>16</v>
      </c>
      <c r="N93">
        <v>6</v>
      </c>
    </row>
    <row r="94" spans="1:14" x14ac:dyDescent="0.3">
      <c r="A94" t="s">
        <v>123</v>
      </c>
      <c r="B94" t="str">
        <f>"25-2023"</f>
        <v>25-2023</v>
      </c>
      <c r="C94">
        <v>11.5</v>
      </c>
      <c r="D94">
        <v>12.4</v>
      </c>
      <c r="E94">
        <v>0.9</v>
      </c>
      <c r="F94">
        <v>7.4</v>
      </c>
      <c r="G94">
        <v>0.9</v>
      </c>
      <c r="H94" s="2">
        <v>62270</v>
      </c>
      <c r="I94" t="s">
        <v>15</v>
      </c>
      <c r="J94">
        <v>3</v>
      </c>
      <c r="K94" t="s">
        <v>32</v>
      </c>
      <c r="L94">
        <v>2</v>
      </c>
      <c r="M94" t="s">
        <v>16</v>
      </c>
      <c r="N94">
        <v>6</v>
      </c>
    </row>
    <row r="95" spans="1:14" x14ac:dyDescent="0.3">
      <c r="A95" t="s">
        <v>124</v>
      </c>
      <c r="B95" t="str">
        <f>"25-1194"</f>
        <v>25-1194</v>
      </c>
      <c r="C95">
        <v>114.2</v>
      </c>
      <c r="D95">
        <v>118.1</v>
      </c>
      <c r="E95">
        <v>3.8</v>
      </c>
      <c r="F95">
        <v>3.4</v>
      </c>
      <c r="G95">
        <v>11</v>
      </c>
      <c r="H95" s="2">
        <v>55620</v>
      </c>
      <c r="I95" t="s">
        <v>15</v>
      </c>
      <c r="J95">
        <v>3</v>
      </c>
      <c r="K95" t="s">
        <v>32</v>
      </c>
      <c r="L95">
        <v>2</v>
      </c>
      <c r="M95" t="s">
        <v>16</v>
      </c>
      <c r="N95">
        <v>6</v>
      </c>
    </row>
    <row r="96" spans="1:14" x14ac:dyDescent="0.3">
      <c r="A96" t="s">
        <v>125</v>
      </c>
      <c r="B96" t="str">
        <f>"25-2032"</f>
        <v>25-2032</v>
      </c>
      <c r="C96">
        <v>72.3</v>
      </c>
      <c r="D96">
        <v>77.5</v>
      </c>
      <c r="E96">
        <v>5.0999999999999996</v>
      </c>
      <c r="F96">
        <v>7.1</v>
      </c>
      <c r="G96">
        <v>5.5</v>
      </c>
      <c r="H96" s="2">
        <v>62460</v>
      </c>
      <c r="I96" t="s">
        <v>15</v>
      </c>
      <c r="J96">
        <v>3</v>
      </c>
      <c r="K96" t="s">
        <v>32</v>
      </c>
      <c r="L96">
        <v>2</v>
      </c>
      <c r="M96" t="s">
        <v>16</v>
      </c>
      <c r="N96">
        <v>6</v>
      </c>
    </row>
    <row r="97" spans="1:14" x14ac:dyDescent="0.3">
      <c r="A97" t="s">
        <v>126</v>
      </c>
      <c r="B97" t="str">
        <f>"43-5011"</f>
        <v>43-5011</v>
      </c>
      <c r="C97">
        <v>95.6</v>
      </c>
      <c r="D97">
        <v>105.1</v>
      </c>
      <c r="E97">
        <v>9.5</v>
      </c>
      <c r="F97">
        <v>9.9</v>
      </c>
      <c r="G97">
        <v>10.7</v>
      </c>
      <c r="H97" s="2">
        <v>43770</v>
      </c>
      <c r="I97" t="s">
        <v>25</v>
      </c>
      <c r="J97">
        <v>7</v>
      </c>
      <c r="K97" t="s">
        <v>16</v>
      </c>
      <c r="L97">
        <v>4</v>
      </c>
      <c r="M97" t="s">
        <v>30</v>
      </c>
      <c r="N97">
        <v>5</v>
      </c>
    </row>
    <row r="98" spans="1:14" x14ac:dyDescent="0.3">
      <c r="A98" t="s">
        <v>127</v>
      </c>
      <c r="B98" t="str">
        <f>"47-2031"</f>
        <v>47-2031</v>
      </c>
      <c r="C98">
        <v>942.9</v>
      </c>
      <c r="D98">
        <v>963</v>
      </c>
      <c r="E98">
        <v>20.100000000000001</v>
      </c>
      <c r="F98">
        <v>2.1</v>
      </c>
      <c r="G98">
        <v>89.3</v>
      </c>
      <c r="H98" s="2">
        <v>49520</v>
      </c>
      <c r="I98" t="s">
        <v>25</v>
      </c>
      <c r="J98">
        <v>7</v>
      </c>
      <c r="K98" t="s">
        <v>16</v>
      </c>
      <c r="L98">
        <v>4</v>
      </c>
      <c r="M98" t="s">
        <v>103</v>
      </c>
      <c r="N98">
        <v>2</v>
      </c>
    </row>
    <row r="99" spans="1:14" x14ac:dyDescent="0.3">
      <c r="A99" t="s">
        <v>128</v>
      </c>
      <c r="B99" t="str">
        <f>"47-2041"</f>
        <v>47-2041</v>
      </c>
      <c r="C99">
        <v>32.6</v>
      </c>
      <c r="D99">
        <v>30.7</v>
      </c>
      <c r="E99">
        <v>-1.9</v>
      </c>
      <c r="F99">
        <v>-5.9</v>
      </c>
      <c r="G99">
        <v>2.5</v>
      </c>
      <c r="H99" s="2">
        <v>41480</v>
      </c>
      <c r="I99" t="s">
        <v>43</v>
      </c>
      <c r="J99">
        <v>8</v>
      </c>
      <c r="K99" t="s">
        <v>16</v>
      </c>
      <c r="L99">
        <v>4</v>
      </c>
      <c r="M99" t="s">
        <v>30</v>
      </c>
      <c r="N99">
        <v>5</v>
      </c>
    </row>
    <row r="100" spans="1:14" x14ac:dyDescent="0.3">
      <c r="A100" t="s">
        <v>129</v>
      </c>
      <c r="B100" t="str">
        <f>"17-1021"</f>
        <v>17-1021</v>
      </c>
      <c r="C100">
        <v>13.2</v>
      </c>
      <c r="D100">
        <v>13.9</v>
      </c>
      <c r="E100">
        <v>0.7</v>
      </c>
      <c r="F100">
        <v>5.4</v>
      </c>
      <c r="G100">
        <v>1.2</v>
      </c>
      <c r="H100" s="2">
        <v>68380</v>
      </c>
      <c r="I100" t="s">
        <v>15</v>
      </c>
      <c r="J100">
        <v>3</v>
      </c>
      <c r="K100" t="s">
        <v>16</v>
      </c>
      <c r="L100">
        <v>4</v>
      </c>
      <c r="M100" t="s">
        <v>16</v>
      </c>
      <c r="N100">
        <v>6</v>
      </c>
    </row>
    <row r="101" spans="1:14" x14ac:dyDescent="0.3">
      <c r="A101" t="s">
        <v>130</v>
      </c>
      <c r="B101" t="str">
        <f>"41-2011"</f>
        <v>41-2011</v>
      </c>
      <c r="C101" s="1">
        <v>3379.1</v>
      </c>
      <c r="D101" s="1">
        <v>3042.7</v>
      </c>
      <c r="E101">
        <v>-336.4</v>
      </c>
      <c r="F101">
        <v>-10</v>
      </c>
      <c r="G101">
        <v>546.9</v>
      </c>
      <c r="H101" s="2">
        <v>25020</v>
      </c>
      <c r="I101" t="s">
        <v>43</v>
      </c>
      <c r="J101">
        <v>8</v>
      </c>
      <c r="K101" t="s">
        <v>16</v>
      </c>
      <c r="L101">
        <v>4</v>
      </c>
      <c r="M101" t="s">
        <v>30</v>
      </c>
      <c r="N101">
        <v>5</v>
      </c>
    </row>
    <row r="102" spans="1:14" x14ac:dyDescent="0.3">
      <c r="A102" t="s">
        <v>131</v>
      </c>
      <c r="B102" t="str">
        <f>"47-2051"</f>
        <v>47-2051</v>
      </c>
      <c r="C102">
        <v>194.1</v>
      </c>
      <c r="D102">
        <v>192.2</v>
      </c>
      <c r="E102">
        <v>-1.9</v>
      </c>
      <c r="F102">
        <v>-1</v>
      </c>
      <c r="G102">
        <v>17.2</v>
      </c>
      <c r="H102" s="2">
        <v>46000</v>
      </c>
      <c r="I102" t="s">
        <v>43</v>
      </c>
      <c r="J102">
        <v>8</v>
      </c>
      <c r="K102" t="s">
        <v>16</v>
      </c>
      <c r="L102">
        <v>4</v>
      </c>
      <c r="M102" t="s">
        <v>26</v>
      </c>
      <c r="N102">
        <v>4</v>
      </c>
    </row>
    <row r="103" spans="1:14" x14ac:dyDescent="0.3">
      <c r="A103" t="s">
        <v>132</v>
      </c>
      <c r="B103" t="str">
        <f>"35-1011"</f>
        <v>35-1011</v>
      </c>
      <c r="C103">
        <v>110.7</v>
      </c>
      <c r="D103">
        <v>138.69999999999999</v>
      </c>
      <c r="E103">
        <v>28</v>
      </c>
      <c r="F103">
        <v>25.3</v>
      </c>
      <c r="G103">
        <v>18.8</v>
      </c>
      <c r="H103" s="2">
        <v>53380</v>
      </c>
      <c r="I103" t="s">
        <v>25</v>
      </c>
      <c r="J103">
        <v>7</v>
      </c>
      <c r="K103" t="s">
        <v>29</v>
      </c>
      <c r="L103">
        <v>1</v>
      </c>
      <c r="M103" t="s">
        <v>16</v>
      </c>
      <c r="N103">
        <v>6</v>
      </c>
    </row>
    <row r="104" spans="1:14" x14ac:dyDescent="0.3">
      <c r="A104" t="s">
        <v>133</v>
      </c>
      <c r="B104" t="str">
        <f>"17-2041"</f>
        <v>17-2041</v>
      </c>
      <c r="C104">
        <v>26.3</v>
      </c>
      <c r="D104">
        <v>28.7</v>
      </c>
      <c r="E104">
        <v>2.4</v>
      </c>
      <c r="F104">
        <v>9.3000000000000007</v>
      </c>
      <c r="G104">
        <v>1.8</v>
      </c>
      <c r="H104" s="2">
        <v>108540</v>
      </c>
      <c r="I104" t="s">
        <v>15</v>
      </c>
      <c r="J104">
        <v>3</v>
      </c>
      <c r="K104" t="s">
        <v>16</v>
      </c>
      <c r="L104">
        <v>4</v>
      </c>
      <c r="M104" t="s">
        <v>16</v>
      </c>
      <c r="N104">
        <v>6</v>
      </c>
    </row>
    <row r="105" spans="1:14" x14ac:dyDescent="0.3">
      <c r="A105" t="s">
        <v>134</v>
      </c>
      <c r="B105" t="str">
        <f>"51-9011"</f>
        <v>51-9011</v>
      </c>
      <c r="C105">
        <v>93.5</v>
      </c>
      <c r="D105">
        <v>88.6</v>
      </c>
      <c r="E105">
        <v>-4.9000000000000004</v>
      </c>
      <c r="F105">
        <v>-5.3</v>
      </c>
      <c r="G105">
        <v>8.6</v>
      </c>
      <c r="H105" s="2">
        <v>50510</v>
      </c>
      <c r="I105" t="s">
        <v>25</v>
      </c>
      <c r="J105">
        <v>7</v>
      </c>
      <c r="K105" t="s">
        <v>16</v>
      </c>
      <c r="L105">
        <v>4</v>
      </c>
      <c r="M105" t="s">
        <v>26</v>
      </c>
      <c r="N105">
        <v>4</v>
      </c>
    </row>
    <row r="106" spans="1:14" x14ac:dyDescent="0.3">
      <c r="A106" t="s">
        <v>135</v>
      </c>
      <c r="B106" t="str">
        <f>"51-8091"</f>
        <v>51-8091</v>
      </c>
      <c r="C106">
        <v>29.5</v>
      </c>
      <c r="D106">
        <v>29.4</v>
      </c>
      <c r="E106">
        <v>-0.1</v>
      </c>
      <c r="F106">
        <v>-0.5</v>
      </c>
      <c r="G106">
        <v>3</v>
      </c>
      <c r="H106" s="2">
        <v>65960</v>
      </c>
      <c r="I106" t="s">
        <v>25</v>
      </c>
      <c r="J106">
        <v>7</v>
      </c>
      <c r="K106" t="s">
        <v>16</v>
      </c>
      <c r="L106">
        <v>4</v>
      </c>
      <c r="M106" t="s">
        <v>26</v>
      </c>
      <c r="N106">
        <v>4</v>
      </c>
    </row>
    <row r="107" spans="1:14" x14ac:dyDescent="0.3">
      <c r="A107" t="s">
        <v>136</v>
      </c>
      <c r="B107" t="str">
        <f>"19-4031"</f>
        <v>19-4031</v>
      </c>
      <c r="C107">
        <v>65.099999999999994</v>
      </c>
      <c r="D107">
        <v>68.400000000000006</v>
      </c>
      <c r="E107">
        <v>3.3</v>
      </c>
      <c r="F107">
        <v>5</v>
      </c>
      <c r="G107">
        <v>7.5</v>
      </c>
      <c r="H107" s="2">
        <v>49820</v>
      </c>
      <c r="I107" t="s">
        <v>37</v>
      </c>
      <c r="J107">
        <v>4</v>
      </c>
      <c r="K107" t="s">
        <v>16</v>
      </c>
      <c r="L107">
        <v>4</v>
      </c>
      <c r="M107" t="s">
        <v>26</v>
      </c>
      <c r="N107">
        <v>4</v>
      </c>
    </row>
    <row r="108" spans="1:14" x14ac:dyDescent="0.3">
      <c r="A108" t="s">
        <v>137</v>
      </c>
      <c r="B108" t="str">
        <f>"25-1052"</f>
        <v>25-1052</v>
      </c>
      <c r="C108">
        <v>25.6</v>
      </c>
      <c r="D108">
        <v>27.6</v>
      </c>
      <c r="E108">
        <v>2</v>
      </c>
      <c r="F108">
        <v>7.9</v>
      </c>
      <c r="G108">
        <v>2.6</v>
      </c>
      <c r="H108" s="2">
        <v>80400</v>
      </c>
      <c r="I108" t="s">
        <v>28</v>
      </c>
      <c r="J108">
        <v>1</v>
      </c>
      <c r="K108" t="s">
        <v>16</v>
      </c>
      <c r="L108">
        <v>4</v>
      </c>
      <c r="M108" t="s">
        <v>16</v>
      </c>
      <c r="N108">
        <v>6</v>
      </c>
    </row>
    <row r="109" spans="1:14" x14ac:dyDescent="0.3">
      <c r="A109" t="s">
        <v>138</v>
      </c>
      <c r="B109" t="str">
        <f>"19-2031"</f>
        <v>19-2031</v>
      </c>
      <c r="C109">
        <v>85.4</v>
      </c>
      <c r="D109">
        <v>91.1</v>
      </c>
      <c r="E109">
        <v>5.7</v>
      </c>
      <c r="F109">
        <v>6.7</v>
      </c>
      <c r="G109">
        <v>8.4</v>
      </c>
      <c r="H109" s="2">
        <v>79300</v>
      </c>
      <c r="I109" t="s">
        <v>15</v>
      </c>
      <c r="J109">
        <v>3</v>
      </c>
      <c r="K109" t="s">
        <v>16</v>
      </c>
      <c r="L109">
        <v>4</v>
      </c>
      <c r="M109" t="s">
        <v>16</v>
      </c>
      <c r="N109">
        <v>6</v>
      </c>
    </row>
    <row r="110" spans="1:14" x14ac:dyDescent="0.3">
      <c r="A110" t="s">
        <v>139</v>
      </c>
      <c r="B110" t="str">
        <f>"11-1011"</f>
        <v>11-1011</v>
      </c>
      <c r="C110">
        <v>292.5</v>
      </c>
      <c r="D110">
        <v>275.7</v>
      </c>
      <c r="E110">
        <v>-16.8</v>
      </c>
      <c r="F110">
        <v>-5.7</v>
      </c>
      <c r="G110">
        <v>17.5</v>
      </c>
      <c r="H110" s="2">
        <v>185950</v>
      </c>
      <c r="I110" t="s">
        <v>15</v>
      </c>
      <c r="J110">
        <v>3</v>
      </c>
      <c r="K110" t="s">
        <v>29</v>
      </c>
      <c r="L110">
        <v>1</v>
      </c>
      <c r="M110" t="s">
        <v>16</v>
      </c>
      <c r="N110">
        <v>6</v>
      </c>
    </row>
    <row r="111" spans="1:14" x14ac:dyDescent="0.3">
      <c r="A111" t="s">
        <v>140</v>
      </c>
      <c r="B111" t="str">
        <f>"21-1021"</f>
        <v>21-1021</v>
      </c>
      <c r="C111">
        <v>335.3</v>
      </c>
      <c r="D111">
        <v>377.4</v>
      </c>
      <c r="E111">
        <v>42.2</v>
      </c>
      <c r="F111">
        <v>12.6</v>
      </c>
      <c r="G111">
        <v>36.700000000000003</v>
      </c>
      <c r="H111" s="2">
        <v>48430</v>
      </c>
      <c r="I111" t="s">
        <v>15</v>
      </c>
      <c r="J111">
        <v>3</v>
      </c>
      <c r="K111" t="s">
        <v>16</v>
      </c>
      <c r="L111">
        <v>4</v>
      </c>
      <c r="M111" t="s">
        <v>16</v>
      </c>
      <c r="N111">
        <v>6</v>
      </c>
    </row>
    <row r="112" spans="1:14" x14ac:dyDescent="0.3">
      <c r="A112" t="s">
        <v>141</v>
      </c>
      <c r="B112" t="str">
        <f>"39-9011"</f>
        <v>39-9011</v>
      </c>
      <c r="C112">
        <v>992.4</v>
      </c>
      <c r="D112" s="1">
        <v>1076.5999999999999</v>
      </c>
      <c r="E112">
        <v>84.2</v>
      </c>
      <c r="F112">
        <v>8.5</v>
      </c>
      <c r="G112">
        <v>150.30000000000001</v>
      </c>
      <c r="H112" s="2">
        <v>25460</v>
      </c>
      <c r="I112" t="s">
        <v>25</v>
      </c>
      <c r="J112">
        <v>7</v>
      </c>
      <c r="K112" t="s">
        <v>16</v>
      </c>
      <c r="L112">
        <v>4</v>
      </c>
      <c r="M112" t="s">
        <v>30</v>
      </c>
      <c r="N112">
        <v>5</v>
      </c>
    </row>
    <row r="113" spans="1:14" x14ac:dyDescent="0.3">
      <c r="A113" t="s">
        <v>142</v>
      </c>
      <c r="B113" t="str">
        <f>"29-1011"</f>
        <v>29-1011</v>
      </c>
      <c r="C113">
        <v>51.4</v>
      </c>
      <c r="D113">
        <v>57</v>
      </c>
      <c r="E113">
        <v>5.6</v>
      </c>
      <c r="F113">
        <v>10.8</v>
      </c>
      <c r="G113">
        <v>1.8</v>
      </c>
      <c r="H113" s="2">
        <v>70720</v>
      </c>
      <c r="I113" t="s">
        <v>28</v>
      </c>
      <c r="J113">
        <v>1</v>
      </c>
      <c r="K113" t="s">
        <v>16</v>
      </c>
      <c r="L113">
        <v>4</v>
      </c>
      <c r="M113" t="s">
        <v>16</v>
      </c>
      <c r="N113">
        <v>6</v>
      </c>
    </row>
    <row r="114" spans="1:14" x14ac:dyDescent="0.3">
      <c r="A114" t="s">
        <v>143</v>
      </c>
      <c r="B114" t="str">
        <f>"27-2032"</f>
        <v>27-2032</v>
      </c>
      <c r="C114">
        <v>4.5999999999999996</v>
      </c>
      <c r="D114">
        <v>6.1</v>
      </c>
      <c r="E114">
        <v>1.5</v>
      </c>
      <c r="F114">
        <v>32.1</v>
      </c>
      <c r="G114">
        <v>1</v>
      </c>
      <c r="H114" s="2">
        <v>43680</v>
      </c>
      <c r="I114" t="s">
        <v>25</v>
      </c>
      <c r="J114">
        <v>7</v>
      </c>
      <c r="K114" t="s">
        <v>29</v>
      </c>
      <c r="L114">
        <v>1</v>
      </c>
      <c r="M114" t="s">
        <v>20</v>
      </c>
      <c r="N114">
        <v>3</v>
      </c>
    </row>
    <row r="115" spans="1:14" x14ac:dyDescent="0.3">
      <c r="A115" t="s">
        <v>144</v>
      </c>
      <c r="B115" t="str">
        <f>"17-3022"</f>
        <v>17-3022</v>
      </c>
      <c r="C115">
        <v>68.8</v>
      </c>
      <c r="D115">
        <v>70</v>
      </c>
      <c r="E115">
        <v>1.2</v>
      </c>
      <c r="F115">
        <v>1.8</v>
      </c>
      <c r="G115">
        <v>6.5</v>
      </c>
      <c r="H115" s="2">
        <v>54080</v>
      </c>
      <c r="I115" t="s">
        <v>37</v>
      </c>
      <c r="J115">
        <v>4</v>
      </c>
      <c r="K115" t="s">
        <v>16</v>
      </c>
      <c r="L115">
        <v>4</v>
      </c>
      <c r="M115" t="s">
        <v>16</v>
      </c>
      <c r="N115">
        <v>6</v>
      </c>
    </row>
    <row r="116" spans="1:14" x14ac:dyDescent="0.3">
      <c r="A116" t="s">
        <v>145</v>
      </c>
      <c r="B116" t="str">
        <f>"17-2051"</f>
        <v>17-2051</v>
      </c>
      <c r="C116">
        <v>309.8</v>
      </c>
      <c r="D116">
        <v>335.1</v>
      </c>
      <c r="E116">
        <v>25.3</v>
      </c>
      <c r="F116">
        <v>8.1999999999999993</v>
      </c>
      <c r="G116">
        <v>25</v>
      </c>
      <c r="H116" s="2">
        <v>88570</v>
      </c>
      <c r="I116" t="s">
        <v>15</v>
      </c>
      <c r="J116">
        <v>3</v>
      </c>
      <c r="K116" t="s">
        <v>16</v>
      </c>
      <c r="L116">
        <v>4</v>
      </c>
      <c r="M116" t="s">
        <v>16</v>
      </c>
      <c r="N116">
        <v>6</v>
      </c>
    </row>
    <row r="117" spans="1:14" x14ac:dyDescent="0.3">
      <c r="A117" t="s">
        <v>146</v>
      </c>
      <c r="B117" t="str">
        <f>"13-1031"</f>
        <v>13-1031</v>
      </c>
      <c r="C117">
        <v>333.8</v>
      </c>
      <c r="D117">
        <v>324.7</v>
      </c>
      <c r="E117">
        <v>-9.1</v>
      </c>
      <c r="F117">
        <v>-2.7</v>
      </c>
      <c r="G117">
        <v>24</v>
      </c>
      <c r="H117" s="2">
        <v>68270</v>
      </c>
      <c r="I117" t="s">
        <v>25</v>
      </c>
      <c r="J117">
        <v>7</v>
      </c>
      <c r="K117" t="s">
        <v>16</v>
      </c>
      <c r="L117">
        <v>4</v>
      </c>
      <c r="M117" t="s">
        <v>20</v>
      </c>
      <c r="N117">
        <v>3</v>
      </c>
    </row>
    <row r="118" spans="1:14" x14ac:dyDescent="0.3">
      <c r="A118" t="s">
        <v>147</v>
      </c>
      <c r="B118" t="str">
        <f>"53-7061"</f>
        <v>53-7061</v>
      </c>
      <c r="C118">
        <v>367.2</v>
      </c>
      <c r="D118">
        <v>399.6</v>
      </c>
      <c r="E118">
        <v>32.4</v>
      </c>
      <c r="F118">
        <v>8.8000000000000007</v>
      </c>
      <c r="G118">
        <v>56.1</v>
      </c>
      <c r="H118" s="2">
        <v>27640</v>
      </c>
      <c r="I118" t="s">
        <v>43</v>
      </c>
      <c r="J118">
        <v>8</v>
      </c>
      <c r="K118" t="s">
        <v>16</v>
      </c>
      <c r="L118">
        <v>4</v>
      </c>
      <c r="M118" t="s">
        <v>30</v>
      </c>
      <c r="N118">
        <v>5</v>
      </c>
    </row>
    <row r="119" spans="1:14" x14ac:dyDescent="0.3">
      <c r="A119" t="s">
        <v>148</v>
      </c>
      <c r="B119" t="str">
        <f>"51-9192"</f>
        <v>51-9192</v>
      </c>
      <c r="C119">
        <v>14.7</v>
      </c>
      <c r="D119">
        <v>15.7</v>
      </c>
      <c r="E119">
        <v>0.9</v>
      </c>
      <c r="F119">
        <v>6.3</v>
      </c>
      <c r="G119">
        <v>1.7</v>
      </c>
      <c r="H119" s="2">
        <v>32230</v>
      </c>
      <c r="I119" t="s">
        <v>25</v>
      </c>
      <c r="J119">
        <v>7</v>
      </c>
      <c r="K119" t="s">
        <v>16</v>
      </c>
      <c r="L119">
        <v>4</v>
      </c>
      <c r="M119" t="s">
        <v>26</v>
      </c>
      <c r="N119">
        <v>4</v>
      </c>
    </row>
    <row r="120" spans="1:14" x14ac:dyDescent="0.3">
      <c r="A120" t="s">
        <v>149</v>
      </c>
      <c r="B120" t="str">
        <f>"21-2011"</f>
        <v>21-2011</v>
      </c>
      <c r="C120">
        <v>260.60000000000002</v>
      </c>
      <c r="D120">
        <v>267.2</v>
      </c>
      <c r="E120">
        <v>6.6</v>
      </c>
      <c r="F120">
        <v>2.5</v>
      </c>
      <c r="G120">
        <v>26.7</v>
      </c>
      <c r="H120" s="2">
        <v>51940</v>
      </c>
      <c r="I120" t="s">
        <v>15</v>
      </c>
      <c r="J120">
        <v>3</v>
      </c>
      <c r="K120" t="s">
        <v>16</v>
      </c>
      <c r="L120">
        <v>4</v>
      </c>
      <c r="M120" t="s">
        <v>26</v>
      </c>
      <c r="N120">
        <v>4</v>
      </c>
    </row>
    <row r="121" spans="1:14" x14ac:dyDescent="0.3">
      <c r="A121" t="s">
        <v>150</v>
      </c>
      <c r="B121" t="str">
        <f>"29-2010"</f>
        <v>29-2010</v>
      </c>
      <c r="C121">
        <v>335.5</v>
      </c>
      <c r="D121">
        <v>372</v>
      </c>
      <c r="E121">
        <v>36.5</v>
      </c>
      <c r="F121">
        <v>10.9</v>
      </c>
      <c r="G121">
        <v>25.9</v>
      </c>
      <c r="H121" s="2">
        <v>54180</v>
      </c>
      <c r="I121" t="s">
        <v>15</v>
      </c>
      <c r="J121">
        <v>3</v>
      </c>
      <c r="K121" t="s">
        <v>16</v>
      </c>
      <c r="L121">
        <v>4</v>
      </c>
      <c r="M121" t="s">
        <v>16</v>
      </c>
      <c r="N121">
        <v>6</v>
      </c>
    </row>
    <row r="122" spans="1:14" x14ac:dyDescent="0.3">
      <c r="A122" t="s">
        <v>151</v>
      </c>
      <c r="B122" t="str">
        <f>"19-3031"</f>
        <v>19-3031</v>
      </c>
      <c r="C122">
        <v>118.8</v>
      </c>
      <c r="D122">
        <v>131.1</v>
      </c>
      <c r="E122">
        <v>12.3</v>
      </c>
      <c r="F122">
        <v>10.4</v>
      </c>
      <c r="G122">
        <v>9.4</v>
      </c>
      <c r="H122" s="2">
        <v>79820</v>
      </c>
      <c r="I122" t="s">
        <v>28</v>
      </c>
      <c r="J122">
        <v>1</v>
      </c>
      <c r="K122" t="s">
        <v>16</v>
      </c>
      <c r="L122">
        <v>4</v>
      </c>
      <c r="M122" t="s">
        <v>58</v>
      </c>
      <c r="N122">
        <v>1</v>
      </c>
    </row>
    <row r="123" spans="1:14" x14ac:dyDescent="0.3">
      <c r="A123" t="s">
        <v>152</v>
      </c>
      <c r="B123" t="str">
        <f>"27-2022"</f>
        <v>27-2022</v>
      </c>
      <c r="C123">
        <v>249.9</v>
      </c>
      <c r="D123">
        <v>313.8</v>
      </c>
      <c r="E123">
        <v>63.9</v>
      </c>
      <c r="F123">
        <v>25.6</v>
      </c>
      <c r="G123">
        <v>45.1</v>
      </c>
      <c r="H123" s="2">
        <v>36330</v>
      </c>
      <c r="I123" t="s">
        <v>15</v>
      </c>
      <c r="J123">
        <v>3</v>
      </c>
      <c r="K123" t="s">
        <v>16</v>
      </c>
      <c r="L123">
        <v>4</v>
      </c>
      <c r="M123" t="s">
        <v>16</v>
      </c>
      <c r="N123">
        <v>6</v>
      </c>
    </row>
    <row r="124" spans="1:14" x14ac:dyDescent="0.3">
      <c r="A124" t="s">
        <v>153</v>
      </c>
      <c r="B124" t="str">
        <f>"51-9124"</f>
        <v>51-9124</v>
      </c>
      <c r="C124">
        <v>143.4</v>
      </c>
      <c r="D124">
        <v>154.19999999999999</v>
      </c>
      <c r="E124">
        <v>10.8</v>
      </c>
      <c r="F124">
        <v>7.5</v>
      </c>
      <c r="G124">
        <v>15.9</v>
      </c>
      <c r="H124" s="2">
        <v>39060</v>
      </c>
      <c r="I124" t="s">
        <v>25</v>
      </c>
      <c r="J124">
        <v>7</v>
      </c>
      <c r="K124" t="s">
        <v>16</v>
      </c>
      <c r="L124">
        <v>4</v>
      </c>
      <c r="M124" t="s">
        <v>26</v>
      </c>
      <c r="N124">
        <v>4</v>
      </c>
    </row>
    <row r="125" spans="1:14" x14ac:dyDescent="0.3">
      <c r="A125" t="s">
        <v>154</v>
      </c>
      <c r="B125" t="str">
        <f>"51-2021"</f>
        <v>51-2021</v>
      </c>
      <c r="C125">
        <v>12.4</v>
      </c>
      <c r="D125">
        <v>10.9</v>
      </c>
      <c r="E125">
        <v>-1.5</v>
      </c>
      <c r="F125">
        <v>-12.4</v>
      </c>
      <c r="G125">
        <v>1.1000000000000001</v>
      </c>
      <c r="H125" s="2">
        <v>37970</v>
      </c>
      <c r="I125" t="s">
        <v>25</v>
      </c>
      <c r="J125">
        <v>7</v>
      </c>
      <c r="K125" t="s">
        <v>16</v>
      </c>
      <c r="L125">
        <v>4</v>
      </c>
      <c r="M125" t="s">
        <v>26</v>
      </c>
      <c r="N125">
        <v>4</v>
      </c>
    </row>
    <row r="126" spans="1:14" x14ac:dyDescent="0.3">
      <c r="A126" t="s">
        <v>155</v>
      </c>
      <c r="B126" t="str">
        <f>"49-9091"</f>
        <v>49-9091</v>
      </c>
      <c r="C126">
        <v>27.2</v>
      </c>
      <c r="D126">
        <v>29.7</v>
      </c>
      <c r="E126">
        <v>2.4</v>
      </c>
      <c r="F126">
        <v>9</v>
      </c>
      <c r="G126">
        <v>3.6</v>
      </c>
      <c r="H126" s="2">
        <v>37580</v>
      </c>
      <c r="I126" t="s">
        <v>25</v>
      </c>
      <c r="J126">
        <v>7</v>
      </c>
      <c r="K126" t="s">
        <v>16</v>
      </c>
      <c r="L126">
        <v>4</v>
      </c>
      <c r="M126" t="s">
        <v>30</v>
      </c>
      <c r="N126">
        <v>5</v>
      </c>
    </row>
    <row r="127" spans="1:14" x14ac:dyDescent="0.3">
      <c r="A127" t="s">
        <v>156</v>
      </c>
      <c r="B127" t="str">
        <f>"27-1021"</f>
        <v>27-1021</v>
      </c>
      <c r="C127">
        <v>31.5</v>
      </c>
      <c r="D127">
        <v>33.299999999999997</v>
      </c>
      <c r="E127">
        <v>1.8</v>
      </c>
      <c r="F127">
        <v>5.6</v>
      </c>
      <c r="G127">
        <v>3.1</v>
      </c>
      <c r="H127" s="2">
        <v>71640</v>
      </c>
      <c r="I127" t="s">
        <v>15</v>
      </c>
      <c r="J127">
        <v>3</v>
      </c>
      <c r="K127" t="s">
        <v>16</v>
      </c>
      <c r="L127">
        <v>4</v>
      </c>
      <c r="M127" t="s">
        <v>16</v>
      </c>
      <c r="N127">
        <v>6</v>
      </c>
    </row>
    <row r="128" spans="1:14" x14ac:dyDescent="0.3">
      <c r="A128" t="s">
        <v>157</v>
      </c>
      <c r="B128" t="str">
        <f>"49-9092"</f>
        <v>49-9092</v>
      </c>
      <c r="C128">
        <v>4</v>
      </c>
      <c r="D128">
        <v>4.7</v>
      </c>
      <c r="E128">
        <v>0.7</v>
      </c>
      <c r="F128">
        <v>16.8</v>
      </c>
      <c r="G128">
        <v>0.5</v>
      </c>
      <c r="H128" s="2">
        <v>54800</v>
      </c>
      <c r="I128" t="s">
        <v>50</v>
      </c>
      <c r="J128">
        <v>5</v>
      </c>
      <c r="K128" t="s">
        <v>16</v>
      </c>
      <c r="L128">
        <v>4</v>
      </c>
      <c r="M128" t="s">
        <v>26</v>
      </c>
      <c r="N128">
        <v>4</v>
      </c>
    </row>
    <row r="129" spans="1:14" x14ac:dyDescent="0.3">
      <c r="A129" t="s">
        <v>158</v>
      </c>
      <c r="B129" t="str">
        <f>"53-2012"</f>
        <v>53-2012</v>
      </c>
      <c r="C129">
        <v>39.200000000000003</v>
      </c>
      <c r="D129">
        <v>43.6</v>
      </c>
      <c r="E129">
        <v>4.5</v>
      </c>
      <c r="F129">
        <v>11.4</v>
      </c>
      <c r="G129">
        <v>4.9000000000000004</v>
      </c>
      <c r="H129" s="2">
        <v>93300</v>
      </c>
      <c r="I129" t="s">
        <v>25</v>
      </c>
      <c r="J129">
        <v>7</v>
      </c>
      <c r="K129" t="s">
        <v>16</v>
      </c>
      <c r="L129">
        <v>4</v>
      </c>
      <c r="M129" t="s">
        <v>26</v>
      </c>
      <c r="N129">
        <v>4</v>
      </c>
    </row>
    <row r="130" spans="1:14" x14ac:dyDescent="0.3">
      <c r="A130" t="s">
        <v>159</v>
      </c>
      <c r="B130" t="str">
        <f>"43-2099"</f>
        <v>43-2099</v>
      </c>
      <c r="C130">
        <v>4.4000000000000004</v>
      </c>
      <c r="D130">
        <v>5</v>
      </c>
      <c r="E130">
        <v>0.6</v>
      </c>
      <c r="F130">
        <v>13.8</v>
      </c>
      <c r="G130">
        <v>0.5</v>
      </c>
      <c r="H130" s="2">
        <v>46680</v>
      </c>
      <c r="I130" t="s">
        <v>25</v>
      </c>
      <c r="J130">
        <v>7</v>
      </c>
      <c r="K130" t="s">
        <v>16</v>
      </c>
      <c r="L130">
        <v>4</v>
      </c>
      <c r="M130" t="s">
        <v>30</v>
      </c>
      <c r="N130">
        <v>5</v>
      </c>
    </row>
    <row r="131" spans="1:14" x14ac:dyDescent="0.3">
      <c r="A131" t="s">
        <v>160</v>
      </c>
      <c r="B131" t="str">
        <f>"25-1122"</f>
        <v>25-1122</v>
      </c>
      <c r="C131">
        <v>33.6</v>
      </c>
      <c r="D131">
        <v>36</v>
      </c>
      <c r="E131">
        <v>2.4</v>
      </c>
      <c r="F131">
        <v>7.3</v>
      </c>
      <c r="G131">
        <v>3.4</v>
      </c>
      <c r="H131" s="2">
        <v>71030</v>
      </c>
      <c r="I131" t="s">
        <v>28</v>
      </c>
      <c r="J131">
        <v>1</v>
      </c>
      <c r="K131" t="s">
        <v>16</v>
      </c>
      <c r="L131">
        <v>4</v>
      </c>
      <c r="M131" t="s">
        <v>16</v>
      </c>
      <c r="N131">
        <v>6</v>
      </c>
    </row>
    <row r="132" spans="1:14" x14ac:dyDescent="0.3">
      <c r="A132" t="s">
        <v>161</v>
      </c>
      <c r="B132" t="str">
        <f>"21-1099"</f>
        <v>21-1099</v>
      </c>
      <c r="C132">
        <v>95.5</v>
      </c>
      <c r="D132">
        <v>108.2</v>
      </c>
      <c r="E132">
        <v>12.7</v>
      </c>
      <c r="F132">
        <v>13.3</v>
      </c>
      <c r="G132">
        <v>11.7</v>
      </c>
      <c r="H132" s="2">
        <v>46770</v>
      </c>
      <c r="I132" t="s">
        <v>15</v>
      </c>
      <c r="J132">
        <v>3</v>
      </c>
      <c r="K132" t="s">
        <v>16</v>
      </c>
      <c r="L132">
        <v>4</v>
      </c>
      <c r="M132" t="s">
        <v>16</v>
      </c>
      <c r="N132">
        <v>6</v>
      </c>
    </row>
    <row r="133" spans="1:14" x14ac:dyDescent="0.3">
      <c r="A133" t="s">
        <v>162</v>
      </c>
      <c r="B133" t="str">
        <f>"21-1094"</f>
        <v>21-1094</v>
      </c>
      <c r="C133">
        <v>64.099999999999994</v>
      </c>
      <c r="D133">
        <v>77.599999999999994</v>
      </c>
      <c r="E133">
        <v>13.5</v>
      </c>
      <c r="F133">
        <v>21</v>
      </c>
      <c r="G133">
        <v>8.6</v>
      </c>
      <c r="H133" s="2">
        <v>42000</v>
      </c>
      <c r="I133" t="s">
        <v>25</v>
      </c>
      <c r="J133">
        <v>7</v>
      </c>
      <c r="K133" t="s">
        <v>16</v>
      </c>
      <c r="L133">
        <v>4</v>
      </c>
      <c r="M133" t="s">
        <v>30</v>
      </c>
      <c r="N133">
        <v>5</v>
      </c>
    </row>
    <row r="134" spans="1:14" x14ac:dyDescent="0.3">
      <c r="A134" t="s">
        <v>163</v>
      </c>
      <c r="B134" t="str">
        <f>"11-3111"</f>
        <v>11-3111</v>
      </c>
      <c r="C134">
        <v>18.7</v>
      </c>
      <c r="D134">
        <v>19.399999999999999</v>
      </c>
      <c r="E134">
        <v>0.7</v>
      </c>
      <c r="F134">
        <v>4</v>
      </c>
      <c r="G134">
        <v>1.5</v>
      </c>
      <c r="H134" s="2">
        <v>125130</v>
      </c>
      <c r="I134" t="s">
        <v>15</v>
      </c>
      <c r="J134">
        <v>3</v>
      </c>
      <c r="K134" t="s">
        <v>29</v>
      </c>
      <c r="L134">
        <v>1</v>
      </c>
      <c r="M134" t="s">
        <v>16</v>
      </c>
      <c r="N134">
        <v>6</v>
      </c>
    </row>
    <row r="135" spans="1:14" x14ac:dyDescent="0.3">
      <c r="A135" t="s">
        <v>164</v>
      </c>
      <c r="B135" t="str">
        <f>"13-1141"</f>
        <v>13-1141</v>
      </c>
      <c r="C135">
        <v>91.9</v>
      </c>
      <c r="D135">
        <v>100.7</v>
      </c>
      <c r="E135">
        <v>8.8000000000000007</v>
      </c>
      <c r="F135">
        <v>9.6</v>
      </c>
      <c r="G135">
        <v>9.4</v>
      </c>
      <c r="H135" s="2">
        <v>67190</v>
      </c>
      <c r="I135" t="s">
        <v>15</v>
      </c>
      <c r="J135">
        <v>3</v>
      </c>
      <c r="K135" t="s">
        <v>32</v>
      </c>
      <c r="L135">
        <v>2</v>
      </c>
      <c r="M135" t="s">
        <v>16</v>
      </c>
      <c r="N135">
        <v>6</v>
      </c>
    </row>
    <row r="136" spans="1:14" x14ac:dyDescent="0.3">
      <c r="A136" t="s">
        <v>165</v>
      </c>
      <c r="B136" t="str">
        <f>"13-1041"</f>
        <v>13-1041</v>
      </c>
      <c r="C136">
        <v>348.7</v>
      </c>
      <c r="D136">
        <v>370.3</v>
      </c>
      <c r="E136">
        <v>21.6</v>
      </c>
      <c r="F136">
        <v>6.2</v>
      </c>
      <c r="G136">
        <v>30</v>
      </c>
      <c r="H136" s="2">
        <v>71100</v>
      </c>
      <c r="I136" t="s">
        <v>15</v>
      </c>
      <c r="J136">
        <v>3</v>
      </c>
      <c r="K136" t="s">
        <v>16</v>
      </c>
      <c r="L136">
        <v>4</v>
      </c>
      <c r="M136" t="s">
        <v>26</v>
      </c>
      <c r="N136">
        <v>4</v>
      </c>
    </row>
    <row r="137" spans="1:14" x14ac:dyDescent="0.3">
      <c r="A137" t="s">
        <v>166</v>
      </c>
      <c r="B137" t="str">
        <f>"15-1221"</f>
        <v>15-1221</v>
      </c>
      <c r="C137">
        <v>33</v>
      </c>
      <c r="D137">
        <v>40.200000000000003</v>
      </c>
      <c r="E137">
        <v>7.2</v>
      </c>
      <c r="F137">
        <v>21.9</v>
      </c>
      <c r="G137">
        <v>3.2</v>
      </c>
      <c r="H137" s="2">
        <v>126830</v>
      </c>
      <c r="I137" t="s">
        <v>23</v>
      </c>
      <c r="J137">
        <v>2</v>
      </c>
      <c r="K137" t="s">
        <v>16</v>
      </c>
      <c r="L137">
        <v>4</v>
      </c>
      <c r="M137" t="s">
        <v>16</v>
      </c>
      <c r="N137">
        <v>6</v>
      </c>
    </row>
    <row r="138" spans="1:14" x14ac:dyDescent="0.3">
      <c r="A138" t="s">
        <v>167</v>
      </c>
      <c r="B138" t="str">
        <f>"11-3021"</f>
        <v>11-3021</v>
      </c>
      <c r="C138">
        <v>482</v>
      </c>
      <c r="D138">
        <v>534.6</v>
      </c>
      <c r="E138">
        <v>52.7</v>
      </c>
      <c r="F138">
        <v>10.9</v>
      </c>
      <c r="G138">
        <v>42.4</v>
      </c>
      <c r="H138" s="2">
        <v>151150</v>
      </c>
      <c r="I138" t="s">
        <v>15</v>
      </c>
      <c r="J138">
        <v>3</v>
      </c>
      <c r="K138" t="s">
        <v>29</v>
      </c>
      <c r="L138">
        <v>1</v>
      </c>
      <c r="M138" t="s">
        <v>16</v>
      </c>
      <c r="N138">
        <v>6</v>
      </c>
    </row>
    <row r="139" spans="1:14" x14ac:dyDescent="0.3">
      <c r="A139" t="s">
        <v>168</v>
      </c>
      <c r="B139" t="str">
        <f>"17-2061"</f>
        <v>17-2061</v>
      </c>
      <c r="C139">
        <v>66.2</v>
      </c>
      <c r="D139">
        <v>67.3</v>
      </c>
      <c r="E139">
        <v>1</v>
      </c>
      <c r="F139">
        <v>1.5</v>
      </c>
      <c r="G139">
        <v>4.5</v>
      </c>
      <c r="H139" s="2">
        <v>119560</v>
      </c>
      <c r="I139" t="s">
        <v>15</v>
      </c>
      <c r="J139">
        <v>3</v>
      </c>
      <c r="K139" t="s">
        <v>16</v>
      </c>
      <c r="L139">
        <v>4</v>
      </c>
      <c r="M139" t="s">
        <v>16</v>
      </c>
      <c r="N139">
        <v>6</v>
      </c>
    </row>
    <row r="140" spans="1:14" x14ac:dyDescent="0.3">
      <c r="A140" t="s">
        <v>169</v>
      </c>
      <c r="B140" t="str">
        <f>"15-1241"</f>
        <v>15-1241</v>
      </c>
      <c r="C140">
        <v>165.2</v>
      </c>
      <c r="D140">
        <v>174.2</v>
      </c>
      <c r="E140">
        <v>9</v>
      </c>
      <c r="F140">
        <v>5.5</v>
      </c>
      <c r="G140">
        <v>11</v>
      </c>
      <c r="H140" s="2">
        <v>116780</v>
      </c>
      <c r="I140" t="s">
        <v>15</v>
      </c>
      <c r="J140">
        <v>3</v>
      </c>
      <c r="K140" t="s">
        <v>29</v>
      </c>
      <c r="L140">
        <v>1</v>
      </c>
      <c r="M140" t="s">
        <v>16</v>
      </c>
      <c r="N140">
        <v>6</v>
      </c>
    </row>
    <row r="141" spans="1:14" x14ac:dyDescent="0.3">
      <c r="A141" t="s">
        <v>170</v>
      </c>
      <c r="B141" t="str">
        <f>"15-1231"</f>
        <v>15-1231</v>
      </c>
      <c r="C141">
        <v>189.8</v>
      </c>
      <c r="D141">
        <v>204</v>
      </c>
      <c r="E141">
        <v>14.2</v>
      </c>
      <c r="F141">
        <v>7.5</v>
      </c>
      <c r="G141">
        <v>15.5</v>
      </c>
      <c r="H141" s="2">
        <v>65450</v>
      </c>
      <c r="I141" t="s">
        <v>37</v>
      </c>
      <c r="J141">
        <v>4</v>
      </c>
      <c r="K141" t="s">
        <v>16</v>
      </c>
      <c r="L141">
        <v>4</v>
      </c>
      <c r="M141" t="s">
        <v>16</v>
      </c>
      <c r="N141">
        <v>6</v>
      </c>
    </row>
    <row r="142" spans="1:14" x14ac:dyDescent="0.3">
      <c r="A142" t="s">
        <v>171</v>
      </c>
      <c r="B142" t="str">
        <f>"51-9161"</f>
        <v>51-9161</v>
      </c>
      <c r="C142">
        <v>158.4</v>
      </c>
      <c r="D142">
        <v>154.5</v>
      </c>
      <c r="E142">
        <v>-3.9</v>
      </c>
      <c r="F142">
        <v>-2.5</v>
      </c>
      <c r="G142">
        <v>16.5</v>
      </c>
      <c r="H142" s="2">
        <v>42260</v>
      </c>
      <c r="I142" t="s">
        <v>25</v>
      </c>
      <c r="J142">
        <v>7</v>
      </c>
      <c r="K142" t="s">
        <v>16</v>
      </c>
      <c r="L142">
        <v>4</v>
      </c>
      <c r="M142" t="s">
        <v>26</v>
      </c>
      <c r="N142">
        <v>4</v>
      </c>
    </row>
    <row r="143" spans="1:14" x14ac:dyDescent="0.3">
      <c r="A143" t="s">
        <v>172</v>
      </c>
      <c r="B143" t="str">
        <f>"51-9162"</f>
        <v>51-9162</v>
      </c>
      <c r="C143">
        <v>27.1</v>
      </c>
      <c r="D143">
        <v>34.5</v>
      </c>
      <c r="E143">
        <v>7.4</v>
      </c>
      <c r="F143">
        <v>27.4</v>
      </c>
      <c r="G143">
        <v>4.0999999999999996</v>
      </c>
      <c r="H143" s="2">
        <v>57740</v>
      </c>
      <c r="I143" t="s">
        <v>50</v>
      </c>
      <c r="J143">
        <v>5</v>
      </c>
      <c r="K143" t="s">
        <v>16</v>
      </c>
      <c r="L143">
        <v>4</v>
      </c>
      <c r="M143" t="s">
        <v>26</v>
      </c>
      <c r="N143">
        <v>4</v>
      </c>
    </row>
    <row r="144" spans="1:14" x14ac:dyDescent="0.3">
      <c r="A144" t="s">
        <v>173</v>
      </c>
      <c r="B144" t="str">
        <f>"15-1299"</f>
        <v>15-1299</v>
      </c>
      <c r="C144">
        <v>442.2</v>
      </c>
      <c r="D144">
        <v>483</v>
      </c>
      <c r="E144">
        <v>40.700000000000003</v>
      </c>
      <c r="F144">
        <v>9.1999999999999993</v>
      </c>
      <c r="G144">
        <v>37.5</v>
      </c>
      <c r="H144" s="2">
        <v>92870</v>
      </c>
      <c r="I144" t="s">
        <v>15</v>
      </c>
      <c r="J144">
        <v>3</v>
      </c>
      <c r="K144" t="s">
        <v>16</v>
      </c>
      <c r="L144">
        <v>4</v>
      </c>
      <c r="M144" t="s">
        <v>16</v>
      </c>
      <c r="N144">
        <v>6</v>
      </c>
    </row>
    <row r="145" spans="1:14" x14ac:dyDescent="0.3">
      <c r="A145" t="s">
        <v>174</v>
      </c>
      <c r="B145" t="str">
        <f>"15-1251"</f>
        <v>15-1251</v>
      </c>
      <c r="C145">
        <v>185.7</v>
      </c>
      <c r="D145">
        <v>167.3</v>
      </c>
      <c r="E145">
        <v>-18.3</v>
      </c>
      <c r="F145">
        <v>-9.9</v>
      </c>
      <c r="G145">
        <v>9.6999999999999993</v>
      </c>
      <c r="H145" s="2">
        <v>89190</v>
      </c>
      <c r="I145" t="s">
        <v>15</v>
      </c>
      <c r="J145">
        <v>3</v>
      </c>
      <c r="K145" t="s">
        <v>16</v>
      </c>
      <c r="L145">
        <v>4</v>
      </c>
      <c r="M145" t="s">
        <v>16</v>
      </c>
      <c r="N145">
        <v>6</v>
      </c>
    </row>
    <row r="146" spans="1:14" x14ac:dyDescent="0.3">
      <c r="A146" t="s">
        <v>175</v>
      </c>
      <c r="B146" t="str">
        <f>"25-1021"</f>
        <v>25-1021</v>
      </c>
      <c r="C146">
        <v>37.799999999999997</v>
      </c>
      <c r="D146">
        <v>40.4</v>
      </c>
      <c r="E146">
        <v>2.6</v>
      </c>
      <c r="F146">
        <v>6.9</v>
      </c>
      <c r="G146">
        <v>3.8</v>
      </c>
      <c r="H146" s="2">
        <v>85540</v>
      </c>
      <c r="I146" t="s">
        <v>28</v>
      </c>
      <c r="J146">
        <v>1</v>
      </c>
      <c r="K146" t="s">
        <v>16</v>
      </c>
      <c r="L146">
        <v>4</v>
      </c>
      <c r="M146" t="s">
        <v>16</v>
      </c>
      <c r="N146">
        <v>6</v>
      </c>
    </row>
    <row r="147" spans="1:14" x14ac:dyDescent="0.3">
      <c r="A147" t="s">
        <v>176</v>
      </c>
      <c r="B147" t="str">
        <f>"15-1211"</f>
        <v>15-1211</v>
      </c>
      <c r="C147">
        <v>607.79999999999995</v>
      </c>
      <c r="D147">
        <v>650.6</v>
      </c>
      <c r="E147">
        <v>42.8</v>
      </c>
      <c r="F147">
        <v>7</v>
      </c>
      <c r="G147">
        <v>47.5</v>
      </c>
      <c r="H147" s="2">
        <v>93730</v>
      </c>
      <c r="I147" t="s">
        <v>15</v>
      </c>
      <c r="J147">
        <v>3</v>
      </c>
      <c r="K147" t="s">
        <v>16</v>
      </c>
      <c r="L147">
        <v>4</v>
      </c>
      <c r="M147" t="s">
        <v>16</v>
      </c>
      <c r="N147">
        <v>6</v>
      </c>
    </row>
    <row r="148" spans="1:14" x14ac:dyDescent="0.3">
      <c r="A148" t="s">
        <v>177</v>
      </c>
      <c r="B148" t="str">
        <f>"15-1232"</f>
        <v>15-1232</v>
      </c>
      <c r="C148">
        <v>654.79999999999995</v>
      </c>
      <c r="D148">
        <v>712.8</v>
      </c>
      <c r="E148">
        <v>58</v>
      </c>
      <c r="F148">
        <v>8.9</v>
      </c>
      <c r="G148">
        <v>54.8</v>
      </c>
      <c r="H148" s="2">
        <v>52690</v>
      </c>
      <c r="I148" t="s">
        <v>19</v>
      </c>
      <c r="J148">
        <v>6</v>
      </c>
      <c r="K148" t="s">
        <v>16</v>
      </c>
      <c r="L148">
        <v>4</v>
      </c>
      <c r="M148" t="s">
        <v>16</v>
      </c>
      <c r="N148">
        <v>6</v>
      </c>
    </row>
    <row r="149" spans="1:14" x14ac:dyDescent="0.3">
      <c r="A149" t="s">
        <v>178</v>
      </c>
      <c r="B149" t="str">
        <f>"49-2011"</f>
        <v>49-2011</v>
      </c>
      <c r="C149">
        <v>102.4</v>
      </c>
      <c r="D149">
        <v>100.2</v>
      </c>
      <c r="E149">
        <v>-2.2000000000000002</v>
      </c>
      <c r="F149">
        <v>-2.2000000000000002</v>
      </c>
      <c r="G149">
        <v>10.5</v>
      </c>
      <c r="H149" s="2">
        <v>41090</v>
      </c>
      <c r="I149" t="s">
        <v>19</v>
      </c>
      <c r="J149">
        <v>6</v>
      </c>
      <c r="K149" t="s">
        <v>16</v>
      </c>
      <c r="L149">
        <v>4</v>
      </c>
      <c r="M149" t="s">
        <v>30</v>
      </c>
      <c r="N149">
        <v>5</v>
      </c>
    </row>
    <row r="150" spans="1:14" x14ac:dyDescent="0.3">
      <c r="A150" t="s">
        <v>179</v>
      </c>
      <c r="B150" t="str">
        <f>"39-6012"</f>
        <v>39-6012</v>
      </c>
      <c r="C150">
        <v>37.1</v>
      </c>
      <c r="D150">
        <v>44.5</v>
      </c>
      <c r="E150">
        <v>7.4</v>
      </c>
      <c r="F150">
        <v>20</v>
      </c>
      <c r="G150">
        <v>6</v>
      </c>
      <c r="H150" s="2">
        <v>32380</v>
      </c>
      <c r="I150" t="s">
        <v>25</v>
      </c>
      <c r="J150">
        <v>7</v>
      </c>
      <c r="K150" t="s">
        <v>16</v>
      </c>
      <c r="L150">
        <v>4</v>
      </c>
      <c r="M150" t="s">
        <v>26</v>
      </c>
      <c r="N150">
        <v>4</v>
      </c>
    </row>
    <row r="151" spans="1:14" x14ac:dyDescent="0.3">
      <c r="A151" t="s">
        <v>180</v>
      </c>
      <c r="B151" t="str">
        <f>"19-1031"</f>
        <v>19-1031</v>
      </c>
      <c r="C151">
        <v>25.3</v>
      </c>
      <c r="D151">
        <v>26.8</v>
      </c>
      <c r="E151">
        <v>1.5</v>
      </c>
      <c r="F151">
        <v>6.1</v>
      </c>
      <c r="G151">
        <v>2.5</v>
      </c>
      <c r="H151" s="2">
        <v>64020</v>
      </c>
      <c r="I151" t="s">
        <v>15</v>
      </c>
      <c r="J151">
        <v>3</v>
      </c>
      <c r="K151" t="s">
        <v>16</v>
      </c>
      <c r="L151">
        <v>4</v>
      </c>
      <c r="M151" t="s">
        <v>16</v>
      </c>
      <c r="N151">
        <v>6</v>
      </c>
    </row>
    <row r="152" spans="1:14" x14ac:dyDescent="0.3">
      <c r="A152" t="s">
        <v>181</v>
      </c>
      <c r="B152" t="str">
        <f>"47-4011"</f>
        <v>47-4011</v>
      </c>
      <c r="C152">
        <v>129.30000000000001</v>
      </c>
      <c r="D152">
        <v>125.6</v>
      </c>
      <c r="E152">
        <v>-3.8</v>
      </c>
      <c r="F152">
        <v>-2.9</v>
      </c>
      <c r="G152">
        <v>14.3</v>
      </c>
      <c r="H152" s="2">
        <v>62860</v>
      </c>
      <c r="I152" t="s">
        <v>25</v>
      </c>
      <c r="J152">
        <v>7</v>
      </c>
      <c r="K152" t="s">
        <v>29</v>
      </c>
      <c r="L152">
        <v>1</v>
      </c>
      <c r="M152" t="s">
        <v>26</v>
      </c>
      <c r="N152">
        <v>4</v>
      </c>
    </row>
    <row r="153" spans="1:14" x14ac:dyDescent="0.3">
      <c r="A153" t="s">
        <v>182</v>
      </c>
      <c r="B153" t="str">
        <f>"47-2061"</f>
        <v>47-2061</v>
      </c>
      <c r="C153" s="1">
        <v>1285.2</v>
      </c>
      <c r="D153" s="1">
        <v>1388.3</v>
      </c>
      <c r="E153">
        <v>103.2</v>
      </c>
      <c r="F153">
        <v>8</v>
      </c>
      <c r="G153">
        <v>140.1</v>
      </c>
      <c r="H153" s="2">
        <v>37890</v>
      </c>
      <c r="I153" t="s">
        <v>43</v>
      </c>
      <c r="J153">
        <v>8</v>
      </c>
      <c r="K153" t="s">
        <v>16</v>
      </c>
      <c r="L153">
        <v>4</v>
      </c>
      <c r="M153" t="s">
        <v>30</v>
      </c>
      <c r="N153">
        <v>5</v>
      </c>
    </row>
    <row r="154" spans="1:14" x14ac:dyDescent="0.3">
      <c r="A154" t="s">
        <v>183</v>
      </c>
      <c r="B154" t="str">
        <f>"11-9021"</f>
        <v>11-9021</v>
      </c>
      <c r="C154">
        <v>448</v>
      </c>
      <c r="D154">
        <v>499.4</v>
      </c>
      <c r="E154">
        <v>51.4</v>
      </c>
      <c r="F154">
        <v>11.5</v>
      </c>
      <c r="G154">
        <v>38.9</v>
      </c>
      <c r="H154" s="2">
        <v>97180</v>
      </c>
      <c r="I154" t="s">
        <v>15</v>
      </c>
      <c r="J154">
        <v>3</v>
      </c>
      <c r="K154" t="s">
        <v>16</v>
      </c>
      <c r="L154">
        <v>4</v>
      </c>
      <c r="M154" t="s">
        <v>26</v>
      </c>
      <c r="N154">
        <v>4</v>
      </c>
    </row>
    <row r="155" spans="1:14" x14ac:dyDescent="0.3">
      <c r="A155" t="s">
        <v>184</v>
      </c>
      <c r="B155" t="str">
        <f>"47-5041"</f>
        <v>47-5041</v>
      </c>
      <c r="C155">
        <v>15.2</v>
      </c>
      <c r="D155">
        <v>16.100000000000001</v>
      </c>
      <c r="E155">
        <v>0.9</v>
      </c>
      <c r="F155">
        <v>5.7</v>
      </c>
      <c r="G155">
        <v>1.9</v>
      </c>
      <c r="H155" s="2">
        <v>56920</v>
      </c>
      <c r="I155" t="s">
        <v>43</v>
      </c>
      <c r="J155">
        <v>8</v>
      </c>
      <c r="K155" t="s">
        <v>16</v>
      </c>
      <c r="L155">
        <v>4</v>
      </c>
      <c r="M155" t="s">
        <v>26</v>
      </c>
      <c r="N155">
        <v>4</v>
      </c>
    </row>
    <row r="156" spans="1:14" x14ac:dyDescent="0.3">
      <c r="A156" t="s">
        <v>185</v>
      </c>
      <c r="B156" t="str">
        <f>"49-9012"</f>
        <v>49-9012</v>
      </c>
      <c r="C156">
        <v>50.8</v>
      </c>
      <c r="D156">
        <v>51.9</v>
      </c>
      <c r="E156">
        <v>1.1000000000000001</v>
      </c>
      <c r="F156">
        <v>2.2999999999999998</v>
      </c>
      <c r="G156">
        <v>4.2</v>
      </c>
      <c r="H156" s="2">
        <v>60580</v>
      </c>
      <c r="I156" t="s">
        <v>25</v>
      </c>
      <c r="J156">
        <v>7</v>
      </c>
      <c r="K156" t="s">
        <v>16</v>
      </c>
      <c r="L156">
        <v>4</v>
      </c>
      <c r="M156" t="s">
        <v>26</v>
      </c>
      <c r="N156">
        <v>4</v>
      </c>
    </row>
    <row r="157" spans="1:14" x14ac:dyDescent="0.3">
      <c r="A157" t="s">
        <v>186</v>
      </c>
      <c r="B157" t="str">
        <f>"53-7011"</f>
        <v>53-7011</v>
      </c>
      <c r="C157">
        <v>27.3</v>
      </c>
      <c r="D157">
        <v>29</v>
      </c>
      <c r="E157">
        <v>1.7</v>
      </c>
      <c r="F157">
        <v>6.1</v>
      </c>
      <c r="G157">
        <v>3.5</v>
      </c>
      <c r="H157" s="2">
        <v>35770</v>
      </c>
      <c r="I157" t="s">
        <v>43</v>
      </c>
      <c r="J157">
        <v>8</v>
      </c>
      <c r="K157" t="s">
        <v>16</v>
      </c>
      <c r="L157">
        <v>4</v>
      </c>
      <c r="M157" t="s">
        <v>30</v>
      </c>
      <c r="N157">
        <v>5</v>
      </c>
    </row>
    <row r="158" spans="1:14" x14ac:dyDescent="0.3">
      <c r="A158" t="s">
        <v>187</v>
      </c>
      <c r="B158" t="str">
        <f>"35-2019"</f>
        <v>35-2019</v>
      </c>
      <c r="C158">
        <v>20.5</v>
      </c>
      <c r="D158">
        <v>23.3</v>
      </c>
      <c r="E158">
        <v>2.9</v>
      </c>
      <c r="F158">
        <v>14</v>
      </c>
      <c r="G158">
        <v>3.5</v>
      </c>
      <c r="H158" s="2">
        <v>30460</v>
      </c>
      <c r="I158" t="s">
        <v>43</v>
      </c>
      <c r="J158">
        <v>8</v>
      </c>
      <c r="K158" t="s">
        <v>16</v>
      </c>
      <c r="L158">
        <v>4</v>
      </c>
      <c r="M158" t="s">
        <v>26</v>
      </c>
      <c r="N158">
        <v>4</v>
      </c>
    </row>
    <row r="159" spans="1:14" x14ac:dyDescent="0.3">
      <c r="A159" t="s">
        <v>188</v>
      </c>
      <c r="B159" t="str">
        <f>"35-2011"</f>
        <v>35-2011</v>
      </c>
      <c r="C159">
        <v>547.79999999999995</v>
      </c>
      <c r="D159">
        <v>536.20000000000005</v>
      </c>
      <c r="E159">
        <v>-11.6</v>
      </c>
      <c r="F159">
        <v>-2.1</v>
      </c>
      <c r="G159">
        <v>77.099999999999994</v>
      </c>
      <c r="H159" s="2">
        <v>24380</v>
      </c>
      <c r="I159" t="s">
        <v>43</v>
      </c>
      <c r="J159">
        <v>8</v>
      </c>
      <c r="K159" t="s">
        <v>16</v>
      </c>
      <c r="L159">
        <v>4</v>
      </c>
      <c r="M159" t="s">
        <v>30</v>
      </c>
      <c r="N159">
        <v>5</v>
      </c>
    </row>
    <row r="160" spans="1:14" x14ac:dyDescent="0.3">
      <c r="A160" t="s">
        <v>189</v>
      </c>
      <c r="B160" t="str">
        <f>"35-2012"</f>
        <v>35-2012</v>
      </c>
      <c r="C160">
        <v>394.6</v>
      </c>
      <c r="D160">
        <v>421.5</v>
      </c>
      <c r="E160">
        <v>27</v>
      </c>
      <c r="F160">
        <v>6.8</v>
      </c>
      <c r="G160">
        <v>61.6</v>
      </c>
      <c r="H160" s="2">
        <v>28650</v>
      </c>
      <c r="I160" t="s">
        <v>43</v>
      </c>
      <c r="J160">
        <v>8</v>
      </c>
      <c r="K160" t="s">
        <v>16</v>
      </c>
      <c r="L160">
        <v>4</v>
      </c>
      <c r="M160" t="s">
        <v>30</v>
      </c>
      <c r="N160">
        <v>5</v>
      </c>
    </row>
    <row r="161" spans="1:14" x14ac:dyDescent="0.3">
      <c r="A161" t="s">
        <v>190</v>
      </c>
      <c r="B161" t="str">
        <f>"35-2013"</f>
        <v>35-2013</v>
      </c>
      <c r="C161">
        <v>40.9</v>
      </c>
      <c r="D161">
        <v>41.8</v>
      </c>
      <c r="E161">
        <v>0.9</v>
      </c>
      <c r="F161">
        <v>2.1</v>
      </c>
      <c r="G161">
        <v>6.1</v>
      </c>
      <c r="H161" s="2">
        <v>32630</v>
      </c>
      <c r="I161" t="s">
        <v>50</v>
      </c>
      <c r="J161">
        <v>5</v>
      </c>
      <c r="K161" t="s">
        <v>32</v>
      </c>
      <c r="L161">
        <v>2</v>
      </c>
      <c r="M161" t="s">
        <v>16</v>
      </c>
      <c r="N161">
        <v>6</v>
      </c>
    </row>
    <row r="162" spans="1:14" x14ac:dyDescent="0.3">
      <c r="A162" t="s">
        <v>191</v>
      </c>
      <c r="B162" t="str">
        <f>"35-2014"</f>
        <v>35-2014</v>
      </c>
      <c r="C162" s="1">
        <v>1153.2</v>
      </c>
      <c r="D162" s="1">
        <v>1716.7</v>
      </c>
      <c r="E162">
        <v>563.5</v>
      </c>
      <c r="F162">
        <v>48.9</v>
      </c>
      <c r="G162">
        <v>263.60000000000002</v>
      </c>
      <c r="H162" s="2">
        <v>28800</v>
      </c>
      <c r="I162" t="s">
        <v>43</v>
      </c>
      <c r="J162">
        <v>8</v>
      </c>
      <c r="K162" t="s">
        <v>32</v>
      </c>
      <c r="L162">
        <v>2</v>
      </c>
      <c r="M162" t="s">
        <v>26</v>
      </c>
      <c r="N162">
        <v>4</v>
      </c>
    </row>
    <row r="163" spans="1:14" x14ac:dyDescent="0.3">
      <c r="A163" t="s">
        <v>192</v>
      </c>
      <c r="B163" t="str">
        <f>"35-2015"</f>
        <v>35-2015</v>
      </c>
      <c r="C163">
        <v>124.5</v>
      </c>
      <c r="D163">
        <v>136.4</v>
      </c>
      <c r="E163">
        <v>11.9</v>
      </c>
      <c r="F163">
        <v>9.6</v>
      </c>
      <c r="G163">
        <v>20</v>
      </c>
      <c r="H163" s="2">
        <v>26570</v>
      </c>
      <c r="I163" t="s">
        <v>43</v>
      </c>
      <c r="J163">
        <v>8</v>
      </c>
      <c r="K163" t="s">
        <v>16</v>
      </c>
      <c r="L163">
        <v>4</v>
      </c>
      <c r="M163" t="s">
        <v>30</v>
      </c>
      <c r="N163">
        <v>5</v>
      </c>
    </row>
    <row r="164" spans="1:14" x14ac:dyDescent="0.3">
      <c r="A164" t="s">
        <v>193</v>
      </c>
      <c r="B164" t="str">
        <f>"51-9193"</f>
        <v>51-9193</v>
      </c>
      <c r="C164">
        <v>8.4</v>
      </c>
      <c r="D164">
        <v>8.9</v>
      </c>
      <c r="E164">
        <v>0.5</v>
      </c>
      <c r="F164">
        <v>6</v>
      </c>
      <c r="G164">
        <v>1</v>
      </c>
      <c r="H164" s="2">
        <v>37650</v>
      </c>
      <c r="I164" t="s">
        <v>25</v>
      </c>
      <c r="J164">
        <v>7</v>
      </c>
      <c r="K164" t="s">
        <v>16</v>
      </c>
      <c r="L164">
        <v>4</v>
      </c>
      <c r="M164" t="s">
        <v>26</v>
      </c>
      <c r="N164">
        <v>4</v>
      </c>
    </row>
    <row r="165" spans="1:14" x14ac:dyDescent="0.3">
      <c r="A165" t="s">
        <v>194</v>
      </c>
      <c r="B165" t="str">
        <f>"33-3012"</f>
        <v>33-3012</v>
      </c>
      <c r="C165">
        <v>418.5</v>
      </c>
      <c r="D165">
        <v>388.5</v>
      </c>
      <c r="E165">
        <v>-30</v>
      </c>
      <c r="F165">
        <v>-7.2</v>
      </c>
      <c r="G165">
        <v>34</v>
      </c>
      <c r="H165" s="2">
        <v>47410</v>
      </c>
      <c r="I165" t="s">
        <v>25</v>
      </c>
      <c r="J165">
        <v>7</v>
      </c>
      <c r="K165" t="s">
        <v>16</v>
      </c>
      <c r="L165">
        <v>4</v>
      </c>
      <c r="M165" t="s">
        <v>26</v>
      </c>
      <c r="N165">
        <v>4</v>
      </c>
    </row>
    <row r="166" spans="1:14" x14ac:dyDescent="0.3">
      <c r="A166" t="s">
        <v>195</v>
      </c>
      <c r="B166" t="str">
        <f>"43-4021"</f>
        <v>43-4021</v>
      </c>
      <c r="C166">
        <v>7</v>
      </c>
      <c r="D166">
        <v>6.8</v>
      </c>
      <c r="E166">
        <v>-0.2</v>
      </c>
      <c r="F166">
        <v>-2.9</v>
      </c>
      <c r="G166">
        <v>0.7</v>
      </c>
      <c r="H166" s="2">
        <v>38400</v>
      </c>
      <c r="I166" t="s">
        <v>25</v>
      </c>
      <c r="J166">
        <v>7</v>
      </c>
      <c r="K166" t="s">
        <v>16</v>
      </c>
      <c r="L166">
        <v>4</v>
      </c>
      <c r="M166" t="s">
        <v>30</v>
      </c>
      <c r="N166">
        <v>5</v>
      </c>
    </row>
    <row r="167" spans="1:14" x14ac:dyDescent="0.3">
      <c r="A167" t="s">
        <v>196</v>
      </c>
      <c r="B167" t="str">
        <f>"13-1051"</f>
        <v>13-1051</v>
      </c>
      <c r="C167">
        <v>199.4</v>
      </c>
      <c r="D167">
        <v>200.6</v>
      </c>
      <c r="E167">
        <v>1.2</v>
      </c>
      <c r="F167">
        <v>0.6</v>
      </c>
      <c r="G167">
        <v>17.8</v>
      </c>
      <c r="H167" s="2">
        <v>66610</v>
      </c>
      <c r="I167" t="s">
        <v>15</v>
      </c>
      <c r="J167">
        <v>3</v>
      </c>
      <c r="K167" t="s">
        <v>16</v>
      </c>
      <c r="L167">
        <v>4</v>
      </c>
      <c r="M167" t="s">
        <v>26</v>
      </c>
      <c r="N167">
        <v>4</v>
      </c>
    </row>
    <row r="168" spans="1:14" x14ac:dyDescent="0.3">
      <c r="A168" t="s">
        <v>197</v>
      </c>
      <c r="B168" t="str">
        <f>"39-3092"</f>
        <v>39-3092</v>
      </c>
      <c r="C168">
        <v>5.4</v>
      </c>
      <c r="D168">
        <v>7.7</v>
      </c>
      <c r="E168">
        <v>2.4</v>
      </c>
      <c r="F168">
        <v>44.3</v>
      </c>
      <c r="G168">
        <v>1.6</v>
      </c>
      <c r="H168" s="2">
        <v>42910</v>
      </c>
      <c r="I168" t="s">
        <v>25</v>
      </c>
      <c r="J168">
        <v>7</v>
      </c>
      <c r="K168" t="s">
        <v>16</v>
      </c>
      <c r="L168">
        <v>4</v>
      </c>
      <c r="M168" t="s">
        <v>30</v>
      </c>
      <c r="N168">
        <v>5</v>
      </c>
    </row>
    <row r="169" spans="1:14" x14ac:dyDescent="0.3">
      <c r="A169" t="s">
        <v>198</v>
      </c>
      <c r="B169" t="str">
        <f>"21-1019"</f>
        <v>21-1019</v>
      </c>
      <c r="C169">
        <v>54.3</v>
      </c>
      <c r="D169">
        <v>59.2</v>
      </c>
      <c r="E169">
        <v>4.8</v>
      </c>
      <c r="F169">
        <v>8.9</v>
      </c>
      <c r="G169">
        <v>5.7</v>
      </c>
      <c r="H169" s="2">
        <v>45760</v>
      </c>
      <c r="I169" t="s">
        <v>23</v>
      </c>
      <c r="J169">
        <v>2</v>
      </c>
      <c r="K169" t="s">
        <v>16</v>
      </c>
      <c r="L169">
        <v>4</v>
      </c>
      <c r="M169" t="s">
        <v>16</v>
      </c>
      <c r="N169">
        <v>6</v>
      </c>
    </row>
    <row r="170" spans="1:14" x14ac:dyDescent="0.3">
      <c r="A170" t="s">
        <v>199</v>
      </c>
      <c r="B170" t="str">
        <f>"41-2021"</f>
        <v>41-2021</v>
      </c>
      <c r="C170">
        <v>372.1</v>
      </c>
      <c r="D170">
        <v>401.5</v>
      </c>
      <c r="E170">
        <v>29.4</v>
      </c>
      <c r="F170">
        <v>7.9</v>
      </c>
      <c r="G170">
        <v>46.8</v>
      </c>
      <c r="H170" s="2">
        <v>30870</v>
      </c>
      <c r="I170" t="s">
        <v>43</v>
      </c>
      <c r="J170">
        <v>8</v>
      </c>
      <c r="K170" t="s">
        <v>16</v>
      </c>
      <c r="L170">
        <v>4</v>
      </c>
      <c r="M170" t="s">
        <v>30</v>
      </c>
      <c r="N170">
        <v>5</v>
      </c>
    </row>
    <row r="171" spans="1:14" x14ac:dyDescent="0.3">
      <c r="A171" t="s">
        <v>200</v>
      </c>
      <c r="B171" t="str">
        <f>"43-5021"</f>
        <v>43-5021</v>
      </c>
      <c r="C171">
        <v>142.19999999999999</v>
      </c>
      <c r="D171">
        <v>130.5</v>
      </c>
      <c r="E171">
        <v>-11.7</v>
      </c>
      <c r="F171">
        <v>-8.1999999999999993</v>
      </c>
      <c r="G171">
        <v>11.8</v>
      </c>
      <c r="H171" s="2">
        <v>30980</v>
      </c>
      <c r="I171" t="s">
        <v>25</v>
      </c>
      <c r="J171">
        <v>7</v>
      </c>
      <c r="K171" t="s">
        <v>16</v>
      </c>
      <c r="L171">
        <v>4</v>
      </c>
      <c r="M171" t="s">
        <v>30</v>
      </c>
      <c r="N171">
        <v>5</v>
      </c>
    </row>
    <row r="172" spans="1:14" x14ac:dyDescent="0.3">
      <c r="A172" t="s">
        <v>201</v>
      </c>
      <c r="B172" t="str">
        <f>"27-3092"</f>
        <v>27-3092</v>
      </c>
      <c r="C172">
        <v>21.3</v>
      </c>
      <c r="D172">
        <v>21.8</v>
      </c>
      <c r="E172">
        <v>0.5</v>
      </c>
      <c r="F172">
        <v>2.5</v>
      </c>
      <c r="G172">
        <v>2.1</v>
      </c>
      <c r="H172" s="2">
        <v>61660</v>
      </c>
      <c r="I172" t="s">
        <v>50</v>
      </c>
      <c r="J172">
        <v>5</v>
      </c>
      <c r="K172" t="s">
        <v>16</v>
      </c>
      <c r="L172">
        <v>4</v>
      </c>
      <c r="M172" t="s">
        <v>30</v>
      </c>
      <c r="N172">
        <v>5</v>
      </c>
    </row>
    <row r="173" spans="1:14" x14ac:dyDescent="0.3">
      <c r="A173" t="s">
        <v>202</v>
      </c>
      <c r="B173" t="str">
        <f>"43-4031"</f>
        <v>43-4031</v>
      </c>
      <c r="C173">
        <v>162.1</v>
      </c>
      <c r="D173">
        <v>171.6</v>
      </c>
      <c r="E173">
        <v>9.5</v>
      </c>
      <c r="F173">
        <v>5.8</v>
      </c>
      <c r="G173">
        <v>17.5</v>
      </c>
      <c r="H173" s="2">
        <v>40930</v>
      </c>
      <c r="I173" t="s">
        <v>25</v>
      </c>
      <c r="J173">
        <v>7</v>
      </c>
      <c r="K173" t="s">
        <v>16</v>
      </c>
      <c r="L173">
        <v>4</v>
      </c>
      <c r="M173" t="s">
        <v>20</v>
      </c>
      <c r="N173">
        <v>3</v>
      </c>
    </row>
    <row r="174" spans="1:14" x14ac:dyDescent="0.3">
      <c r="A174" t="s">
        <v>203</v>
      </c>
      <c r="B174" t="str">
        <f>"27-1012"</f>
        <v>27-1012</v>
      </c>
      <c r="C174">
        <v>9.6</v>
      </c>
      <c r="D174">
        <v>10.9</v>
      </c>
      <c r="E174">
        <v>1.3</v>
      </c>
      <c r="F174">
        <v>13.2</v>
      </c>
      <c r="G174">
        <v>1.2</v>
      </c>
      <c r="H174" s="2">
        <v>35180</v>
      </c>
      <c r="I174" t="s">
        <v>43</v>
      </c>
      <c r="J174">
        <v>8</v>
      </c>
      <c r="K174" t="s">
        <v>16</v>
      </c>
      <c r="L174">
        <v>4</v>
      </c>
      <c r="M174" t="s">
        <v>20</v>
      </c>
      <c r="N174">
        <v>3</v>
      </c>
    </row>
    <row r="175" spans="1:14" x14ac:dyDescent="0.3">
      <c r="A175" t="s">
        <v>204</v>
      </c>
      <c r="B175" t="str">
        <f>"53-7021"</f>
        <v>53-7021</v>
      </c>
      <c r="C175">
        <v>44.8</v>
      </c>
      <c r="D175">
        <v>47.2</v>
      </c>
      <c r="E175">
        <v>2.4</v>
      </c>
      <c r="F175">
        <v>5.4</v>
      </c>
      <c r="G175">
        <v>5</v>
      </c>
      <c r="H175" s="2">
        <v>59710</v>
      </c>
      <c r="I175" t="s">
        <v>25</v>
      </c>
      <c r="J175">
        <v>7</v>
      </c>
      <c r="K175" t="s">
        <v>32</v>
      </c>
      <c r="L175">
        <v>2</v>
      </c>
      <c r="M175" t="s">
        <v>26</v>
      </c>
      <c r="N175">
        <v>4</v>
      </c>
    </row>
    <row r="176" spans="1:14" x14ac:dyDescent="0.3">
      <c r="A176" t="s">
        <v>205</v>
      </c>
      <c r="B176" t="str">
        <f>"13-2041"</f>
        <v>13-2041</v>
      </c>
      <c r="C176">
        <v>73</v>
      </c>
      <c r="D176">
        <v>68.8</v>
      </c>
      <c r="E176">
        <v>-4.3</v>
      </c>
      <c r="F176">
        <v>-5.8</v>
      </c>
      <c r="G176">
        <v>5.5</v>
      </c>
      <c r="H176" s="2">
        <v>74970</v>
      </c>
      <c r="I176" t="s">
        <v>15</v>
      </c>
      <c r="J176">
        <v>3</v>
      </c>
      <c r="K176" t="s">
        <v>16</v>
      </c>
      <c r="L176">
        <v>4</v>
      </c>
      <c r="M176" t="s">
        <v>16</v>
      </c>
      <c r="N176">
        <v>6</v>
      </c>
    </row>
    <row r="177" spans="1:14" x14ac:dyDescent="0.3">
      <c r="A177" t="s">
        <v>206</v>
      </c>
      <c r="B177" t="str">
        <f>"43-4041"</f>
        <v>43-4041</v>
      </c>
      <c r="C177">
        <v>25.3</v>
      </c>
      <c r="D177">
        <v>24.1</v>
      </c>
      <c r="E177">
        <v>-1.2</v>
      </c>
      <c r="F177">
        <v>-4.8</v>
      </c>
      <c r="G177">
        <v>2.2999999999999998</v>
      </c>
      <c r="H177" s="2">
        <v>41730</v>
      </c>
      <c r="I177" t="s">
        <v>25</v>
      </c>
      <c r="J177">
        <v>7</v>
      </c>
      <c r="K177" t="s">
        <v>16</v>
      </c>
      <c r="L177">
        <v>4</v>
      </c>
      <c r="M177" t="s">
        <v>26</v>
      </c>
      <c r="N177">
        <v>4</v>
      </c>
    </row>
    <row r="178" spans="1:14" x14ac:dyDescent="0.3">
      <c r="A178" t="s">
        <v>207</v>
      </c>
      <c r="B178" t="str">
        <f>"13-2071"</f>
        <v>13-2071</v>
      </c>
      <c r="C178">
        <v>33.799999999999997</v>
      </c>
      <c r="D178">
        <v>36.9</v>
      </c>
      <c r="E178">
        <v>3</v>
      </c>
      <c r="F178">
        <v>9</v>
      </c>
      <c r="G178">
        <v>3</v>
      </c>
      <c r="H178" s="2">
        <v>46170</v>
      </c>
      <c r="I178" t="s">
        <v>15</v>
      </c>
      <c r="J178">
        <v>3</v>
      </c>
      <c r="K178" t="s">
        <v>16</v>
      </c>
      <c r="L178">
        <v>4</v>
      </c>
      <c r="M178" t="s">
        <v>26</v>
      </c>
      <c r="N178">
        <v>4</v>
      </c>
    </row>
    <row r="179" spans="1:14" x14ac:dyDescent="0.3">
      <c r="A179" t="s">
        <v>208</v>
      </c>
      <c r="B179" t="str">
        <f>"39-9098"</f>
        <v>39-9098</v>
      </c>
      <c r="C179">
        <v>80.5</v>
      </c>
      <c r="D179">
        <v>100.5</v>
      </c>
      <c r="E179">
        <v>19.899999999999999</v>
      </c>
      <c r="F179">
        <v>24.8</v>
      </c>
      <c r="G179">
        <v>13.9</v>
      </c>
      <c r="H179" s="2">
        <v>28420</v>
      </c>
      <c r="I179" t="s">
        <v>25</v>
      </c>
      <c r="J179">
        <v>7</v>
      </c>
      <c r="K179" t="s">
        <v>16</v>
      </c>
      <c r="L179">
        <v>4</v>
      </c>
      <c r="M179" t="s">
        <v>30</v>
      </c>
      <c r="N179">
        <v>5</v>
      </c>
    </row>
    <row r="180" spans="1:14" x14ac:dyDescent="0.3">
      <c r="A180" t="s">
        <v>209</v>
      </c>
      <c r="B180" t="str">
        <f>"25-1111"</f>
        <v>25-1111</v>
      </c>
      <c r="C180">
        <v>16.100000000000001</v>
      </c>
      <c r="D180">
        <v>17.899999999999999</v>
      </c>
      <c r="E180">
        <v>1.8</v>
      </c>
      <c r="F180">
        <v>11.1</v>
      </c>
      <c r="G180">
        <v>1.7</v>
      </c>
      <c r="H180" s="2">
        <v>63560</v>
      </c>
      <c r="I180" t="s">
        <v>28</v>
      </c>
      <c r="J180">
        <v>1</v>
      </c>
      <c r="K180" t="s">
        <v>16</v>
      </c>
      <c r="L180">
        <v>4</v>
      </c>
      <c r="M180" t="s">
        <v>16</v>
      </c>
      <c r="N180">
        <v>6</v>
      </c>
    </row>
    <row r="181" spans="1:14" x14ac:dyDescent="0.3">
      <c r="A181" t="s">
        <v>210</v>
      </c>
      <c r="B181" t="str">
        <f>"33-9091"</f>
        <v>33-9091</v>
      </c>
      <c r="C181">
        <v>85.5</v>
      </c>
      <c r="D181">
        <v>97</v>
      </c>
      <c r="E181">
        <v>11.5</v>
      </c>
      <c r="F181">
        <v>13.4</v>
      </c>
      <c r="G181">
        <v>19.100000000000001</v>
      </c>
      <c r="H181" s="2">
        <v>30790</v>
      </c>
      <c r="I181" t="s">
        <v>43</v>
      </c>
      <c r="J181">
        <v>8</v>
      </c>
      <c r="K181" t="s">
        <v>16</v>
      </c>
      <c r="L181">
        <v>4</v>
      </c>
      <c r="M181" t="s">
        <v>30</v>
      </c>
      <c r="N181">
        <v>5</v>
      </c>
    </row>
    <row r="182" spans="1:14" x14ac:dyDescent="0.3">
      <c r="A182" t="s">
        <v>211</v>
      </c>
      <c r="B182" t="str">
        <f>"51-9021"</f>
        <v>51-9021</v>
      </c>
      <c r="C182">
        <v>32.6</v>
      </c>
      <c r="D182">
        <v>32.5</v>
      </c>
      <c r="E182">
        <v>-0.1</v>
      </c>
      <c r="F182">
        <v>-0.4</v>
      </c>
      <c r="G182">
        <v>3.5</v>
      </c>
      <c r="H182" s="2">
        <v>39370</v>
      </c>
      <c r="I182" t="s">
        <v>25</v>
      </c>
      <c r="J182">
        <v>7</v>
      </c>
      <c r="K182" t="s">
        <v>16</v>
      </c>
      <c r="L182">
        <v>4</v>
      </c>
      <c r="M182" t="s">
        <v>26</v>
      </c>
      <c r="N182">
        <v>4</v>
      </c>
    </row>
    <row r="183" spans="1:14" x14ac:dyDescent="0.3">
      <c r="A183" t="s">
        <v>212</v>
      </c>
      <c r="B183" t="str">
        <f>"25-4012"</f>
        <v>25-4012</v>
      </c>
      <c r="C183">
        <v>13.4</v>
      </c>
      <c r="D183">
        <v>16.3</v>
      </c>
      <c r="E183">
        <v>2.9</v>
      </c>
      <c r="F183">
        <v>21.6</v>
      </c>
      <c r="G183">
        <v>1.9</v>
      </c>
      <c r="H183" s="2">
        <v>56990</v>
      </c>
      <c r="I183" t="s">
        <v>23</v>
      </c>
      <c r="J183">
        <v>2</v>
      </c>
      <c r="K183" t="s">
        <v>16</v>
      </c>
      <c r="L183">
        <v>4</v>
      </c>
      <c r="M183" t="s">
        <v>16</v>
      </c>
      <c r="N183">
        <v>6</v>
      </c>
    </row>
    <row r="184" spans="1:14" x14ac:dyDescent="0.3">
      <c r="A184" t="s">
        <v>213</v>
      </c>
      <c r="B184" t="str">
        <f>"43-4051"</f>
        <v>43-4051</v>
      </c>
      <c r="C184" s="1">
        <v>2923.4</v>
      </c>
      <c r="D184" s="1">
        <v>2888.8</v>
      </c>
      <c r="E184">
        <v>-34.5</v>
      </c>
      <c r="F184">
        <v>-1.2</v>
      </c>
      <c r="G184">
        <v>361.7</v>
      </c>
      <c r="H184" s="2">
        <v>35830</v>
      </c>
      <c r="I184" t="s">
        <v>25</v>
      </c>
      <c r="J184">
        <v>7</v>
      </c>
      <c r="K184" t="s">
        <v>16</v>
      </c>
      <c r="L184">
        <v>4</v>
      </c>
      <c r="M184" t="s">
        <v>30</v>
      </c>
      <c r="N184">
        <v>5</v>
      </c>
    </row>
    <row r="185" spans="1:14" x14ac:dyDescent="0.3">
      <c r="A185" t="s">
        <v>214</v>
      </c>
      <c r="B185" t="str">
        <f>"51-9031"</f>
        <v>51-9031</v>
      </c>
      <c r="C185">
        <v>8.1</v>
      </c>
      <c r="D185">
        <v>5.7</v>
      </c>
      <c r="E185">
        <v>-2.4</v>
      </c>
      <c r="F185">
        <v>-29.7</v>
      </c>
      <c r="G185">
        <v>0.6</v>
      </c>
      <c r="H185" s="2">
        <v>31630</v>
      </c>
      <c r="I185" t="s">
        <v>43</v>
      </c>
      <c r="J185">
        <v>8</v>
      </c>
      <c r="K185" t="s">
        <v>16</v>
      </c>
      <c r="L185">
        <v>4</v>
      </c>
      <c r="M185" t="s">
        <v>30</v>
      </c>
      <c r="N185">
        <v>5</v>
      </c>
    </row>
    <row r="186" spans="1:14" x14ac:dyDescent="0.3">
      <c r="A186" t="s">
        <v>215</v>
      </c>
      <c r="B186" t="str">
        <f>"51-9032"</f>
        <v>51-9032</v>
      </c>
      <c r="C186">
        <v>53.6</v>
      </c>
      <c r="D186">
        <v>51.7</v>
      </c>
      <c r="E186">
        <v>-1.9</v>
      </c>
      <c r="F186">
        <v>-3.5</v>
      </c>
      <c r="G186">
        <v>6.2</v>
      </c>
      <c r="H186" s="2">
        <v>36980</v>
      </c>
      <c r="I186" t="s">
        <v>25</v>
      </c>
      <c r="J186">
        <v>7</v>
      </c>
      <c r="K186" t="s">
        <v>16</v>
      </c>
      <c r="L186">
        <v>4</v>
      </c>
      <c r="M186" t="s">
        <v>26</v>
      </c>
      <c r="N186">
        <v>4</v>
      </c>
    </row>
    <row r="187" spans="1:14" x14ac:dyDescent="0.3">
      <c r="A187" t="s">
        <v>216</v>
      </c>
      <c r="B187" t="str">
        <f>"51-4031"</f>
        <v>51-4031</v>
      </c>
      <c r="C187">
        <v>182</v>
      </c>
      <c r="D187">
        <v>177.5</v>
      </c>
      <c r="E187">
        <v>-4.5</v>
      </c>
      <c r="F187">
        <v>-2.4</v>
      </c>
      <c r="G187">
        <v>17.600000000000001</v>
      </c>
      <c r="H187" s="2">
        <v>36980</v>
      </c>
      <c r="I187" t="s">
        <v>25</v>
      </c>
      <c r="J187">
        <v>7</v>
      </c>
      <c r="K187" t="s">
        <v>16</v>
      </c>
      <c r="L187">
        <v>4</v>
      </c>
      <c r="M187" t="s">
        <v>26</v>
      </c>
      <c r="N187">
        <v>4</v>
      </c>
    </row>
    <row r="188" spans="1:14" x14ac:dyDescent="0.3">
      <c r="A188" t="s">
        <v>217</v>
      </c>
      <c r="B188" t="str">
        <f>"27-2031"</f>
        <v>27-2031</v>
      </c>
      <c r="C188">
        <v>9</v>
      </c>
      <c r="D188">
        <v>11.7</v>
      </c>
      <c r="E188">
        <v>2.7</v>
      </c>
      <c r="F188">
        <v>30</v>
      </c>
      <c r="G188">
        <v>1.9</v>
      </c>
      <c r="H188" s="2" t="s">
        <v>18</v>
      </c>
      <c r="I188" t="s">
        <v>43</v>
      </c>
      <c r="J188">
        <v>8</v>
      </c>
      <c r="K188" t="s">
        <v>16</v>
      </c>
      <c r="L188">
        <v>4</v>
      </c>
      <c r="M188" t="s">
        <v>20</v>
      </c>
      <c r="N188">
        <v>3</v>
      </c>
    </row>
    <row r="189" spans="1:14" x14ac:dyDescent="0.3">
      <c r="A189" t="s">
        <v>218</v>
      </c>
      <c r="B189" t="str">
        <f>"43-9021"</f>
        <v>43-9021</v>
      </c>
      <c r="C189">
        <v>158.4</v>
      </c>
      <c r="D189">
        <v>122.8</v>
      </c>
      <c r="E189">
        <v>-35.6</v>
      </c>
      <c r="F189">
        <v>-22.5</v>
      </c>
      <c r="G189">
        <v>11.6</v>
      </c>
      <c r="H189" s="2">
        <v>34440</v>
      </c>
      <c r="I189" t="s">
        <v>25</v>
      </c>
      <c r="J189">
        <v>7</v>
      </c>
      <c r="K189" t="s">
        <v>16</v>
      </c>
      <c r="L189">
        <v>4</v>
      </c>
      <c r="M189" t="s">
        <v>30</v>
      </c>
      <c r="N189">
        <v>5</v>
      </c>
    </row>
    <row r="190" spans="1:14" x14ac:dyDescent="0.3">
      <c r="A190" t="s">
        <v>219</v>
      </c>
      <c r="B190" t="str">
        <f>"15-2098"</f>
        <v>15-2098</v>
      </c>
      <c r="C190">
        <v>63.2</v>
      </c>
      <c r="D190">
        <v>83</v>
      </c>
      <c r="E190">
        <v>19.8</v>
      </c>
      <c r="F190">
        <v>31.4</v>
      </c>
      <c r="G190">
        <v>7.1</v>
      </c>
      <c r="H190" s="2">
        <v>98230</v>
      </c>
      <c r="I190" t="s">
        <v>15</v>
      </c>
      <c r="J190">
        <v>3</v>
      </c>
      <c r="K190" t="s">
        <v>16</v>
      </c>
      <c r="L190">
        <v>4</v>
      </c>
      <c r="M190" t="s">
        <v>16</v>
      </c>
      <c r="N190">
        <v>6</v>
      </c>
    </row>
    <row r="191" spans="1:14" x14ac:dyDescent="0.3">
      <c r="A191" t="s">
        <v>220</v>
      </c>
      <c r="B191" t="str">
        <f>"15-1245"</f>
        <v>15-1245</v>
      </c>
      <c r="C191">
        <v>168</v>
      </c>
      <c r="D191">
        <v>181.2</v>
      </c>
      <c r="E191">
        <v>13.2</v>
      </c>
      <c r="F191">
        <v>7.8</v>
      </c>
      <c r="G191">
        <v>13.9</v>
      </c>
      <c r="H191" s="2">
        <v>98860</v>
      </c>
      <c r="I191" t="s">
        <v>15</v>
      </c>
      <c r="J191">
        <v>3</v>
      </c>
      <c r="K191" t="s">
        <v>16</v>
      </c>
      <c r="L191">
        <v>4</v>
      </c>
      <c r="M191" t="s">
        <v>16</v>
      </c>
      <c r="N191">
        <v>6</v>
      </c>
    </row>
    <row r="192" spans="1:14" x14ac:dyDescent="0.3">
      <c r="A192" t="s">
        <v>221</v>
      </c>
      <c r="B192" t="str">
        <f>"41-9011"</f>
        <v>41-9011</v>
      </c>
      <c r="C192">
        <v>76.3</v>
      </c>
      <c r="D192">
        <v>81.900000000000006</v>
      </c>
      <c r="E192">
        <v>5.6</v>
      </c>
      <c r="F192">
        <v>7.3</v>
      </c>
      <c r="G192">
        <v>14.6</v>
      </c>
      <c r="H192" s="2">
        <v>32500</v>
      </c>
      <c r="I192" t="s">
        <v>43</v>
      </c>
      <c r="J192">
        <v>8</v>
      </c>
      <c r="K192" t="s">
        <v>16</v>
      </c>
      <c r="L192">
        <v>4</v>
      </c>
      <c r="M192" t="s">
        <v>30</v>
      </c>
      <c r="N192">
        <v>5</v>
      </c>
    </row>
    <row r="193" spans="1:14" x14ac:dyDescent="0.3">
      <c r="A193" t="s">
        <v>222</v>
      </c>
      <c r="B193" t="str">
        <f>"31-9091"</f>
        <v>31-9091</v>
      </c>
      <c r="C193">
        <v>330.2</v>
      </c>
      <c r="D193">
        <v>367</v>
      </c>
      <c r="E193">
        <v>36.9</v>
      </c>
      <c r="F193">
        <v>11.2</v>
      </c>
      <c r="G193">
        <v>44</v>
      </c>
      <c r="H193" s="2">
        <v>41180</v>
      </c>
      <c r="I193" t="s">
        <v>50</v>
      </c>
      <c r="J193">
        <v>5</v>
      </c>
      <c r="K193" t="s">
        <v>16</v>
      </c>
      <c r="L193">
        <v>4</v>
      </c>
      <c r="M193" t="s">
        <v>16</v>
      </c>
      <c r="N193">
        <v>6</v>
      </c>
    </row>
    <row r="194" spans="1:14" x14ac:dyDescent="0.3">
      <c r="A194" t="s">
        <v>223</v>
      </c>
      <c r="B194" t="str">
        <f>"29-1292"</f>
        <v>29-1292</v>
      </c>
      <c r="C194">
        <v>206.1</v>
      </c>
      <c r="D194">
        <v>229.2</v>
      </c>
      <c r="E194">
        <v>23.1</v>
      </c>
      <c r="F194">
        <v>11.2</v>
      </c>
      <c r="G194">
        <v>15.6</v>
      </c>
      <c r="H194" s="2">
        <v>77090</v>
      </c>
      <c r="I194" t="s">
        <v>37</v>
      </c>
      <c r="J194">
        <v>4</v>
      </c>
      <c r="K194" t="s">
        <v>16</v>
      </c>
      <c r="L194">
        <v>4</v>
      </c>
      <c r="M194" t="s">
        <v>16</v>
      </c>
      <c r="N194">
        <v>6</v>
      </c>
    </row>
    <row r="195" spans="1:14" x14ac:dyDescent="0.3">
      <c r="A195" t="s">
        <v>224</v>
      </c>
      <c r="B195" t="str">
        <f>"51-9081"</f>
        <v>51-9081</v>
      </c>
      <c r="C195">
        <v>33.1</v>
      </c>
      <c r="D195">
        <v>37.200000000000003</v>
      </c>
      <c r="E195">
        <v>4</v>
      </c>
      <c r="F195">
        <v>12.2</v>
      </c>
      <c r="G195">
        <v>4.9000000000000004</v>
      </c>
      <c r="H195" s="2">
        <v>42110</v>
      </c>
      <c r="I195" t="s">
        <v>25</v>
      </c>
      <c r="J195">
        <v>7</v>
      </c>
      <c r="K195" t="s">
        <v>16</v>
      </c>
      <c r="L195">
        <v>4</v>
      </c>
      <c r="M195" t="s">
        <v>26</v>
      </c>
      <c r="N195">
        <v>4</v>
      </c>
    </row>
    <row r="196" spans="1:14" x14ac:dyDescent="0.3">
      <c r="A196" t="s">
        <v>225</v>
      </c>
      <c r="B196" t="str">
        <f>"29-1029"</f>
        <v>29-1029</v>
      </c>
      <c r="C196">
        <v>6.8</v>
      </c>
      <c r="D196">
        <v>7.1</v>
      </c>
      <c r="E196">
        <v>0.3</v>
      </c>
      <c r="F196">
        <v>5</v>
      </c>
      <c r="G196">
        <v>0.2</v>
      </c>
      <c r="H196" s="2">
        <v>183300</v>
      </c>
      <c r="I196" t="s">
        <v>28</v>
      </c>
      <c r="J196">
        <v>1</v>
      </c>
      <c r="K196" t="s">
        <v>16</v>
      </c>
      <c r="L196">
        <v>4</v>
      </c>
      <c r="M196" t="s">
        <v>58</v>
      </c>
      <c r="N196">
        <v>1</v>
      </c>
    </row>
    <row r="197" spans="1:14" x14ac:dyDescent="0.3">
      <c r="A197" t="s">
        <v>226</v>
      </c>
      <c r="B197" t="str">
        <f>"29-1021"</f>
        <v>29-1021</v>
      </c>
      <c r="C197">
        <v>120.3</v>
      </c>
      <c r="D197">
        <v>130</v>
      </c>
      <c r="E197">
        <v>9.8000000000000007</v>
      </c>
      <c r="F197">
        <v>8.1</v>
      </c>
      <c r="G197">
        <v>4.3</v>
      </c>
      <c r="H197" s="2">
        <v>158940</v>
      </c>
      <c r="I197" t="s">
        <v>28</v>
      </c>
      <c r="J197">
        <v>1</v>
      </c>
      <c r="K197" t="s">
        <v>16</v>
      </c>
      <c r="L197">
        <v>4</v>
      </c>
      <c r="M197" t="s">
        <v>16</v>
      </c>
      <c r="N197">
        <v>6</v>
      </c>
    </row>
    <row r="198" spans="1:14" x14ac:dyDescent="0.3">
      <c r="A198" t="s">
        <v>227</v>
      </c>
      <c r="B198" t="str">
        <f>"47-5011"</f>
        <v>47-5011</v>
      </c>
      <c r="C198">
        <v>9</v>
      </c>
      <c r="D198">
        <v>11.7</v>
      </c>
      <c r="E198">
        <v>2.7</v>
      </c>
      <c r="F198">
        <v>29.7</v>
      </c>
      <c r="G198">
        <v>1.5</v>
      </c>
      <c r="H198" s="2">
        <v>47920</v>
      </c>
      <c r="I198" t="s">
        <v>43</v>
      </c>
      <c r="J198">
        <v>8</v>
      </c>
      <c r="K198" t="s">
        <v>16</v>
      </c>
      <c r="L198">
        <v>4</v>
      </c>
      <c r="M198" t="s">
        <v>30</v>
      </c>
      <c r="N198">
        <v>5</v>
      </c>
    </row>
    <row r="199" spans="1:14" x14ac:dyDescent="0.3">
      <c r="A199" t="s">
        <v>228</v>
      </c>
      <c r="B199" t="str">
        <f>"27-1029"</f>
        <v>27-1029</v>
      </c>
      <c r="C199">
        <v>31.6</v>
      </c>
      <c r="D199">
        <v>31.6</v>
      </c>
      <c r="E199">
        <v>0</v>
      </c>
      <c r="F199">
        <v>0.1</v>
      </c>
      <c r="G199">
        <v>2.8</v>
      </c>
      <c r="H199" s="2">
        <v>63750</v>
      </c>
      <c r="I199" t="s">
        <v>15</v>
      </c>
      <c r="J199">
        <v>3</v>
      </c>
      <c r="K199" t="s">
        <v>16</v>
      </c>
      <c r="L199">
        <v>4</v>
      </c>
      <c r="M199" t="s">
        <v>16</v>
      </c>
      <c r="N199">
        <v>6</v>
      </c>
    </row>
    <row r="200" spans="1:14" x14ac:dyDescent="0.3">
      <c r="A200" t="s">
        <v>229</v>
      </c>
      <c r="B200" t="str">
        <f>"43-9031"</f>
        <v>43-9031</v>
      </c>
      <c r="C200">
        <v>8.1999999999999993</v>
      </c>
      <c r="D200">
        <v>7.2</v>
      </c>
      <c r="E200">
        <v>-1</v>
      </c>
      <c r="F200">
        <v>-12.3</v>
      </c>
      <c r="G200">
        <v>0.8</v>
      </c>
      <c r="H200" s="2">
        <v>47560</v>
      </c>
      <c r="I200" t="s">
        <v>37</v>
      </c>
      <c r="J200">
        <v>4</v>
      </c>
      <c r="K200" t="s">
        <v>16</v>
      </c>
      <c r="L200">
        <v>4</v>
      </c>
      <c r="M200" t="s">
        <v>30</v>
      </c>
      <c r="N200">
        <v>5</v>
      </c>
    </row>
    <row r="201" spans="1:14" x14ac:dyDescent="0.3">
      <c r="A201" t="s">
        <v>230</v>
      </c>
      <c r="B201" t="str">
        <f>"33-3021"</f>
        <v>33-3021</v>
      </c>
      <c r="C201">
        <v>112.5</v>
      </c>
      <c r="D201">
        <v>115.3</v>
      </c>
      <c r="E201">
        <v>2.8</v>
      </c>
      <c r="F201">
        <v>2.5</v>
      </c>
      <c r="G201">
        <v>8.4</v>
      </c>
      <c r="H201" s="2">
        <v>86940</v>
      </c>
      <c r="I201" t="s">
        <v>25</v>
      </c>
      <c r="J201">
        <v>7</v>
      </c>
      <c r="K201" t="s">
        <v>32</v>
      </c>
      <c r="L201">
        <v>2</v>
      </c>
      <c r="M201" t="s">
        <v>26</v>
      </c>
      <c r="N201">
        <v>4</v>
      </c>
    </row>
    <row r="202" spans="1:14" x14ac:dyDescent="0.3">
      <c r="A202" t="s">
        <v>231</v>
      </c>
      <c r="B202" t="str">
        <f>"29-2032"</f>
        <v>29-2032</v>
      </c>
      <c r="C202">
        <v>75.900000000000006</v>
      </c>
      <c r="D202">
        <v>90.3</v>
      </c>
      <c r="E202">
        <v>14.4</v>
      </c>
      <c r="F202">
        <v>19</v>
      </c>
      <c r="G202">
        <v>7.3</v>
      </c>
      <c r="H202" s="2">
        <v>75920</v>
      </c>
      <c r="I202" t="s">
        <v>37</v>
      </c>
      <c r="J202">
        <v>4</v>
      </c>
      <c r="K202" t="s">
        <v>16</v>
      </c>
      <c r="L202">
        <v>4</v>
      </c>
      <c r="M202" t="s">
        <v>16</v>
      </c>
      <c r="N202">
        <v>6</v>
      </c>
    </row>
    <row r="203" spans="1:14" x14ac:dyDescent="0.3">
      <c r="A203" t="s">
        <v>232</v>
      </c>
      <c r="B203" t="str">
        <f>"29-2051"</f>
        <v>29-2051</v>
      </c>
      <c r="C203">
        <v>26.8</v>
      </c>
      <c r="D203">
        <v>28.8</v>
      </c>
      <c r="E203">
        <v>2</v>
      </c>
      <c r="F203">
        <v>7.4</v>
      </c>
      <c r="G203">
        <v>2.2000000000000002</v>
      </c>
      <c r="H203" s="2">
        <v>30110</v>
      </c>
      <c r="I203" t="s">
        <v>37</v>
      </c>
      <c r="J203">
        <v>4</v>
      </c>
      <c r="K203" t="s">
        <v>16</v>
      </c>
      <c r="L203">
        <v>4</v>
      </c>
      <c r="M203" t="s">
        <v>16</v>
      </c>
      <c r="N203">
        <v>6</v>
      </c>
    </row>
    <row r="204" spans="1:14" x14ac:dyDescent="0.3">
      <c r="A204" t="s">
        <v>233</v>
      </c>
      <c r="B204" t="str">
        <f>"29-1031"</f>
        <v>29-1031</v>
      </c>
      <c r="C204">
        <v>73</v>
      </c>
      <c r="D204">
        <v>80.8</v>
      </c>
      <c r="E204">
        <v>7.8</v>
      </c>
      <c r="F204">
        <v>10.7</v>
      </c>
      <c r="G204">
        <v>5.9</v>
      </c>
      <c r="H204" s="2">
        <v>63090</v>
      </c>
      <c r="I204" t="s">
        <v>15</v>
      </c>
      <c r="J204">
        <v>3</v>
      </c>
      <c r="K204" t="s">
        <v>16</v>
      </c>
      <c r="L204">
        <v>4</v>
      </c>
      <c r="M204" t="s">
        <v>58</v>
      </c>
      <c r="N204">
        <v>1</v>
      </c>
    </row>
    <row r="205" spans="1:14" x14ac:dyDescent="0.3">
      <c r="A205" t="s">
        <v>234</v>
      </c>
      <c r="B205" t="str">
        <f>"35-9011"</f>
        <v>35-9011</v>
      </c>
      <c r="C205">
        <v>389</v>
      </c>
      <c r="D205">
        <v>492.5</v>
      </c>
      <c r="E205">
        <v>103.6</v>
      </c>
      <c r="F205">
        <v>26.6</v>
      </c>
      <c r="G205">
        <v>86.5</v>
      </c>
      <c r="H205" s="2">
        <v>25010</v>
      </c>
      <c r="I205" t="s">
        <v>43</v>
      </c>
      <c r="J205">
        <v>8</v>
      </c>
      <c r="K205" t="s">
        <v>16</v>
      </c>
      <c r="L205">
        <v>4</v>
      </c>
      <c r="M205" t="s">
        <v>30</v>
      </c>
      <c r="N205">
        <v>5</v>
      </c>
    </row>
    <row r="206" spans="1:14" x14ac:dyDescent="0.3">
      <c r="A206" t="s">
        <v>235</v>
      </c>
      <c r="B206" t="str">
        <f>"21-2021"</f>
        <v>21-2021</v>
      </c>
      <c r="C206">
        <v>149.6</v>
      </c>
      <c r="D206">
        <v>152.80000000000001</v>
      </c>
      <c r="E206">
        <v>3.2</v>
      </c>
      <c r="F206">
        <v>2.2000000000000002</v>
      </c>
      <c r="G206">
        <v>17.399999999999999</v>
      </c>
      <c r="H206" s="2">
        <v>45110</v>
      </c>
      <c r="I206" t="s">
        <v>15</v>
      </c>
      <c r="J206">
        <v>3</v>
      </c>
      <c r="K206" t="s">
        <v>32</v>
      </c>
      <c r="L206">
        <v>2</v>
      </c>
      <c r="M206" t="s">
        <v>16</v>
      </c>
      <c r="N206">
        <v>6</v>
      </c>
    </row>
    <row r="207" spans="1:14" x14ac:dyDescent="0.3">
      <c r="A207" t="s">
        <v>236</v>
      </c>
      <c r="B207" t="str">
        <f>"35-9021"</f>
        <v>35-9021</v>
      </c>
      <c r="C207">
        <v>408.5</v>
      </c>
      <c r="D207">
        <v>486.3</v>
      </c>
      <c r="E207">
        <v>77.8</v>
      </c>
      <c r="F207">
        <v>19</v>
      </c>
      <c r="G207">
        <v>78.8</v>
      </c>
      <c r="H207" s="2">
        <v>25270</v>
      </c>
      <c r="I207" t="s">
        <v>43</v>
      </c>
      <c r="J207">
        <v>8</v>
      </c>
      <c r="K207" t="s">
        <v>16</v>
      </c>
      <c r="L207">
        <v>4</v>
      </c>
      <c r="M207" t="s">
        <v>30</v>
      </c>
      <c r="N207">
        <v>5</v>
      </c>
    </row>
    <row r="208" spans="1:14" x14ac:dyDescent="0.3">
      <c r="A208" t="s">
        <v>237</v>
      </c>
      <c r="B208" t="str">
        <f>"43-5032"</f>
        <v>43-5032</v>
      </c>
      <c r="C208">
        <v>192.1</v>
      </c>
      <c r="D208">
        <v>200.4</v>
      </c>
      <c r="E208">
        <v>8.3000000000000007</v>
      </c>
      <c r="F208">
        <v>4.3</v>
      </c>
      <c r="G208">
        <v>18.7</v>
      </c>
      <c r="H208" s="2">
        <v>40980</v>
      </c>
      <c r="I208" t="s">
        <v>25</v>
      </c>
      <c r="J208">
        <v>7</v>
      </c>
      <c r="K208" t="s">
        <v>16</v>
      </c>
      <c r="L208">
        <v>4</v>
      </c>
      <c r="M208" t="s">
        <v>26</v>
      </c>
      <c r="N208">
        <v>4</v>
      </c>
    </row>
    <row r="209" spans="1:14" x14ac:dyDescent="0.3">
      <c r="A209" t="s">
        <v>238</v>
      </c>
      <c r="B209" t="str">
        <f>"41-9091"</f>
        <v>41-9091</v>
      </c>
      <c r="C209">
        <v>54</v>
      </c>
      <c r="D209">
        <v>41</v>
      </c>
      <c r="E209">
        <v>-13</v>
      </c>
      <c r="F209">
        <v>-24.1</v>
      </c>
      <c r="G209">
        <v>4.7</v>
      </c>
      <c r="H209" s="2">
        <v>29730</v>
      </c>
      <c r="I209" t="s">
        <v>43</v>
      </c>
      <c r="J209">
        <v>8</v>
      </c>
      <c r="K209" t="s">
        <v>16</v>
      </c>
      <c r="L209">
        <v>4</v>
      </c>
      <c r="M209" t="s">
        <v>30</v>
      </c>
      <c r="N209">
        <v>5</v>
      </c>
    </row>
    <row r="210" spans="1:14" x14ac:dyDescent="0.3">
      <c r="A210" t="s">
        <v>239</v>
      </c>
      <c r="B210" t="str">
        <f>"17-3019"</f>
        <v>17-3019</v>
      </c>
      <c r="C210">
        <v>14.4</v>
      </c>
      <c r="D210">
        <v>13.6</v>
      </c>
      <c r="E210">
        <v>-0.8</v>
      </c>
      <c r="F210">
        <v>-5.4</v>
      </c>
      <c r="G210">
        <v>1.2</v>
      </c>
      <c r="H210" s="2">
        <v>54500</v>
      </c>
      <c r="I210" t="s">
        <v>37</v>
      </c>
      <c r="J210">
        <v>4</v>
      </c>
      <c r="K210" t="s">
        <v>16</v>
      </c>
      <c r="L210">
        <v>4</v>
      </c>
      <c r="M210" t="s">
        <v>16</v>
      </c>
      <c r="N210">
        <v>6</v>
      </c>
    </row>
    <row r="211" spans="1:14" x14ac:dyDescent="0.3">
      <c r="A211" t="s">
        <v>240</v>
      </c>
      <c r="B211" t="str">
        <f>"53-7031"</f>
        <v>53-7031</v>
      </c>
      <c r="C211">
        <v>2</v>
      </c>
      <c r="D211">
        <v>2.1</v>
      </c>
      <c r="E211">
        <v>0.1</v>
      </c>
      <c r="F211">
        <v>5.2</v>
      </c>
      <c r="G211">
        <v>0.3</v>
      </c>
      <c r="H211" s="2">
        <v>49210</v>
      </c>
      <c r="I211" t="s">
        <v>25</v>
      </c>
      <c r="J211">
        <v>7</v>
      </c>
      <c r="K211" t="s">
        <v>16</v>
      </c>
      <c r="L211">
        <v>4</v>
      </c>
      <c r="M211" t="s">
        <v>26</v>
      </c>
      <c r="N211">
        <v>4</v>
      </c>
    </row>
    <row r="212" spans="1:14" x14ac:dyDescent="0.3">
      <c r="A212" t="s">
        <v>241</v>
      </c>
      <c r="B212" t="str">
        <f>"51-4032"</f>
        <v>51-4032</v>
      </c>
      <c r="C212">
        <v>9.1</v>
      </c>
      <c r="D212">
        <v>7.7</v>
      </c>
      <c r="E212">
        <v>-1.4</v>
      </c>
      <c r="F212">
        <v>-15.5</v>
      </c>
      <c r="G212">
        <v>0.7</v>
      </c>
      <c r="H212" s="2">
        <v>39780</v>
      </c>
      <c r="I212" t="s">
        <v>25</v>
      </c>
      <c r="J212">
        <v>7</v>
      </c>
      <c r="K212" t="s">
        <v>16</v>
      </c>
      <c r="L212">
        <v>4</v>
      </c>
      <c r="M212" t="s">
        <v>26</v>
      </c>
      <c r="N212">
        <v>4</v>
      </c>
    </row>
    <row r="213" spans="1:14" x14ac:dyDescent="0.3">
      <c r="A213" t="s">
        <v>242</v>
      </c>
      <c r="B213" t="str">
        <f>"53-3031"</f>
        <v>53-3031</v>
      </c>
      <c r="C213">
        <v>458.2</v>
      </c>
      <c r="D213">
        <v>540</v>
      </c>
      <c r="E213">
        <v>81.900000000000006</v>
      </c>
      <c r="F213">
        <v>17.899999999999999</v>
      </c>
      <c r="G213">
        <v>62.5</v>
      </c>
      <c r="H213" s="2">
        <v>27960</v>
      </c>
      <c r="I213" t="s">
        <v>25</v>
      </c>
      <c r="J213">
        <v>7</v>
      </c>
      <c r="K213" t="s">
        <v>16</v>
      </c>
      <c r="L213">
        <v>4</v>
      </c>
      <c r="M213" t="s">
        <v>30</v>
      </c>
      <c r="N213">
        <v>5</v>
      </c>
    </row>
    <row r="214" spans="1:14" x14ac:dyDescent="0.3">
      <c r="A214" t="s">
        <v>243</v>
      </c>
      <c r="B214" t="str">
        <f>"47-2081"</f>
        <v>47-2081</v>
      </c>
      <c r="C214">
        <v>121.2</v>
      </c>
      <c r="D214">
        <v>127.2</v>
      </c>
      <c r="E214">
        <v>6</v>
      </c>
      <c r="F214">
        <v>4.9000000000000004</v>
      </c>
      <c r="G214">
        <v>10.7</v>
      </c>
      <c r="H214" s="2">
        <v>47460</v>
      </c>
      <c r="I214" t="s">
        <v>43</v>
      </c>
      <c r="J214">
        <v>8</v>
      </c>
      <c r="K214" t="s">
        <v>16</v>
      </c>
      <c r="L214">
        <v>4</v>
      </c>
      <c r="M214" t="s">
        <v>26</v>
      </c>
      <c r="N214">
        <v>4</v>
      </c>
    </row>
    <row r="215" spans="1:14" x14ac:dyDescent="0.3">
      <c r="A215" t="s">
        <v>244</v>
      </c>
      <c r="B215" t="str">
        <f>"47-5097"</f>
        <v>47-5097</v>
      </c>
      <c r="C215">
        <v>23.2</v>
      </c>
      <c r="D215">
        <v>25.1</v>
      </c>
      <c r="E215">
        <v>1.8</v>
      </c>
      <c r="F215">
        <v>8</v>
      </c>
      <c r="G215">
        <v>3</v>
      </c>
      <c r="H215" s="2">
        <v>48510</v>
      </c>
      <c r="I215" t="s">
        <v>25</v>
      </c>
      <c r="J215">
        <v>7</v>
      </c>
      <c r="K215" t="s">
        <v>32</v>
      </c>
      <c r="L215">
        <v>2</v>
      </c>
      <c r="M215" t="s">
        <v>20</v>
      </c>
      <c r="N215">
        <v>3</v>
      </c>
    </row>
    <row r="216" spans="1:14" x14ac:dyDescent="0.3">
      <c r="A216" t="s">
        <v>245</v>
      </c>
      <c r="B216" t="str">
        <f>"25-1063"</f>
        <v>25-1063</v>
      </c>
      <c r="C216">
        <v>16</v>
      </c>
      <c r="D216">
        <v>17.399999999999999</v>
      </c>
      <c r="E216">
        <v>1.4</v>
      </c>
      <c r="F216">
        <v>9</v>
      </c>
      <c r="G216">
        <v>1.7</v>
      </c>
      <c r="H216" s="2">
        <v>107260</v>
      </c>
      <c r="I216" t="s">
        <v>28</v>
      </c>
      <c r="J216">
        <v>1</v>
      </c>
      <c r="K216" t="s">
        <v>16</v>
      </c>
      <c r="L216">
        <v>4</v>
      </c>
      <c r="M216" t="s">
        <v>16</v>
      </c>
      <c r="N216">
        <v>6</v>
      </c>
    </row>
    <row r="217" spans="1:14" x14ac:dyDescent="0.3">
      <c r="A217" t="s">
        <v>246</v>
      </c>
      <c r="B217" t="str">
        <f>"19-3011"</f>
        <v>19-3011</v>
      </c>
      <c r="C217">
        <v>18.600000000000001</v>
      </c>
      <c r="D217">
        <v>21</v>
      </c>
      <c r="E217">
        <v>2.4</v>
      </c>
      <c r="F217">
        <v>13.1</v>
      </c>
      <c r="G217">
        <v>1.6</v>
      </c>
      <c r="H217" s="2">
        <v>108350</v>
      </c>
      <c r="I217" t="s">
        <v>23</v>
      </c>
      <c r="J217">
        <v>2</v>
      </c>
      <c r="K217" t="s">
        <v>16</v>
      </c>
      <c r="L217">
        <v>4</v>
      </c>
      <c r="M217" t="s">
        <v>16</v>
      </c>
      <c r="N217">
        <v>6</v>
      </c>
    </row>
    <row r="218" spans="1:14" x14ac:dyDescent="0.3">
      <c r="A218" t="s">
        <v>247</v>
      </c>
      <c r="B218" t="str">
        <f>"27-3041"</f>
        <v>27-3041</v>
      </c>
      <c r="C218">
        <v>108.6</v>
      </c>
      <c r="D218">
        <v>114.1</v>
      </c>
      <c r="E218">
        <v>5.6</v>
      </c>
      <c r="F218">
        <v>5.0999999999999996</v>
      </c>
      <c r="G218">
        <v>11.2</v>
      </c>
      <c r="H218" s="2">
        <v>63400</v>
      </c>
      <c r="I218" t="s">
        <v>15</v>
      </c>
      <c r="J218">
        <v>3</v>
      </c>
      <c r="K218" t="s">
        <v>32</v>
      </c>
      <c r="L218">
        <v>2</v>
      </c>
      <c r="M218" t="s">
        <v>16</v>
      </c>
      <c r="N218">
        <v>6</v>
      </c>
    </row>
    <row r="219" spans="1:14" x14ac:dyDescent="0.3">
      <c r="A219" t="s">
        <v>248</v>
      </c>
      <c r="B219" t="str">
        <f>"11-9039"</f>
        <v>11-9039</v>
      </c>
      <c r="C219">
        <v>50.5</v>
      </c>
      <c r="D219">
        <v>56.9</v>
      </c>
      <c r="E219">
        <v>6.4</v>
      </c>
      <c r="F219">
        <v>12.6</v>
      </c>
      <c r="G219">
        <v>4.5</v>
      </c>
      <c r="H219" s="2">
        <v>87580</v>
      </c>
      <c r="I219" t="s">
        <v>15</v>
      </c>
      <c r="J219">
        <v>3</v>
      </c>
      <c r="K219" t="s">
        <v>32</v>
      </c>
      <c r="L219">
        <v>2</v>
      </c>
      <c r="M219" t="s">
        <v>16</v>
      </c>
      <c r="N219">
        <v>6</v>
      </c>
    </row>
    <row r="220" spans="1:14" x14ac:dyDescent="0.3">
      <c r="A220" t="s">
        <v>249</v>
      </c>
      <c r="B220" t="str">
        <f>"11-9032"</f>
        <v>11-9032</v>
      </c>
      <c r="C220">
        <v>270.2</v>
      </c>
      <c r="D220">
        <v>291.3</v>
      </c>
      <c r="E220">
        <v>21.2</v>
      </c>
      <c r="F220">
        <v>7.8</v>
      </c>
      <c r="G220">
        <v>22.1</v>
      </c>
      <c r="H220" s="2">
        <v>98490</v>
      </c>
      <c r="I220" t="s">
        <v>23</v>
      </c>
      <c r="J220">
        <v>2</v>
      </c>
      <c r="K220" t="s">
        <v>29</v>
      </c>
      <c r="L220">
        <v>1</v>
      </c>
      <c r="M220" t="s">
        <v>16</v>
      </c>
      <c r="N220">
        <v>6</v>
      </c>
    </row>
    <row r="221" spans="1:14" x14ac:dyDescent="0.3">
      <c r="A221" t="s">
        <v>250</v>
      </c>
      <c r="B221" t="str">
        <f>"11-9033"</f>
        <v>11-9033</v>
      </c>
      <c r="C221">
        <v>178.8</v>
      </c>
      <c r="D221">
        <v>192.2</v>
      </c>
      <c r="E221">
        <v>13.4</v>
      </c>
      <c r="F221">
        <v>7.5</v>
      </c>
      <c r="G221">
        <v>14.5</v>
      </c>
      <c r="H221" s="2">
        <v>97500</v>
      </c>
      <c r="I221" t="s">
        <v>23</v>
      </c>
      <c r="J221">
        <v>2</v>
      </c>
      <c r="K221" t="s">
        <v>32</v>
      </c>
      <c r="L221">
        <v>2</v>
      </c>
      <c r="M221" t="s">
        <v>16</v>
      </c>
      <c r="N221">
        <v>6</v>
      </c>
    </row>
    <row r="222" spans="1:14" x14ac:dyDescent="0.3">
      <c r="A222" t="s">
        <v>251</v>
      </c>
      <c r="B222" t="str">
        <f>"11-9031"</f>
        <v>11-9031</v>
      </c>
      <c r="C222">
        <v>60.8</v>
      </c>
      <c r="D222">
        <v>67.7</v>
      </c>
      <c r="E222">
        <v>6.9</v>
      </c>
      <c r="F222">
        <v>11.4</v>
      </c>
      <c r="G222">
        <v>5.3</v>
      </c>
      <c r="H222" s="2">
        <v>49160</v>
      </c>
      <c r="I222" t="s">
        <v>15</v>
      </c>
      <c r="J222">
        <v>3</v>
      </c>
      <c r="K222" t="s">
        <v>32</v>
      </c>
      <c r="L222">
        <v>2</v>
      </c>
      <c r="M222" t="s">
        <v>16</v>
      </c>
      <c r="N222">
        <v>6</v>
      </c>
    </row>
    <row r="223" spans="1:14" x14ac:dyDescent="0.3">
      <c r="A223" t="s">
        <v>252</v>
      </c>
      <c r="B223" t="str">
        <f>"25-1081"</f>
        <v>25-1081</v>
      </c>
      <c r="C223">
        <v>70</v>
      </c>
      <c r="D223">
        <v>75.8</v>
      </c>
      <c r="E223">
        <v>5.8</v>
      </c>
      <c r="F223">
        <v>8.3000000000000007</v>
      </c>
      <c r="G223">
        <v>7.2</v>
      </c>
      <c r="H223" s="2">
        <v>65440</v>
      </c>
      <c r="I223" t="s">
        <v>28</v>
      </c>
      <c r="J223">
        <v>1</v>
      </c>
      <c r="K223" t="s">
        <v>32</v>
      </c>
      <c r="L223">
        <v>2</v>
      </c>
      <c r="M223" t="s">
        <v>16</v>
      </c>
      <c r="N223">
        <v>6</v>
      </c>
    </row>
    <row r="224" spans="1:14" x14ac:dyDescent="0.3">
      <c r="A224" t="s">
        <v>253</v>
      </c>
      <c r="B224" t="str">
        <f>"25-9099"</f>
        <v>25-9099</v>
      </c>
      <c r="C224">
        <v>157</v>
      </c>
      <c r="D224">
        <v>169.5</v>
      </c>
      <c r="E224">
        <v>12.5</v>
      </c>
      <c r="F224">
        <v>8</v>
      </c>
      <c r="G224">
        <v>16.399999999999999</v>
      </c>
      <c r="H224" s="2">
        <v>41570</v>
      </c>
      <c r="I224" t="s">
        <v>15</v>
      </c>
      <c r="J224">
        <v>3</v>
      </c>
      <c r="K224" t="s">
        <v>16</v>
      </c>
      <c r="L224">
        <v>4</v>
      </c>
      <c r="M224" t="s">
        <v>16</v>
      </c>
      <c r="N224">
        <v>6</v>
      </c>
    </row>
    <row r="225" spans="1:14" x14ac:dyDescent="0.3">
      <c r="A225" t="s">
        <v>254</v>
      </c>
      <c r="B225" t="str">
        <f>"21-1012"</f>
        <v>21-1012</v>
      </c>
      <c r="C225">
        <v>322</v>
      </c>
      <c r="D225">
        <v>359</v>
      </c>
      <c r="E225">
        <v>37</v>
      </c>
      <c r="F225">
        <v>11.5</v>
      </c>
      <c r="G225">
        <v>35</v>
      </c>
      <c r="H225" s="2">
        <v>58120</v>
      </c>
      <c r="I225" t="s">
        <v>23</v>
      </c>
      <c r="J225">
        <v>2</v>
      </c>
      <c r="K225" t="s">
        <v>16</v>
      </c>
      <c r="L225">
        <v>4</v>
      </c>
      <c r="M225" t="s">
        <v>16</v>
      </c>
      <c r="N225">
        <v>6</v>
      </c>
    </row>
    <row r="226" spans="1:14" x14ac:dyDescent="0.3">
      <c r="A226" t="s">
        <v>255</v>
      </c>
      <c r="B226" t="str">
        <f>"49-2092"</f>
        <v>49-2092</v>
      </c>
      <c r="C226">
        <v>17.8</v>
      </c>
      <c r="D226">
        <v>19.100000000000001</v>
      </c>
      <c r="E226">
        <v>1.2</v>
      </c>
      <c r="F226">
        <v>6.9</v>
      </c>
      <c r="G226">
        <v>1.9</v>
      </c>
      <c r="H226" s="2">
        <v>46590</v>
      </c>
      <c r="I226" t="s">
        <v>25</v>
      </c>
      <c r="J226">
        <v>7</v>
      </c>
      <c r="K226" t="s">
        <v>32</v>
      </c>
      <c r="L226">
        <v>2</v>
      </c>
      <c r="M226" t="s">
        <v>26</v>
      </c>
      <c r="N226">
        <v>4</v>
      </c>
    </row>
    <row r="227" spans="1:14" x14ac:dyDescent="0.3">
      <c r="A227" t="s">
        <v>256</v>
      </c>
      <c r="B227" t="str">
        <f>"17-3023"</f>
        <v>17-3023</v>
      </c>
      <c r="C227">
        <v>117</v>
      </c>
      <c r="D227">
        <v>118.9</v>
      </c>
      <c r="E227">
        <v>1.9</v>
      </c>
      <c r="F227">
        <v>1.6</v>
      </c>
      <c r="G227">
        <v>11</v>
      </c>
      <c r="H227" s="2">
        <v>67550</v>
      </c>
      <c r="I227" t="s">
        <v>37</v>
      </c>
      <c r="J227">
        <v>4</v>
      </c>
      <c r="K227" t="s">
        <v>16</v>
      </c>
      <c r="L227">
        <v>4</v>
      </c>
      <c r="M227" t="s">
        <v>16</v>
      </c>
      <c r="N227">
        <v>6</v>
      </c>
    </row>
    <row r="228" spans="1:14" x14ac:dyDescent="0.3">
      <c r="A228" t="s">
        <v>257</v>
      </c>
      <c r="B228" t="str">
        <f>"17-3012"</f>
        <v>17-3012</v>
      </c>
      <c r="C228">
        <v>24</v>
      </c>
      <c r="D228">
        <v>24.5</v>
      </c>
      <c r="E228">
        <v>0.6</v>
      </c>
      <c r="F228">
        <v>2.2999999999999998</v>
      </c>
      <c r="G228">
        <v>2.2999999999999998</v>
      </c>
      <c r="H228" s="2">
        <v>62100</v>
      </c>
      <c r="I228" t="s">
        <v>37</v>
      </c>
      <c r="J228">
        <v>4</v>
      </c>
      <c r="K228" t="s">
        <v>16</v>
      </c>
      <c r="L228">
        <v>4</v>
      </c>
      <c r="M228" t="s">
        <v>16</v>
      </c>
      <c r="N228">
        <v>6</v>
      </c>
    </row>
    <row r="229" spans="1:14" x14ac:dyDescent="0.3">
      <c r="A229" t="s">
        <v>258</v>
      </c>
      <c r="B229" t="str">
        <f>"49-2093"</f>
        <v>49-2093</v>
      </c>
      <c r="C229">
        <v>9.1</v>
      </c>
      <c r="D229">
        <v>9.6999999999999993</v>
      </c>
      <c r="E229">
        <v>0.6</v>
      </c>
      <c r="F229">
        <v>6.7</v>
      </c>
      <c r="G229">
        <v>0.8</v>
      </c>
      <c r="H229" s="2">
        <v>70200</v>
      </c>
      <c r="I229" t="s">
        <v>50</v>
      </c>
      <c r="J229">
        <v>5</v>
      </c>
      <c r="K229" t="s">
        <v>16</v>
      </c>
      <c r="L229">
        <v>4</v>
      </c>
      <c r="M229" t="s">
        <v>20</v>
      </c>
      <c r="N229">
        <v>3</v>
      </c>
    </row>
    <row r="230" spans="1:14" x14ac:dyDescent="0.3">
      <c r="A230" t="s">
        <v>259</v>
      </c>
      <c r="B230" t="str">
        <f>"49-2094"</f>
        <v>49-2094</v>
      </c>
      <c r="C230">
        <v>56.4</v>
      </c>
      <c r="D230">
        <v>59</v>
      </c>
      <c r="E230">
        <v>2.5</v>
      </c>
      <c r="F230">
        <v>4.5</v>
      </c>
      <c r="G230">
        <v>4.7</v>
      </c>
      <c r="H230" s="2">
        <v>62010</v>
      </c>
      <c r="I230" t="s">
        <v>50</v>
      </c>
      <c r="J230">
        <v>5</v>
      </c>
      <c r="K230" t="s">
        <v>16</v>
      </c>
      <c r="L230">
        <v>4</v>
      </c>
      <c r="M230" t="s">
        <v>20</v>
      </c>
      <c r="N230">
        <v>3</v>
      </c>
    </row>
    <row r="231" spans="1:14" x14ac:dyDescent="0.3">
      <c r="A231" t="s">
        <v>260</v>
      </c>
      <c r="B231" t="str">
        <f>"49-2095"</f>
        <v>49-2095</v>
      </c>
      <c r="C231">
        <v>23.1</v>
      </c>
      <c r="D231">
        <v>22.5</v>
      </c>
      <c r="E231">
        <v>-0.5</v>
      </c>
      <c r="F231">
        <v>-2.4</v>
      </c>
      <c r="G231">
        <v>1.7</v>
      </c>
      <c r="H231" s="2">
        <v>85340</v>
      </c>
      <c r="I231" t="s">
        <v>50</v>
      </c>
      <c r="J231">
        <v>5</v>
      </c>
      <c r="K231" t="s">
        <v>32</v>
      </c>
      <c r="L231">
        <v>2</v>
      </c>
      <c r="M231" t="s">
        <v>26</v>
      </c>
      <c r="N231">
        <v>4</v>
      </c>
    </row>
    <row r="232" spans="1:14" x14ac:dyDescent="0.3">
      <c r="A232" t="s">
        <v>261</v>
      </c>
      <c r="B232" t="str">
        <f>"17-2071"</f>
        <v>17-2071</v>
      </c>
      <c r="C232">
        <v>188</v>
      </c>
      <c r="D232">
        <v>200.7</v>
      </c>
      <c r="E232">
        <v>12.7</v>
      </c>
      <c r="F232">
        <v>6.8</v>
      </c>
      <c r="G232">
        <v>13.7</v>
      </c>
      <c r="H232" s="2">
        <v>100830</v>
      </c>
      <c r="I232" t="s">
        <v>15</v>
      </c>
      <c r="J232">
        <v>3</v>
      </c>
      <c r="K232" t="s">
        <v>16</v>
      </c>
      <c r="L232">
        <v>4</v>
      </c>
      <c r="M232" t="s">
        <v>16</v>
      </c>
      <c r="N232">
        <v>6</v>
      </c>
    </row>
    <row r="233" spans="1:14" x14ac:dyDescent="0.3">
      <c r="A233" t="s">
        <v>262</v>
      </c>
      <c r="B233" t="str">
        <f>"49-9051"</f>
        <v>49-9051</v>
      </c>
      <c r="C233">
        <v>115.9</v>
      </c>
      <c r="D233">
        <v>117.4</v>
      </c>
      <c r="E233">
        <v>1.5</v>
      </c>
      <c r="F233">
        <v>1.3</v>
      </c>
      <c r="G233">
        <v>10.199999999999999</v>
      </c>
      <c r="H233" s="2">
        <v>75030</v>
      </c>
      <c r="I233" t="s">
        <v>25</v>
      </c>
      <c r="J233">
        <v>7</v>
      </c>
      <c r="K233" t="s">
        <v>16</v>
      </c>
      <c r="L233">
        <v>4</v>
      </c>
      <c r="M233" t="s">
        <v>20</v>
      </c>
      <c r="N233">
        <v>3</v>
      </c>
    </row>
    <row r="234" spans="1:14" x14ac:dyDescent="0.3">
      <c r="A234" t="s">
        <v>263</v>
      </c>
      <c r="B234" t="str">
        <f>"51-2028"</f>
        <v>51-2028</v>
      </c>
      <c r="C234">
        <v>284.8</v>
      </c>
      <c r="D234">
        <v>304.39999999999998</v>
      </c>
      <c r="E234">
        <v>19.5</v>
      </c>
      <c r="F234">
        <v>6.9</v>
      </c>
      <c r="G234">
        <v>32.700000000000003</v>
      </c>
      <c r="H234" s="2">
        <v>36390</v>
      </c>
      <c r="I234" t="s">
        <v>25</v>
      </c>
      <c r="J234">
        <v>7</v>
      </c>
      <c r="K234" t="s">
        <v>16</v>
      </c>
      <c r="L234">
        <v>4</v>
      </c>
      <c r="M234" t="s">
        <v>26</v>
      </c>
      <c r="N234">
        <v>4</v>
      </c>
    </row>
    <row r="235" spans="1:14" x14ac:dyDescent="0.3">
      <c r="A235" t="s">
        <v>264</v>
      </c>
      <c r="B235" t="str">
        <f>"47-2111"</f>
        <v>47-2111</v>
      </c>
      <c r="C235">
        <v>729.6</v>
      </c>
      <c r="D235">
        <v>795.7</v>
      </c>
      <c r="E235">
        <v>66.099999999999994</v>
      </c>
      <c r="F235">
        <v>9.1</v>
      </c>
      <c r="G235">
        <v>84.7</v>
      </c>
      <c r="H235" s="2">
        <v>56900</v>
      </c>
      <c r="I235" t="s">
        <v>25</v>
      </c>
      <c r="J235">
        <v>7</v>
      </c>
      <c r="K235" t="s">
        <v>16</v>
      </c>
      <c r="L235">
        <v>4</v>
      </c>
      <c r="M235" t="s">
        <v>103</v>
      </c>
      <c r="N235">
        <v>2</v>
      </c>
    </row>
    <row r="236" spans="1:14" x14ac:dyDescent="0.3">
      <c r="A236" t="s">
        <v>265</v>
      </c>
      <c r="B236" t="str">
        <f>"17-3024"</f>
        <v>17-3024</v>
      </c>
      <c r="C236">
        <v>13.4</v>
      </c>
      <c r="D236">
        <v>13.1</v>
      </c>
      <c r="E236">
        <v>-0.2</v>
      </c>
      <c r="F236">
        <v>-1.7</v>
      </c>
      <c r="G236">
        <v>1.2</v>
      </c>
      <c r="H236" s="2">
        <v>59800</v>
      </c>
      <c r="I236" t="s">
        <v>37</v>
      </c>
      <c r="J236">
        <v>4</v>
      </c>
      <c r="K236" t="s">
        <v>16</v>
      </c>
      <c r="L236">
        <v>4</v>
      </c>
      <c r="M236" t="s">
        <v>16</v>
      </c>
      <c r="N236">
        <v>6</v>
      </c>
    </row>
    <row r="237" spans="1:14" x14ac:dyDescent="0.3">
      <c r="A237" t="s">
        <v>266</v>
      </c>
      <c r="B237" t="str">
        <f>"49-2096"</f>
        <v>49-2096</v>
      </c>
      <c r="C237">
        <v>10.199999999999999</v>
      </c>
      <c r="D237">
        <v>8.5</v>
      </c>
      <c r="E237">
        <v>-1.6</v>
      </c>
      <c r="F237">
        <v>-16.2</v>
      </c>
      <c r="G237">
        <v>0.6</v>
      </c>
      <c r="H237" s="2">
        <v>39570</v>
      </c>
      <c r="I237" t="s">
        <v>25</v>
      </c>
      <c r="J237">
        <v>7</v>
      </c>
      <c r="K237" t="s">
        <v>16</v>
      </c>
      <c r="L237">
        <v>4</v>
      </c>
      <c r="M237" t="s">
        <v>26</v>
      </c>
      <c r="N237">
        <v>4</v>
      </c>
    </row>
    <row r="238" spans="1:14" x14ac:dyDescent="0.3">
      <c r="A238" t="s">
        <v>267</v>
      </c>
      <c r="B238" t="str">
        <f>"17-2072"</f>
        <v>17-2072</v>
      </c>
      <c r="C238">
        <v>125.2</v>
      </c>
      <c r="D238">
        <v>132.9</v>
      </c>
      <c r="E238">
        <v>7.7</v>
      </c>
      <c r="F238">
        <v>6.2</v>
      </c>
      <c r="G238">
        <v>9</v>
      </c>
      <c r="H238" s="2">
        <v>107540</v>
      </c>
      <c r="I238" t="s">
        <v>15</v>
      </c>
      <c r="J238">
        <v>3</v>
      </c>
      <c r="K238" t="s">
        <v>16</v>
      </c>
      <c r="L238">
        <v>4</v>
      </c>
      <c r="M238" t="s">
        <v>16</v>
      </c>
      <c r="N238">
        <v>6</v>
      </c>
    </row>
    <row r="239" spans="1:14" x14ac:dyDescent="0.3">
      <c r="A239" t="s">
        <v>268</v>
      </c>
      <c r="B239" t="str">
        <f>"25-2021"</f>
        <v>25-2021</v>
      </c>
      <c r="C239" s="1">
        <v>1371.1</v>
      </c>
      <c r="D239" s="1">
        <v>1472.9</v>
      </c>
      <c r="E239">
        <v>101.7</v>
      </c>
      <c r="F239">
        <v>7.4</v>
      </c>
      <c r="G239">
        <v>110.8</v>
      </c>
      <c r="H239" s="2">
        <v>60940</v>
      </c>
      <c r="I239" t="s">
        <v>15</v>
      </c>
      <c r="J239">
        <v>3</v>
      </c>
      <c r="K239" t="s">
        <v>16</v>
      </c>
      <c r="L239">
        <v>4</v>
      </c>
      <c r="M239" t="s">
        <v>16</v>
      </c>
      <c r="N239">
        <v>6</v>
      </c>
    </row>
    <row r="240" spans="1:14" x14ac:dyDescent="0.3">
      <c r="A240" t="s">
        <v>269</v>
      </c>
      <c r="B240" t="str">
        <f>"47-4021"</f>
        <v>47-4021</v>
      </c>
      <c r="C240">
        <v>24.8</v>
      </c>
      <c r="D240">
        <v>26.3</v>
      </c>
      <c r="E240">
        <v>1.5</v>
      </c>
      <c r="F240">
        <v>6.1</v>
      </c>
      <c r="G240">
        <v>2.5</v>
      </c>
      <c r="H240" s="2">
        <v>88540</v>
      </c>
      <c r="I240" t="s">
        <v>25</v>
      </c>
      <c r="J240">
        <v>7</v>
      </c>
      <c r="K240" t="s">
        <v>16</v>
      </c>
      <c r="L240">
        <v>4</v>
      </c>
      <c r="M240" t="s">
        <v>103</v>
      </c>
      <c r="N240">
        <v>2</v>
      </c>
    </row>
    <row r="241" spans="1:14" x14ac:dyDescent="0.3">
      <c r="A241" t="s">
        <v>270</v>
      </c>
      <c r="B241" t="str">
        <f>"43-4061"</f>
        <v>43-4061</v>
      </c>
      <c r="C241">
        <v>145.4</v>
      </c>
      <c r="D241">
        <v>150.9</v>
      </c>
      <c r="E241">
        <v>5.6</v>
      </c>
      <c r="F241">
        <v>3.8</v>
      </c>
      <c r="G241">
        <v>13.7</v>
      </c>
      <c r="H241" s="2">
        <v>47110</v>
      </c>
      <c r="I241" t="s">
        <v>25</v>
      </c>
      <c r="J241">
        <v>7</v>
      </c>
      <c r="K241" t="s">
        <v>16</v>
      </c>
      <c r="L241">
        <v>4</v>
      </c>
      <c r="M241" t="s">
        <v>26</v>
      </c>
      <c r="N241">
        <v>4</v>
      </c>
    </row>
    <row r="242" spans="1:14" x14ac:dyDescent="0.3">
      <c r="A242" t="s">
        <v>271</v>
      </c>
      <c r="B242" t="str">
        <f>"39-4011"</f>
        <v>39-4011</v>
      </c>
      <c r="C242">
        <v>5</v>
      </c>
      <c r="D242">
        <v>5</v>
      </c>
      <c r="E242">
        <v>0</v>
      </c>
      <c r="F242">
        <v>-0.6</v>
      </c>
      <c r="G242">
        <v>0.7</v>
      </c>
      <c r="H242" s="2">
        <v>47630</v>
      </c>
      <c r="I242" t="s">
        <v>37</v>
      </c>
      <c r="J242">
        <v>4</v>
      </c>
      <c r="K242" t="s">
        <v>16</v>
      </c>
      <c r="L242">
        <v>4</v>
      </c>
      <c r="M242" t="s">
        <v>20</v>
      </c>
      <c r="N242">
        <v>3</v>
      </c>
    </row>
    <row r="243" spans="1:14" x14ac:dyDescent="0.3">
      <c r="A243" t="s">
        <v>272</v>
      </c>
      <c r="B243" t="str">
        <f>"11-9161"</f>
        <v>11-9161</v>
      </c>
      <c r="C243">
        <v>10.5</v>
      </c>
      <c r="D243">
        <v>11.1</v>
      </c>
      <c r="E243">
        <v>0.7</v>
      </c>
      <c r="F243">
        <v>6.2</v>
      </c>
      <c r="G243">
        <v>1</v>
      </c>
      <c r="H243" s="2">
        <v>76250</v>
      </c>
      <c r="I243" t="s">
        <v>15</v>
      </c>
      <c r="J243">
        <v>3</v>
      </c>
      <c r="K243" t="s">
        <v>29</v>
      </c>
      <c r="L243">
        <v>1</v>
      </c>
      <c r="M243" t="s">
        <v>16</v>
      </c>
      <c r="N243">
        <v>6</v>
      </c>
    </row>
    <row r="244" spans="1:14" x14ac:dyDescent="0.3">
      <c r="A244" t="s">
        <v>273</v>
      </c>
      <c r="B244" t="str">
        <f>"29-2040"</f>
        <v>29-2040</v>
      </c>
      <c r="C244">
        <v>261.3</v>
      </c>
      <c r="D244">
        <v>289.89999999999998</v>
      </c>
      <c r="E244">
        <v>28.6</v>
      </c>
      <c r="F244">
        <v>11</v>
      </c>
      <c r="G244">
        <v>20.7</v>
      </c>
      <c r="H244" s="2">
        <v>36650</v>
      </c>
      <c r="I244" t="s">
        <v>50</v>
      </c>
      <c r="J244">
        <v>5</v>
      </c>
      <c r="K244" t="s">
        <v>16</v>
      </c>
      <c r="L244">
        <v>4</v>
      </c>
      <c r="M244" t="s">
        <v>16</v>
      </c>
      <c r="N244">
        <v>6</v>
      </c>
    </row>
    <row r="245" spans="1:14" x14ac:dyDescent="0.3">
      <c r="A245" t="s">
        <v>274</v>
      </c>
      <c r="B245" t="str">
        <f>"51-2031"</f>
        <v>51-2031</v>
      </c>
      <c r="C245">
        <v>43.7</v>
      </c>
      <c r="D245">
        <v>38.5</v>
      </c>
      <c r="E245">
        <v>-5.0999999999999996</v>
      </c>
      <c r="F245">
        <v>-11.8</v>
      </c>
      <c r="G245">
        <v>4</v>
      </c>
      <c r="H245" s="2">
        <v>45770</v>
      </c>
      <c r="I245" t="s">
        <v>25</v>
      </c>
      <c r="J245">
        <v>7</v>
      </c>
      <c r="K245" t="s">
        <v>16</v>
      </c>
      <c r="L245">
        <v>4</v>
      </c>
      <c r="M245" t="s">
        <v>26</v>
      </c>
      <c r="N245">
        <v>4</v>
      </c>
    </row>
    <row r="246" spans="1:14" x14ac:dyDescent="0.3">
      <c r="A246" t="s">
        <v>275</v>
      </c>
      <c r="B246" t="str">
        <f>"25-1032"</f>
        <v>25-1032</v>
      </c>
      <c r="C246">
        <v>46.3</v>
      </c>
      <c r="D246">
        <v>52.1</v>
      </c>
      <c r="E246">
        <v>5.8</v>
      </c>
      <c r="F246">
        <v>12.5</v>
      </c>
      <c r="G246">
        <v>5.0999999999999996</v>
      </c>
      <c r="H246" s="2">
        <v>103600</v>
      </c>
      <c r="I246" t="s">
        <v>28</v>
      </c>
      <c r="J246">
        <v>1</v>
      </c>
      <c r="K246" t="s">
        <v>16</v>
      </c>
      <c r="L246">
        <v>4</v>
      </c>
      <c r="M246" t="s">
        <v>16</v>
      </c>
      <c r="N246">
        <v>6</v>
      </c>
    </row>
    <row r="247" spans="1:14" x14ac:dyDescent="0.3">
      <c r="A247" t="s">
        <v>276</v>
      </c>
      <c r="B247" t="str">
        <f>"17-2199"</f>
        <v>17-2199</v>
      </c>
      <c r="C247">
        <v>167.1</v>
      </c>
      <c r="D247">
        <v>171.6</v>
      </c>
      <c r="E247">
        <v>4.4000000000000004</v>
      </c>
      <c r="F247">
        <v>2.7</v>
      </c>
      <c r="G247">
        <v>11</v>
      </c>
      <c r="H247" s="2">
        <v>103380</v>
      </c>
      <c r="I247" t="s">
        <v>15</v>
      </c>
      <c r="J247">
        <v>3</v>
      </c>
      <c r="K247" t="s">
        <v>16</v>
      </c>
      <c r="L247">
        <v>4</v>
      </c>
      <c r="M247" t="s">
        <v>16</v>
      </c>
      <c r="N247">
        <v>6</v>
      </c>
    </row>
    <row r="248" spans="1:14" x14ac:dyDescent="0.3">
      <c r="A248" t="s">
        <v>277</v>
      </c>
      <c r="B248" t="str">
        <f>"25-1123"</f>
        <v>25-1123</v>
      </c>
      <c r="C248">
        <v>75</v>
      </c>
      <c r="D248">
        <v>79.599999999999994</v>
      </c>
      <c r="E248">
        <v>4.7</v>
      </c>
      <c r="F248">
        <v>6.2</v>
      </c>
      <c r="G248">
        <v>7.5</v>
      </c>
      <c r="H248" s="2">
        <v>69000</v>
      </c>
      <c r="I248" t="s">
        <v>28</v>
      </c>
      <c r="J248">
        <v>1</v>
      </c>
      <c r="K248" t="s">
        <v>16</v>
      </c>
      <c r="L248">
        <v>4</v>
      </c>
      <c r="M248" t="s">
        <v>16</v>
      </c>
      <c r="N248">
        <v>6</v>
      </c>
    </row>
    <row r="249" spans="1:14" x14ac:dyDescent="0.3">
      <c r="A249" t="s">
        <v>278</v>
      </c>
      <c r="B249" t="str">
        <f>"39-3099"</f>
        <v>39-3099</v>
      </c>
      <c r="C249">
        <v>3.9</v>
      </c>
      <c r="D249">
        <v>5.3</v>
      </c>
      <c r="E249">
        <v>1.4</v>
      </c>
      <c r="F249">
        <v>35.4</v>
      </c>
      <c r="G249">
        <v>1.1000000000000001</v>
      </c>
      <c r="H249" s="2">
        <v>27230</v>
      </c>
      <c r="I249" t="s">
        <v>25</v>
      </c>
      <c r="J249">
        <v>7</v>
      </c>
      <c r="K249" t="s">
        <v>16</v>
      </c>
      <c r="L249">
        <v>4</v>
      </c>
      <c r="M249" t="s">
        <v>30</v>
      </c>
      <c r="N249">
        <v>5</v>
      </c>
    </row>
    <row r="250" spans="1:14" x14ac:dyDescent="0.3">
      <c r="A250" t="s">
        <v>279</v>
      </c>
      <c r="B250" t="str">
        <f>"17-3025"</f>
        <v>17-3025</v>
      </c>
      <c r="C250">
        <v>17.3</v>
      </c>
      <c r="D250">
        <v>18.600000000000001</v>
      </c>
      <c r="E250">
        <v>1.3</v>
      </c>
      <c r="F250">
        <v>7.8</v>
      </c>
      <c r="G250">
        <v>1.8</v>
      </c>
      <c r="H250" s="2">
        <v>51630</v>
      </c>
      <c r="I250" t="s">
        <v>37</v>
      </c>
      <c r="J250">
        <v>4</v>
      </c>
      <c r="K250" t="s">
        <v>16</v>
      </c>
      <c r="L250">
        <v>4</v>
      </c>
      <c r="M250" t="s">
        <v>16</v>
      </c>
      <c r="N250">
        <v>6</v>
      </c>
    </row>
    <row r="251" spans="1:14" x14ac:dyDescent="0.3">
      <c r="A251" t="s">
        <v>280</v>
      </c>
      <c r="B251" t="str">
        <f>"17-2081"</f>
        <v>17-2081</v>
      </c>
      <c r="C251">
        <v>52.3</v>
      </c>
      <c r="D251">
        <v>54.3</v>
      </c>
      <c r="E251">
        <v>1.9</v>
      </c>
      <c r="F251">
        <v>3.7</v>
      </c>
      <c r="G251">
        <v>4</v>
      </c>
      <c r="H251" s="2">
        <v>92120</v>
      </c>
      <c r="I251" t="s">
        <v>15</v>
      </c>
      <c r="J251">
        <v>3</v>
      </c>
      <c r="K251" t="s">
        <v>16</v>
      </c>
      <c r="L251">
        <v>4</v>
      </c>
      <c r="M251" t="s">
        <v>16</v>
      </c>
      <c r="N251">
        <v>6</v>
      </c>
    </row>
    <row r="252" spans="1:14" x14ac:dyDescent="0.3">
      <c r="A252" t="s">
        <v>281</v>
      </c>
      <c r="B252" t="str">
        <f>"19-4042"</f>
        <v>19-4042</v>
      </c>
      <c r="C252">
        <v>34.200000000000003</v>
      </c>
      <c r="D252">
        <v>37.799999999999997</v>
      </c>
      <c r="E252">
        <v>3.6</v>
      </c>
      <c r="F252">
        <v>10.6</v>
      </c>
      <c r="G252">
        <v>4.7</v>
      </c>
      <c r="H252" s="2">
        <v>46850</v>
      </c>
      <c r="I252" t="s">
        <v>37</v>
      </c>
      <c r="J252">
        <v>4</v>
      </c>
      <c r="K252" t="s">
        <v>16</v>
      </c>
      <c r="L252">
        <v>4</v>
      </c>
      <c r="M252" t="s">
        <v>16</v>
      </c>
      <c r="N252">
        <v>6</v>
      </c>
    </row>
    <row r="253" spans="1:14" x14ac:dyDescent="0.3">
      <c r="A253" t="s">
        <v>282</v>
      </c>
      <c r="B253" t="str">
        <f>"25-1053"</f>
        <v>25-1053</v>
      </c>
      <c r="C253">
        <v>7.1</v>
      </c>
      <c r="D253">
        <v>7.6</v>
      </c>
      <c r="E253">
        <v>0.5</v>
      </c>
      <c r="F253">
        <v>6.8</v>
      </c>
      <c r="G253">
        <v>0.7</v>
      </c>
      <c r="H253" s="2">
        <v>84740</v>
      </c>
      <c r="I253" t="s">
        <v>28</v>
      </c>
      <c r="J253">
        <v>1</v>
      </c>
      <c r="K253" t="s">
        <v>16</v>
      </c>
      <c r="L253">
        <v>4</v>
      </c>
      <c r="M253" t="s">
        <v>16</v>
      </c>
      <c r="N253">
        <v>6</v>
      </c>
    </row>
    <row r="254" spans="1:14" x14ac:dyDescent="0.3">
      <c r="A254" t="s">
        <v>283</v>
      </c>
      <c r="B254" t="str">
        <f>"19-2041"</f>
        <v>19-2041</v>
      </c>
      <c r="C254">
        <v>87.1</v>
      </c>
      <c r="D254">
        <v>94.4</v>
      </c>
      <c r="E254">
        <v>7.3</v>
      </c>
      <c r="F254">
        <v>8.4</v>
      </c>
      <c r="G254">
        <v>9.4</v>
      </c>
      <c r="H254" s="2">
        <v>73230</v>
      </c>
      <c r="I254" t="s">
        <v>15</v>
      </c>
      <c r="J254">
        <v>3</v>
      </c>
      <c r="K254" t="s">
        <v>16</v>
      </c>
      <c r="L254">
        <v>4</v>
      </c>
      <c r="M254" t="s">
        <v>16</v>
      </c>
      <c r="N254">
        <v>6</v>
      </c>
    </row>
    <row r="255" spans="1:14" x14ac:dyDescent="0.3">
      <c r="A255" t="s">
        <v>284</v>
      </c>
      <c r="B255" t="str">
        <f>"19-1041"</f>
        <v>19-1041</v>
      </c>
      <c r="C255">
        <v>7.8</v>
      </c>
      <c r="D255">
        <v>10.199999999999999</v>
      </c>
      <c r="E255">
        <v>2.2999999999999998</v>
      </c>
      <c r="F255">
        <v>29.6</v>
      </c>
      <c r="G255">
        <v>0.9</v>
      </c>
      <c r="H255" s="2">
        <v>74560</v>
      </c>
      <c r="I255" t="s">
        <v>23</v>
      </c>
      <c r="J255">
        <v>2</v>
      </c>
      <c r="K255" t="s">
        <v>16</v>
      </c>
      <c r="L255">
        <v>4</v>
      </c>
      <c r="M255" t="s">
        <v>16</v>
      </c>
      <c r="N255">
        <v>6</v>
      </c>
    </row>
    <row r="256" spans="1:14" x14ac:dyDescent="0.3">
      <c r="A256" t="s">
        <v>285</v>
      </c>
      <c r="B256" t="str">
        <f>"51-9194"</f>
        <v>51-9194</v>
      </c>
      <c r="C256">
        <v>9.9</v>
      </c>
      <c r="D256">
        <v>10.1</v>
      </c>
      <c r="E256">
        <v>0.2</v>
      </c>
      <c r="F256">
        <v>2.4</v>
      </c>
      <c r="G256">
        <v>1.3</v>
      </c>
      <c r="H256" s="2">
        <v>31790</v>
      </c>
      <c r="I256" t="s">
        <v>25</v>
      </c>
      <c r="J256">
        <v>7</v>
      </c>
      <c r="K256" t="s">
        <v>16</v>
      </c>
      <c r="L256">
        <v>4</v>
      </c>
      <c r="M256" t="s">
        <v>26</v>
      </c>
      <c r="N256">
        <v>4</v>
      </c>
    </row>
    <row r="257" spans="1:14" x14ac:dyDescent="0.3">
      <c r="A257" t="s">
        <v>286</v>
      </c>
      <c r="B257" t="str">
        <f>"47-5022"</f>
        <v>47-5022</v>
      </c>
      <c r="C257">
        <v>41.3</v>
      </c>
      <c r="D257">
        <v>43.1</v>
      </c>
      <c r="E257">
        <v>1.8</v>
      </c>
      <c r="F257">
        <v>4.5</v>
      </c>
      <c r="G257">
        <v>5.0999999999999996</v>
      </c>
      <c r="H257" s="2">
        <v>45150</v>
      </c>
      <c r="I257" t="s">
        <v>25</v>
      </c>
      <c r="J257">
        <v>7</v>
      </c>
      <c r="K257" t="s">
        <v>32</v>
      </c>
      <c r="L257">
        <v>2</v>
      </c>
      <c r="M257" t="s">
        <v>26</v>
      </c>
      <c r="N257">
        <v>4</v>
      </c>
    </row>
    <row r="258" spans="1:14" x14ac:dyDescent="0.3">
      <c r="A258" t="s">
        <v>287</v>
      </c>
      <c r="B258" t="str">
        <f>"43-6011"</f>
        <v>43-6011</v>
      </c>
      <c r="C258">
        <v>538.79999999999995</v>
      </c>
      <c r="D258">
        <v>438.2</v>
      </c>
      <c r="E258">
        <v>-100.6</v>
      </c>
      <c r="F258">
        <v>-18.7</v>
      </c>
      <c r="G258">
        <v>42.1</v>
      </c>
      <c r="H258" s="2">
        <v>63110</v>
      </c>
      <c r="I258" t="s">
        <v>25</v>
      </c>
      <c r="J258">
        <v>7</v>
      </c>
      <c r="K258" t="s">
        <v>32</v>
      </c>
      <c r="L258">
        <v>2</v>
      </c>
      <c r="M258" t="s">
        <v>16</v>
      </c>
      <c r="N258">
        <v>6</v>
      </c>
    </row>
    <row r="259" spans="1:14" x14ac:dyDescent="0.3">
      <c r="A259" t="s">
        <v>288</v>
      </c>
      <c r="B259" t="str">
        <f>"29-1128"</f>
        <v>29-1128</v>
      </c>
      <c r="C259">
        <v>18</v>
      </c>
      <c r="D259">
        <v>20.399999999999999</v>
      </c>
      <c r="E259">
        <v>2.4</v>
      </c>
      <c r="F259">
        <v>13.1</v>
      </c>
      <c r="G259">
        <v>1.5</v>
      </c>
      <c r="H259" s="2">
        <v>50280</v>
      </c>
      <c r="I259" t="s">
        <v>15</v>
      </c>
      <c r="J259">
        <v>3</v>
      </c>
      <c r="K259" t="s">
        <v>16</v>
      </c>
      <c r="L259">
        <v>4</v>
      </c>
      <c r="M259" t="s">
        <v>16</v>
      </c>
      <c r="N259">
        <v>6</v>
      </c>
    </row>
    <row r="260" spans="1:14" x14ac:dyDescent="0.3">
      <c r="A260" t="s">
        <v>289</v>
      </c>
      <c r="B260" t="str">
        <f>"39-9031"</f>
        <v>39-9031</v>
      </c>
      <c r="C260">
        <v>309.8</v>
      </c>
      <c r="D260">
        <v>431.4</v>
      </c>
      <c r="E260">
        <v>121.7</v>
      </c>
      <c r="F260">
        <v>39.299999999999997</v>
      </c>
      <c r="G260">
        <v>69.099999999999994</v>
      </c>
      <c r="H260" s="2">
        <v>40510</v>
      </c>
      <c r="I260" t="s">
        <v>25</v>
      </c>
      <c r="J260">
        <v>7</v>
      </c>
      <c r="K260" t="s">
        <v>16</v>
      </c>
      <c r="L260">
        <v>4</v>
      </c>
      <c r="M260" t="s">
        <v>30</v>
      </c>
      <c r="N260">
        <v>5</v>
      </c>
    </row>
    <row r="261" spans="1:14" x14ac:dyDescent="0.3">
      <c r="A261" t="s">
        <v>290</v>
      </c>
      <c r="B261" t="str">
        <f>"51-4021"</f>
        <v>51-4021</v>
      </c>
      <c r="C261">
        <v>70.5</v>
      </c>
      <c r="D261">
        <v>65.2</v>
      </c>
      <c r="E261">
        <v>-5.3</v>
      </c>
      <c r="F261">
        <v>-7.5</v>
      </c>
      <c r="G261">
        <v>6</v>
      </c>
      <c r="H261" s="2">
        <v>37530</v>
      </c>
      <c r="I261" t="s">
        <v>25</v>
      </c>
      <c r="J261">
        <v>7</v>
      </c>
      <c r="K261" t="s">
        <v>16</v>
      </c>
      <c r="L261">
        <v>4</v>
      </c>
      <c r="M261" t="s">
        <v>26</v>
      </c>
      <c r="N261">
        <v>4</v>
      </c>
    </row>
    <row r="262" spans="1:14" x14ac:dyDescent="0.3">
      <c r="A262" t="s">
        <v>291</v>
      </c>
      <c r="B262" t="str">
        <f>"51-6091"</f>
        <v>51-6091</v>
      </c>
      <c r="C262">
        <v>16.2</v>
      </c>
      <c r="D262">
        <v>15.5</v>
      </c>
      <c r="E262">
        <v>-0.7</v>
      </c>
      <c r="F262">
        <v>-4.3</v>
      </c>
      <c r="G262">
        <v>1.8</v>
      </c>
      <c r="H262" s="2">
        <v>37160</v>
      </c>
      <c r="I262" t="s">
        <v>25</v>
      </c>
      <c r="J262">
        <v>7</v>
      </c>
      <c r="K262" t="s">
        <v>16</v>
      </c>
      <c r="L262">
        <v>4</v>
      </c>
      <c r="M262" t="s">
        <v>26</v>
      </c>
      <c r="N262">
        <v>4</v>
      </c>
    </row>
    <row r="263" spans="1:14" x14ac:dyDescent="0.3">
      <c r="A263" t="s">
        <v>292</v>
      </c>
      <c r="B263" t="str">
        <f>"51-9041"</f>
        <v>51-9041</v>
      </c>
      <c r="C263">
        <v>65.599999999999994</v>
      </c>
      <c r="D263">
        <v>66.3</v>
      </c>
      <c r="E263">
        <v>0.8</v>
      </c>
      <c r="F263">
        <v>1.2</v>
      </c>
      <c r="G263">
        <v>6.7</v>
      </c>
      <c r="H263" s="2">
        <v>36560</v>
      </c>
      <c r="I263" t="s">
        <v>25</v>
      </c>
      <c r="J263">
        <v>7</v>
      </c>
      <c r="K263" t="s">
        <v>16</v>
      </c>
      <c r="L263">
        <v>4</v>
      </c>
      <c r="M263" t="s">
        <v>26</v>
      </c>
      <c r="N263">
        <v>4</v>
      </c>
    </row>
    <row r="264" spans="1:14" x14ac:dyDescent="0.3">
      <c r="A264" t="s">
        <v>293</v>
      </c>
      <c r="B264" t="str">
        <f>"51-6092"</f>
        <v>51-6092</v>
      </c>
      <c r="C264">
        <v>4.7</v>
      </c>
      <c r="D264">
        <v>4.2</v>
      </c>
      <c r="E264">
        <v>-0.5</v>
      </c>
      <c r="F264">
        <v>-9.6999999999999993</v>
      </c>
      <c r="G264">
        <v>0.5</v>
      </c>
      <c r="H264" s="2">
        <v>49680</v>
      </c>
      <c r="I264" t="s">
        <v>25</v>
      </c>
      <c r="J264">
        <v>7</v>
      </c>
      <c r="K264" t="s">
        <v>16</v>
      </c>
      <c r="L264">
        <v>4</v>
      </c>
      <c r="M264" t="s">
        <v>26</v>
      </c>
      <c r="N264">
        <v>4</v>
      </c>
    </row>
    <row r="265" spans="1:14" x14ac:dyDescent="0.3">
      <c r="A265" t="s">
        <v>294</v>
      </c>
      <c r="B265" t="str">
        <f>"45-4021"</f>
        <v>45-4021</v>
      </c>
      <c r="C265">
        <v>5.6</v>
      </c>
      <c r="D265">
        <v>5.5</v>
      </c>
      <c r="E265">
        <v>-0.1</v>
      </c>
      <c r="F265">
        <v>-1.3</v>
      </c>
      <c r="G265">
        <v>0.8</v>
      </c>
      <c r="H265" s="2">
        <v>43190</v>
      </c>
      <c r="I265" t="s">
        <v>25</v>
      </c>
      <c r="J265">
        <v>7</v>
      </c>
      <c r="K265" t="s">
        <v>16</v>
      </c>
      <c r="L265">
        <v>4</v>
      </c>
      <c r="M265" t="s">
        <v>26</v>
      </c>
      <c r="N265">
        <v>4</v>
      </c>
    </row>
    <row r="266" spans="1:14" x14ac:dyDescent="0.3">
      <c r="A266" t="s">
        <v>295</v>
      </c>
      <c r="B266" t="str">
        <f>"25-1192"</f>
        <v>25-1192</v>
      </c>
      <c r="C266">
        <v>2.6</v>
      </c>
      <c r="D266">
        <v>2.8</v>
      </c>
      <c r="E266">
        <v>0.2</v>
      </c>
      <c r="F266">
        <v>5.8</v>
      </c>
      <c r="G266">
        <v>0.3</v>
      </c>
      <c r="H266" s="2">
        <v>72220</v>
      </c>
      <c r="I266" t="s">
        <v>28</v>
      </c>
      <c r="J266">
        <v>1</v>
      </c>
      <c r="K266" t="s">
        <v>16</v>
      </c>
      <c r="L266">
        <v>4</v>
      </c>
      <c r="M266" t="s">
        <v>16</v>
      </c>
      <c r="N266">
        <v>6</v>
      </c>
    </row>
    <row r="267" spans="1:14" x14ac:dyDescent="0.3">
      <c r="A267" t="s">
        <v>296</v>
      </c>
      <c r="B267" t="str">
        <f>"29-1215"</f>
        <v>29-1215</v>
      </c>
      <c r="C267">
        <v>107.7</v>
      </c>
      <c r="D267">
        <v>113</v>
      </c>
      <c r="E267">
        <v>5.3</v>
      </c>
      <c r="F267">
        <v>4.9000000000000004</v>
      </c>
      <c r="G267">
        <v>3.5</v>
      </c>
      <c r="H267" s="2">
        <v>207380</v>
      </c>
      <c r="I267" t="s">
        <v>28</v>
      </c>
      <c r="J267">
        <v>1</v>
      </c>
      <c r="K267" t="s">
        <v>16</v>
      </c>
      <c r="L267">
        <v>4</v>
      </c>
      <c r="M267" t="s">
        <v>58</v>
      </c>
      <c r="N267">
        <v>1</v>
      </c>
    </row>
    <row r="268" spans="1:14" x14ac:dyDescent="0.3">
      <c r="A268" t="s">
        <v>297</v>
      </c>
      <c r="B268" t="str">
        <f>"25-9021"</f>
        <v>25-9021</v>
      </c>
      <c r="C268">
        <v>9.3000000000000007</v>
      </c>
      <c r="D268">
        <v>9.1999999999999993</v>
      </c>
      <c r="E268">
        <v>-0.1</v>
      </c>
      <c r="F268">
        <v>-1.2</v>
      </c>
      <c r="G268">
        <v>0.8</v>
      </c>
      <c r="H268" s="2">
        <v>51550</v>
      </c>
      <c r="I268" t="s">
        <v>23</v>
      </c>
      <c r="J268">
        <v>2</v>
      </c>
      <c r="K268" t="s">
        <v>16</v>
      </c>
      <c r="L268">
        <v>4</v>
      </c>
      <c r="M268" t="s">
        <v>16</v>
      </c>
      <c r="N268">
        <v>6</v>
      </c>
    </row>
    <row r="269" spans="1:14" x14ac:dyDescent="0.3">
      <c r="A269" t="s">
        <v>298</v>
      </c>
      <c r="B269" t="str">
        <f>"49-3041"</f>
        <v>49-3041</v>
      </c>
      <c r="C269">
        <v>47.6</v>
      </c>
      <c r="D269">
        <v>52.9</v>
      </c>
      <c r="E269">
        <v>5.3</v>
      </c>
      <c r="F269">
        <v>11.1</v>
      </c>
      <c r="G269">
        <v>5.4</v>
      </c>
      <c r="H269" s="2">
        <v>43880</v>
      </c>
      <c r="I269" t="s">
        <v>25</v>
      </c>
      <c r="J269">
        <v>7</v>
      </c>
      <c r="K269" t="s">
        <v>16</v>
      </c>
      <c r="L269">
        <v>4</v>
      </c>
      <c r="M269" t="s">
        <v>20</v>
      </c>
      <c r="N269">
        <v>3</v>
      </c>
    </row>
    <row r="270" spans="1:14" x14ac:dyDescent="0.3">
      <c r="A270" t="s">
        <v>299</v>
      </c>
      <c r="B270" t="str">
        <f>"13-1074"</f>
        <v>13-1074</v>
      </c>
      <c r="C270">
        <v>0.2</v>
      </c>
      <c r="D270">
        <v>0.3</v>
      </c>
      <c r="E270">
        <v>0</v>
      </c>
      <c r="F270">
        <v>10.6</v>
      </c>
      <c r="G270">
        <v>0</v>
      </c>
      <c r="H270" s="2">
        <v>47780</v>
      </c>
      <c r="I270" t="s">
        <v>43</v>
      </c>
      <c r="J270">
        <v>8</v>
      </c>
      <c r="K270" t="s">
        <v>32</v>
      </c>
      <c r="L270">
        <v>2</v>
      </c>
      <c r="M270" t="s">
        <v>30</v>
      </c>
      <c r="N270">
        <v>5</v>
      </c>
    </row>
    <row r="271" spans="1:14" x14ac:dyDescent="0.3">
      <c r="A271" t="s">
        <v>300</v>
      </c>
      <c r="B271" t="str">
        <f>"11-9013"</f>
        <v>11-9013</v>
      </c>
      <c r="C271">
        <v>888.3</v>
      </c>
      <c r="D271">
        <v>882.6</v>
      </c>
      <c r="E271">
        <v>-5.8</v>
      </c>
      <c r="F271">
        <v>-0.7</v>
      </c>
      <c r="G271">
        <v>84.8</v>
      </c>
      <c r="H271" s="2">
        <v>68090</v>
      </c>
      <c r="I271" t="s">
        <v>25</v>
      </c>
      <c r="J271">
        <v>7</v>
      </c>
      <c r="K271" t="s">
        <v>29</v>
      </c>
      <c r="L271">
        <v>1</v>
      </c>
      <c r="M271" t="s">
        <v>16</v>
      </c>
      <c r="N271">
        <v>6</v>
      </c>
    </row>
    <row r="272" spans="1:14" x14ac:dyDescent="0.3">
      <c r="A272" t="s">
        <v>301</v>
      </c>
      <c r="B272" t="str">
        <f>"45-2092"</f>
        <v>45-2092</v>
      </c>
      <c r="C272">
        <v>526.29999999999995</v>
      </c>
      <c r="D272">
        <v>554.29999999999995</v>
      </c>
      <c r="E272">
        <v>28</v>
      </c>
      <c r="F272">
        <v>5.3</v>
      </c>
      <c r="G272">
        <v>87.4</v>
      </c>
      <c r="H272" s="2">
        <v>28660</v>
      </c>
      <c r="I272" t="s">
        <v>43</v>
      </c>
      <c r="J272">
        <v>8</v>
      </c>
      <c r="K272" t="s">
        <v>16</v>
      </c>
      <c r="L272">
        <v>4</v>
      </c>
      <c r="M272" t="s">
        <v>30</v>
      </c>
      <c r="N272">
        <v>5</v>
      </c>
    </row>
    <row r="273" spans="1:14" x14ac:dyDescent="0.3">
      <c r="A273" t="s">
        <v>302</v>
      </c>
      <c r="B273" t="str">
        <f>"45-2093"</f>
        <v>45-2093</v>
      </c>
      <c r="C273">
        <v>256.89999999999998</v>
      </c>
      <c r="D273">
        <v>235.5</v>
      </c>
      <c r="E273">
        <v>-21.3</v>
      </c>
      <c r="F273">
        <v>-8.3000000000000007</v>
      </c>
      <c r="G273">
        <v>36.4</v>
      </c>
      <c r="H273" s="2">
        <v>29130</v>
      </c>
      <c r="I273" t="s">
        <v>43</v>
      </c>
      <c r="J273">
        <v>8</v>
      </c>
      <c r="K273" t="s">
        <v>16</v>
      </c>
      <c r="L273">
        <v>4</v>
      </c>
      <c r="M273" t="s">
        <v>30</v>
      </c>
      <c r="N273">
        <v>5</v>
      </c>
    </row>
    <row r="274" spans="1:14" x14ac:dyDescent="0.3">
      <c r="A274" t="s">
        <v>303</v>
      </c>
      <c r="B274" t="str">
        <f>"27-1022"</f>
        <v>27-1022</v>
      </c>
      <c r="C274">
        <v>27.8</v>
      </c>
      <c r="D274">
        <v>28</v>
      </c>
      <c r="E274">
        <v>0.1</v>
      </c>
      <c r="F274">
        <v>0.5</v>
      </c>
      <c r="G274">
        <v>2.5</v>
      </c>
      <c r="H274" s="2">
        <v>75810</v>
      </c>
      <c r="I274" t="s">
        <v>15</v>
      </c>
      <c r="J274">
        <v>3</v>
      </c>
      <c r="K274" t="s">
        <v>16</v>
      </c>
      <c r="L274">
        <v>4</v>
      </c>
      <c r="M274" t="s">
        <v>16</v>
      </c>
      <c r="N274">
        <v>6</v>
      </c>
    </row>
    <row r="275" spans="1:14" x14ac:dyDescent="0.3">
      <c r="A275" t="s">
        <v>304</v>
      </c>
      <c r="B275" t="str">
        <f>"35-3023"</f>
        <v>35-3023</v>
      </c>
      <c r="C275" s="1">
        <v>3455.5</v>
      </c>
      <c r="D275" s="1">
        <v>3973</v>
      </c>
      <c r="E275">
        <v>517.5</v>
      </c>
      <c r="F275">
        <v>15</v>
      </c>
      <c r="G275">
        <v>804.6</v>
      </c>
      <c r="H275" s="2">
        <v>23860</v>
      </c>
      <c r="I275" t="s">
        <v>43</v>
      </c>
      <c r="J275">
        <v>8</v>
      </c>
      <c r="K275" t="s">
        <v>16</v>
      </c>
      <c r="L275">
        <v>4</v>
      </c>
      <c r="M275" t="s">
        <v>30</v>
      </c>
      <c r="N275">
        <v>5</v>
      </c>
    </row>
    <row r="276" spans="1:14" x14ac:dyDescent="0.3">
      <c r="A276" t="s">
        <v>305</v>
      </c>
      <c r="B276" t="str">
        <f>"47-4031"</f>
        <v>47-4031</v>
      </c>
      <c r="C276">
        <v>28</v>
      </c>
      <c r="D276">
        <v>29.2</v>
      </c>
      <c r="E276">
        <v>1.2</v>
      </c>
      <c r="F276">
        <v>4.3</v>
      </c>
      <c r="G276">
        <v>3</v>
      </c>
      <c r="H276" s="2">
        <v>37550</v>
      </c>
      <c r="I276" t="s">
        <v>43</v>
      </c>
      <c r="J276">
        <v>8</v>
      </c>
      <c r="K276" t="s">
        <v>16</v>
      </c>
      <c r="L276">
        <v>4</v>
      </c>
      <c r="M276" t="s">
        <v>26</v>
      </c>
      <c r="N276">
        <v>4</v>
      </c>
    </row>
    <row r="277" spans="1:14" x14ac:dyDescent="0.3">
      <c r="A277" t="s">
        <v>306</v>
      </c>
      <c r="B277" t="str">
        <f>"51-2051"</f>
        <v>51-2051</v>
      </c>
      <c r="C277">
        <v>19.2</v>
      </c>
      <c r="D277">
        <v>19.100000000000001</v>
      </c>
      <c r="E277">
        <v>-0.1</v>
      </c>
      <c r="F277">
        <v>-0.4</v>
      </c>
      <c r="G277">
        <v>2.1</v>
      </c>
      <c r="H277" s="2">
        <v>36950</v>
      </c>
      <c r="I277" t="s">
        <v>25</v>
      </c>
      <c r="J277">
        <v>7</v>
      </c>
      <c r="K277" t="s">
        <v>16</v>
      </c>
      <c r="L277">
        <v>4</v>
      </c>
      <c r="M277" t="s">
        <v>26</v>
      </c>
      <c r="N277">
        <v>4</v>
      </c>
    </row>
    <row r="278" spans="1:14" x14ac:dyDescent="0.3">
      <c r="A278" t="s">
        <v>307</v>
      </c>
      <c r="B278" t="str">
        <f>"43-4071"</f>
        <v>43-4071</v>
      </c>
      <c r="C278">
        <v>99.7</v>
      </c>
      <c r="D278">
        <v>87.1</v>
      </c>
      <c r="E278">
        <v>-12.6</v>
      </c>
      <c r="F278">
        <v>-12.6</v>
      </c>
      <c r="G278">
        <v>9.6</v>
      </c>
      <c r="H278" s="2">
        <v>34090</v>
      </c>
      <c r="I278" t="s">
        <v>25</v>
      </c>
      <c r="J278">
        <v>7</v>
      </c>
      <c r="K278" t="s">
        <v>16</v>
      </c>
      <c r="L278">
        <v>4</v>
      </c>
      <c r="M278" t="s">
        <v>30</v>
      </c>
      <c r="N278">
        <v>5</v>
      </c>
    </row>
    <row r="279" spans="1:14" x14ac:dyDescent="0.3">
      <c r="A279" t="s">
        <v>308</v>
      </c>
      <c r="B279" t="str">
        <f>"27-4032"</f>
        <v>27-4032</v>
      </c>
      <c r="C279">
        <v>33</v>
      </c>
      <c r="D279">
        <v>43.9</v>
      </c>
      <c r="E279">
        <v>11</v>
      </c>
      <c r="F279">
        <v>33.200000000000003</v>
      </c>
      <c r="G279">
        <v>4.7</v>
      </c>
      <c r="H279" s="2">
        <v>67250</v>
      </c>
      <c r="I279" t="s">
        <v>15</v>
      </c>
      <c r="J279">
        <v>3</v>
      </c>
      <c r="K279" t="s">
        <v>16</v>
      </c>
      <c r="L279">
        <v>4</v>
      </c>
      <c r="M279" t="s">
        <v>16</v>
      </c>
      <c r="N279">
        <v>6</v>
      </c>
    </row>
    <row r="280" spans="1:14" x14ac:dyDescent="0.3">
      <c r="A280" t="s">
        <v>309</v>
      </c>
      <c r="B280" t="str">
        <f>"13-2098"</f>
        <v>13-2098</v>
      </c>
      <c r="C280">
        <v>492.1</v>
      </c>
      <c r="D280">
        <v>523.4</v>
      </c>
      <c r="E280">
        <v>31.3</v>
      </c>
      <c r="F280">
        <v>6.4</v>
      </c>
      <c r="G280">
        <v>41</v>
      </c>
      <c r="H280" s="2">
        <v>83660</v>
      </c>
      <c r="I280" t="s">
        <v>15</v>
      </c>
      <c r="J280">
        <v>3</v>
      </c>
      <c r="K280" t="s">
        <v>16</v>
      </c>
      <c r="L280">
        <v>4</v>
      </c>
      <c r="M280" t="s">
        <v>16</v>
      </c>
      <c r="N280">
        <v>6</v>
      </c>
    </row>
    <row r="281" spans="1:14" x14ac:dyDescent="0.3">
      <c r="A281" t="s">
        <v>310</v>
      </c>
      <c r="B281" t="str">
        <f>"43-3099"</f>
        <v>43-3099</v>
      </c>
      <c r="C281">
        <v>31.9</v>
      </c>
      <c r="D281">
        <v>34.299999999999997</v>
      </c>
      <c r="E281">
        <v>2.4</v>
      </c>
      <c r="F281">
        <v>7.5</v>
      </c>
      <c r="G281">
        <v>3.7</v>
      </c>
      <c r="H281" s="2">
        <v>44160</v>
      </c>
      <c r="I281" t="s">
        <v>25</v>
      </c>
      <c r="J281">
        <v>7</v>
      </c>
      <c r="K281" t="s">
        <v>16</v>
      </c>
      <c r="L281">
        <v>4</v>
      </c>
      <c r="M281" t="s">
        <v>30</v>
      </c>
      <c r="N281">
        <v>5</v>
      </c>
    </row>
    <row r="282" spans="1:14" x14ac:dyDescent="0.3">
      <c r="A282" t="s">
        <v>311</v>
      </c>
      <c r="B282" t="str">
        <f>"13-2061"</f>
        <v>13-2061</v>
      </c>
      <c r="C282">
        <v>70.8</v>
      </c>
      <c r="D282">
        <v>83.5</v>
      </c>
      <c r="E282">
        <v>12.7</v>
      </c>
      <c r="F282">
        <v>17.899999999999999</v>
      </c>
      <c r="G282">
        <v>6.9</v>
      </c>
      <c r="H282" s="2">
        <v>81430</v>
      </c>
      <c r="I282" t="s">
        <v>15</v>
      </c>
      <c r="J282">
        <v>3</v>
      </c>
      <c r="K282" t="s">
        <v>16</v>
      </c>
      <c r="L282">
        <v>4</v>
      </c>
      <c r="M282" t="s">
        <v>20</v>
      </c>
      <c r="N282">
        <v>3</v>
      </c>
    </row>
    <row r="283" spans="1:14" x14ac:dyDescent="0.3">
      <c r="A283" t="s">
        <v>312</v>
      </c>
      <c r="B283" t="str">
        <f>"11-3031"</f>
        <v>11-3031</v>
      </c>
      <c r="C283">
        <v>681.7</v>
      </c>
      <c r="D283">
        <v>799.9</v>
      </c>
      <c r="E283">
        <v>118.2</v>
      </c>
      <c r="F283">
        <v>17.3</v>
      </c>
      <c r="G283">
        <v>64.2</v>
      </c>
      <c r="H283" s="2">
        <v>134180</v>
      </c>
      <c r="I283" t="s">
        <v>15</v>
      </c>
      <c r="J283">
        <v>3</v>
      </c>
      <c r="K283" t="s">
        <v>29</v>
      </c>
      <c r="L283">
        <v>1</v>
      </c>
      <c r="M283" t="s">
        <v>16</v>
      </c>
      <c r="N283">
        <v>6</v>
      </c>
    </row>
    <row r="284" spans="1:14" x14ac:dyDescent="0.3">
      <c r="A284" t="s">
        <v>313</v>
      </c>
      <c r="B284" t="str">
        <f>"27-1013"</f>
        <v>27-1013</v>
      </c>
      <c r="C284">
        <v>25.9</v>
      </c>
      <c r="D284">
        <v>30.4</v>
      </c>
      <c r="E284">
        <v>4.5</v>
      </c>
      <c r="F284">
        <v>17.3</v>
      </c>
      <c r="G284">
        <v>3.3</v>
      </c>
      <c r="H284" s="2">
        <v>52340</v>
      </c>
      <c r="I284" t="s">
        <v>15</v>
      </c>
      <c r="J284">
        <v>3</v>
      </c>
      <c r="K284" t="s">
        <v>16</v>
      </c>
      <c r="L284">
        <v>4</v>
      </c>
      <c r="M284" t="s">
        <v>20</v>
      </c>
      <c r="N284">
        <v>3</v>
      </c>
    </row>
    <row r="285" spans="1:14" x14ac:dyDescent="0.3">
      <c r="A285" t="s">
        <v>314</v>
      </c>
      <c r="B285" t="str">
        <f>"33-2021"</f>
        <v>33-2021</v>
      </c>
      <c r="C285">
        <v>14.7</v>
      </c>
      <c r="D285">
        <v>16</v>
      </c>
      <c r="E285">
        <v>1.3</v>
      </c>
      <c r="F285">
        <v>8.9</v>
      </c>
      <c r="G285">
        <v>1.7</v>
      </c>
      <c r="H285" s="2">
        <v>64610</v>
      </c>
      <c r="I285" t="s">
        <v>50</v>
      </c>
      <c r="J285">
        <v>5</v>
      </c>
      <c r="K285" t="s">
        <v>29</v>
      </c>
      <c r="L285">
        <v>1</v>
      </c>
      <c r="M285" t="s">
        <v>26</v>
      </c>
      <c r="N285">
        <v>4</v>
      </c>
    </row>
    <row r="286" spans="1:14" x14ac:dyDescent="0.3">
      <c r="A286" t="s">
        <v>315</v>
      </c>
      <c r="B286" t="str">
        <f>"33-2011"</f>
        <v>33-2011</v>
      </c>
      <c r="C286">
        <v>317.2</v>
      </c>
      <c r="D286">
        <v>344.1</v>
      </c>
      <c r="E286">
        <v>26.9</v>
      </c>
      <c r="F286">
        <v>8.5</v>
      </c>
      <c r="G286">
        <v>27</v>
      </c>
      <c r="H286" s="2">
        <v>52500</v>
      </c>
      <c r="I286" t="s">
        <v>50</v>
      </c>
      <c r="J286">
        <v>5</v>
      </c>
      <c r="K286" t="s">
        <v>16</v>
      </c>
      <c r="L286">
        <v>4</v>
      </c>
      <c r="M286" t="s">
        <v>20</v>
      </c>
      <c r="N286">
        <v>3</v>
      </c>
    </row>
    <row r="287" spans="1:14" x14ac:dyDescent="0.3">
      <c r="A287" t="s">
        <v>316</v>
      </c>
      <c r="B287" t="str">
        <f>"47-1011"</f>
        <v>47-1011</v>
      </c>
      <c r="C287">
        <v>692.2</v>
      </c>
      <c r="D287">
        <v>735.3</v>
      </c>
      <c r="E287">
        <v>43.1</v>
      </c>
      <c r="F287">
        <v>6.2</v>
      </c>
      <c r="G287">
        <v>70.7</v>
      </c>
      <c r="H287" s="2">
        <v>67840</v>
      </c>
      <c r="I287" t="s">
        <v>25</v>
      </c>
      <c r="J287">
        <v>7</v>
      </c>
      <c r="K287" t="s">
        <v>29</v>
      </c>
      <c r="L287">
        <v>1</v>
      </c>
      <c r="M287" t="s">
        <v>16</v>
      </c>
      <c r="N287">
        <v>6</v>
      </c>
    </row>
    <row r="288" spans="1:14" x14ac:dyDescent="0.3">
      <c r="A288" t="s">
        <v>317</v>
      </c>
      <c r="B288" t="str">
        <f>"33-1011"</f>
        <v>33-1011</v>
      </c>
      <c r="C288">
        <v>55.3</v>
      </c>
      <c r="D288">
        <v>53.8</v>
      </c>
      <c r="E288">
        <v>-1.5</v>
      </c>
      <c r="F288">
        <v>-2.8</v>
      </c>
      <c r="G288">
        <v>4.0999999999999996</v>
      </c>
      <c r="H288" s="2">
        <v>60910</v>
      </c>
      <c r="I288" t="s">
        <v>25</v>
      </c>
      <c r="J288">
        <v>7</v>
      </c>
      <c r="K288" t="s">
        <v>32</v>
      </c>
      <c r="L288">
        <v>2</v>
      </c>
      <c r="M288" t="s">
        <v>16</v>
      </c>
      <c r="N288">
        <v>6</v>
      </c>
    </row>
    <row r="289" spans="1:14" x14ac:dyDescent="0.3">
      <c r="A289" t="s">
        <v>318</v>
      </c>
      <c r="B289" t="str">
        <f>"45-1011"</f>
        <v>45-1011</v>
      </c>
      <c r="C289">
        <v>53.2</v>
      </c>
      <c r="D289">
        <v>57.8</v>
      </c>
      <c r="E289">
        <v>4.5999999999999996</v>
      </c>
      <c r="F289">
        <v>8.6999999999999993</v>
      </c>
      <c r="G289">
        <v>8.3000000000000007</v>
      </c>
      <c r="H289" s="2">
        <v>50080</v>
      </c>
      <c r="I289" t="s">
        <v>25</v>
      </c>
      <c r="J289">
        <v>7</v>
      </c>
      <c r="K289" t="s">
        <v>32</v>
      </c>
      <c r="L289">
        <v>2</v>
      </c>
      <c r="M289" t="s">
        <v>16</v>
      </c>
      <c r="N289">
        <v>6</v>
      </c>
    </row>
    <row r="290" spans="1:14" x14ac:dyDescent="0.3">
      <c r="A290" t="s">
        <v>319</v>
      </c>
      <c r="B290" t="str">
        <f>"33-1021"</f>
        <v>33-1021</v>
      </c>
      <c r="C290">
        <v>70.2</v>
      </c>
      <c r="D290">
        <v>76</v>
      </c>
      <c r="E290">
        <v>5.8</v>
      </c>
      <c r="F290">
        <v>8.1999999999999993</v>
      </c>
      <c r="G290">
        <v>5.3</v>
      </c>
      <c r="H290" s="2">
        <v>78870</v>
      </c>
      <c r="I290" t="s">
        <v>50</v>
      </c>
      <c r="J290">
        <v>5</v>
      </c>
      <c r="K290" t="s">
        <v>32</v>
      </c>
      <c r="L290">
        <v>2</v>
      </c>
      <c r="M290" t="s">
        <v>26</v>
      </c>
      <c r="N290">
        <v>4</v>
      </c>
    </row>
    <row r="291" spans="1:14" x14ac:dyDescent="0.3">
      <c r="A291" t="s">
        <v>320</v>
      </c>
      <c r="B291" t="str">
        <f>"35-1012"</f>
        <v>35-1012</v>
      </c>
      <c r="C291">
        <v>915.4</v>
      </c>
      <c r="D291" s="1">
        <v>1106.0999999999999</v>
      </c>
      <c r="E291">
        <v>190.8</v>
      </c>
      <c r="F291">
        <v>20.8</v>
      </c>
      <c r="G291">
        <v>167.2</v>
      </c>
      <c r="H291" s="2">
        <v>34570</v>
      </c>
      <c r="I291" t="s">
        <v>25</v>
      </c>
      <c r="J291">
        <v>7</v>
      </c>
      <c r="K291" t="s">
        <v>32</v>
      </c>
      <c r="L291">
        <v>2</v>
      </c>
      <c r="M291" t="s">
        <v>16</v>
      </c>
      <c r="N291">
        <v>6</v>
      </c>
    </row>
    <row r="292" spans="1:14" x14ac:dyDescent="0.3">
      <c r="A292" t="s">
        <v>321</v>
      </c>
      <c r="B292" t="str">
        <f>"39-1013"</f>
        <v>39-1013</v>
      </c>
      <c r="C292">
        <v>22</v>
      </c>
      <c r="D292">
        <v>26.7</v>
      </c>
      <c r="E292">
        <v>4.7</v>
      </c>
      <c r="F292">
        <v>21.4</v>
      </c>
      <c r="G292">
        <v>3</v>
      </c>
      <c r="H292" s="2">
        <v>50440</v>
      </c>
      <c r="I292" t="s">
        <v>25</v>
      </c>
      <c r="J292">
        <v>7</v>
      </c>
      <c r="K292" t="s">
        <v>32</v>
      </c>
      <c r="L292">
        <v>2</v>
      </c>
      <c r="M292" t="s">
        <v>16</v>
      </c>
      <c r="N292">
        <v>6</v>
      </c>
    </row>
    <row r="293" spans="1:14" x14ac:dyDescent="0.3">
      <c r="A293" t="s">
        <v>322</v>
      </c>
      <c r="B293" t="str">
        <f>"37-1011"</f>
        <v>37-1011</v>
      </c>
      <c r="C293">
        <v>225.5</v>
      </c>
      <c r="D293">
        <v>238.8</v>
      </c>
      <c r="E293">
        <v>13.2</v>
      </c>
      <c r="F293">
        <v>5.9</v>
      </c>
      <c r="G293">
        <v>27.3</v>
      </c>
      <c r="H293" s="2">
        <v>42040</v>
      </c>
      <c r="I293" t="s">
        <v>25</v>
      </c>
      <c r="J293">
        <v>7</v>
      </c>
      <c r="K293" t="s">
        <v>32</v>
      </c>
      <c r="L293">
        <v>2</v>
      </c>
      <c r="M293" t="s">
        <v>16</v>
      </c>
      <c r="N293">
        <v>6</v>
      </c>
    </row>
    <row r="294" spans="1:14" x14ac:dyDescent="0.3">
      <c r="A294" t="s">
        <v>323</v>
      </c>
      <c r="B294" t="str">
        <f>"37-1012"</f>
        <v>37-1012</v>
      </c>
      <c r="C294">
        <v>181.3</v>
      </c>
      <c r="D294">
        <v>188.6</v>
      </c>
      <c r="E294">
        <v>7.3</v>
      </c>
      <c r="F294">
        <v>4</v>
      </c>
      <c r="G294">
        <v>19.7</v>
      </c>
      <c r="H294" s="2">
        <v>51010</v>
      </c>
      <c r="I294" t="s">
        <v>25</v>
      </c>
      <c r="J294">
        <v>7</v>
      </c>
      <c r="K294" t="s">
        <v>32</v>
      </c>
      <c r="L294">
        <v>2</v>
      </c>
      <c r="M294" t="s">
        <v>16</v>
      </c>
      <c r="N294">
        <v>6</v>
      </c>
    </row>
    <row r="295" spans="1:14" x14ac:dyDescent="0.3">
      <c r="A295" t="s">
        <v>324</v>
      </c>
      <c r="B295" t="str">
        <f>"49-1011"</f>
        <v>49-1011</v>
      </c>
      <c r="C295">
        <v>484.1</v>
      </c>
      <c r="D295">
        <v>515.79999999999995</v>
      </c>
      <c r="E295">
        <v>31.7</v>
      </c>
      <c r="F295">
        <v>6.6</v>
      </c>
      <c r="G295">
        <v>47.4</v>
      </c>
      <c r="H295" s="2">
        <v>70240</v>
      </c>
      <c r="I295" t="s">
        <v>25</v>
      </c>
      <c r="J295">
        <v>7</v>
      </c>
      <c r="K295" t="s">
        <v>32</v>
      </c>
      <c r="L295">
        <v>2</v>
      </c>
      <c r="M295" t="s">
        <v>16</v>
      </c>
      <c r="N295">
        <v>6</v>
      </c>
    </row>
    <row r="296" spans="1:14" x14ac:dyDescent="0.3">
      <c r="A296" t="s">
        <v>325</v>
      </c>
      <c r="B296" t="str">
        <f>"41-1012"</f>
        <v>41-1012</v>
      </c>
      <c r="C296">
        <v>376.4</v>
      </c>
      <c r="D296">
        <v>357.6</v>
      </c>
      <c r="E296">
        <v>-18.8</v>
      </c>
      <c r="F296">
        <v>-5</v>
      </c>
      <c r="G296">
        <v>30.6</v>
      </c>
      <c r="H296" s="2">
        <v>78560</v>
      </c>
      <c r="I296" t="s">
        <v>25</v>
      </c>
      <c r="J296">
        <v>7</v>
      </c>
      <c r="K296" t="s">
        <v>32</v>
      </c>
      <c r="L296">
        <v>2</v>
      </c>
      <c r="M296" t="s">
        <v>16</v>
      </c>
      <c r="N296">
        <v>6</v>
      </c>
    </row>
    <row r="297" spans="1:14" x14ac:dyDescent="0.3">
      <c r="A297" t="s">
        <v>326</v>
      </c>
      <c r="B297" t="str">
        <f>"43-1011"</f>
        <v>43-1011</v>
      </c>
      <c r="C297" s="1">
        <v>1487.3</v>
      </c>
      <c r="D297" s="1">
        <v>1464.4</v>
      </c>
      <c r="E297">
        <v>-22.9</v>
      </c>
      <c r="F297">
        <v>-1.5</v>
      </c>
      <c r="G297">
        <v>142.69999999999999</v>
      </c>
      <c r="H297" s="2">
        <v>58450</v>
      </c>
      <c r="I297" t="s">
        <v>25</v>
      </c>
      <c r="J297">
        <v>7</v>
      </c>
      <c r="K297" t="s">
        <v>32</v>
      </c>
      <c r="L297">
        <v>2</v>
      </c>
      <c r="M297" t="s">
        <v>16</v>
      </c>
      <c r="N297">
        <v>6</v>
      </c>
    </row>
    <row r="298" spans="1:14" x14ac:dyDescent="0.3">
      <c r="A298" t="s">
        <v>327</v>
      </c>
      <c r="B298" t="str">
        <f>"39-1098"</f>
        <v>39-1098</v>
      </c>
      <c r="C298">
        <v>200.4</v>
      </c>
      <c r="D298">
        <v>248.8</v>
      </c>
      <c r="E298">
        <v>48.4</v>
      </c>
      <c r="F298">
        <v>24.2</v>
      </c>
      <c r="G298">
        <v>28.6</v>
      </c>
      <c r="H298" s="2">
        <v>42000</v>
      </c>
      <c r="I298" t="s">
        <v>25</v>
      </c>
      <c r="J298">
        <v>7</v>
      </c>
      <c r="K298" t="s">
        <v>32</v>
      </c>
      <c r="L298">
        <v>2</v>
      </c>
      <c r="M298" t="s">
        <v>16</v>
      </c>
      <c r="N298">
        <v>6</v>
      </c>
    </row>
    <row r="299" spans="1:14" x14ac:dyDescent="0.3">
      <c r="A299" t="s">
        <v>328</v>
      </c>
      <c r="B299" t="str">
        <f>"33-1012"</f>
        <v>33-1012</v>
      </c>
      <c r="C299">
        <v>125.8</v>
      </c>
      <c r="D299">
        <v>134.30000000000001</v>
      </c>
      <c r="E299">
        <v>8.5</v>
      </c>
      <c r="F299">
        <v>6.8</v>
      </c>
      <c r="G299">
        <v>9.1</v>
      </c>
      <c r="H299" s="2">
        <v>92970</v>
      </c>
      <c r="I299" t="s">
        <v>25</v>
      </c>
      <c r="J299">
        <v>7</v>
      </c>
      <c r="K299" t="s">
        <v>32</v>
      </c>
      <c r="L299">
        <v>2</v>
      </c>
      <c r="M299" t="s">
        <v>26</v>
      </c>
      <c r="N299">
        <v>4</v>
      </c>
    </row>
    <row r="300" spans="1:14" x14ac:dyDescent="0.3">
      <c r="A300" t="s">
        <v>329</v>
      </c>
      <c r="B300" t="str">
        <f>"51-1011"</f>
        <v>51-1011</v>
      </c>
      <c r="C300">
        <v>616.79999999999995</v>
      </c>
      <c r="D300">
        <v>639.6</v>
      </c>
      <c r="E300">
        <v>22.7</v>
      </c>
      <c r="F300">
        <v>3.7</v>
      </c>
      <c r="G300">
        <v>63.4</v>
      </c>
      <c r="H300" s="2">
        <v>62850</v>
      </c>
      <c r="I300" t="s">
        <v>25</v>
      </c>
      <c r="J300">
        <v>7</v>
      </c>
      <c r="K300" t="s">
        <v>32</v>
      </c>
      <c r="L300">
        <v>2</v>
      </c>
      <c r="M300" t="s">
        <v>16</v>
      </c>
      <c r="N300">
        <v>6</v>
      </c>
    </row>
    <row r="301" spans="1:14" x14ac:dyDescent="0.3">
      <c r="A301" t="s">
        <v>330</v>
      </c>
      <c r="B301" t="str">
        <f>"41-1011"</f>
        <v>41-1011</v>
      </c>
      <c r="C301" s="1">
        <v>1390.6</v>
      </c>
      <c r="D301" s="1">
        <v>1300.4000000000001</v>
      </c>
      <c r="E301">
        <v>-90.2</v>
      </c>
      <c r="F301">
        <v>-6.5</v>
      </c>
      <c r="G301">
        <v>131.80000000000001</v>
      </c>
      <c r="H301" s="2">
        <v>41580</v>
      </c>
      <c r="I301" t="s">
        <v>25</v>
      </c>
      <c r="J301">
        <v>7</v>
      </c>
      <c r="K301" t="s">
        <v>32</v>
      </c>
      <c r="L301">
        <v>2</v>
      </c>
      <c r="M301" t="s">
        <v>16</v>
      </c>
      <c r="N301">
        <v>6</v>
      </c>
    </row>
    <row r="302" spans="1:14" x14ac:dyDescent="0.3">
      <c r="A302" t="s">
        <v>331</v>
      </c>
      <c r="B302" t="str">
        <f>"53-1047"</f>
        <v>53-1047</v>
      </c>
      <c r="C302">
        <v>536.1</v>
      </c>
      <c r="D302">
        <v>567</v>
      </c>
      <c r="E302">
        <v>30.9</v>
      </c>
      <c r="F302">
        <v>5.8</v>
      </c>
      <c r="G302">
        <v>61.5</v>
      </c>
      <c r="H302" s="2">
        <v>54870</v>
      </c>
      <c r="I302" t="s">
        <v>25</v>
      </c>
      <c r="J302">
        <v>7</v>
      </c>
      <c r="K302" t="s">
        <v>32</v>
      </c>
      <c r="L302">
        <v>2</v>
      </c>
      <c r="M302" t="s">
        <v>16</v>
      </c>
      <c r="N302">
        <v>6</v>
      </c>
    </row>
    <row r="303" spans="1:14" x14ac:dyDescent="0.3">
      <c r="A303" t="s">
        <v>332</v>
      </c>
      <c r="B303" t="str">
        <f>"33-3031"</f>
        <v>33-3031</v>
      </c>
      <c r="C303">
        <v>7.5</v>
      </c>
      <c r="D303">
        <v>7.5</v>
      </c>
      <c r="E303">
        <v>0</v>
      </c>
      <c r="F303">
        <v>0.2</v>
      </c>
      <c r="G303">
        <v>0.8</v>
      </c>
      <c r="H303" s="2">
        <v>58040</v>
      </c>
      <c r="I303" t="s">
        <v>15</v>
      </c>
      <c r="J303">
        <v>3</v>
      </c>
      <c r="K303" t="s">
        <v>16</v>
      </c>
      <c r="L303">
        <v>4</v>
      </c>
      <c r="M303" t="s">
        <v>26</v>
      </c>
      <c r="N303">
        <v>4</v>
      </c>
    </row>
    <row r="304" spans="1:14" x14ac:dyDescent="0.3">
      <c r="A304" t="s">
        <v>333</v>
      </c>
      <c r="B304" t="str">
        <f>"45-3031"</f>
        <v>45-3031</v>
      </c>
      <c r="C304">
        <v>32.299999999999997</v>
      </c>
      <c r="D304">
        <v>35.799999999999997</v>
      </c>
      <c r="E304">
        <v>3.4</v>
      </c>
      <c r="F304">
        <v>10.6</v>
      </c>
      <c r="G304">
        <v>5.3</v>
      </c>
      <c r="H304" s="2" t="s">
        <v>18</v>
      </c>
      <c r="I304" t="s">
        <v>43</v>
      </c>
      <c r="J304">
        <v>8</v>
      </c>
      <c r="K304" t="s">
        <v>16</v>
      </c>
      <c r="L304">
        <v>4</v>
      </c>
      <c r="M304" t="s">
        <v>26</v>
      </c>
      <c r="N304">
        <v>4</v>
      </c>
    </row>
    <row r="305" spans="1:14" x14ac:dyDescent="0.3">
      <c r="A305" t="s">
        <v>334</v>
      </c>
      <c r="B305" t="str">
        <f>"53-2031"</f>
        <v>53-2031</v>
      </c>
      <c r="C305">
        <v>102.5</v>
      </c>
      <c r="D305">
        <v>133.6</v>
      </c>
      <c r="E305">
        <v>31.1</v>
      </c>
      <c r="F305">
        <v>30.4</v>
      </c>
      <c r="G305">
        <v>17.600000000000001</v>
      </c>
      <c r="H305" s="2">
        <v>59050</v>
      </c>
      <c r="I305" t="s">
        <v>25</v>
      </c>
      <c r="J305">
        <v>7</v>
      </c>
      <c r="K305" t="s">
        <v>32</v>
      </c>
      <c r="L305">
        <v>2</v>
      </c>
      <c r="M305" t="s">
        <v>26</v>
      </c>
      <c r="N305">
        <v>4</v>
      </c>
    </row>
    <row r="306" spans="1:14" x14ac:dyDescent="0.3">
      <c r="A306" t="s">
        <v>335</v>
      </c>
      <c r="B306" t="str">
        <f>"47-2042"</f>
        <v>47-2042</v>
      </c>
      <c r="C306">
        <v>23.7</v>
      </c>
      <c r="D306">
        <v>26.6</v>
      </c>
      <c r="E306">
        <v>2.9</v>
      </c>
      <c r="F306">
        <v>12.3</v>
      </c>
      <c r="G306">
        <v>2.4</v>
      </c>
      <c r="H306" s="2">
        <v>45520</v>
      </c>
      <c r="I306" t="s">
        <v>43</v>
      </c>
      <c r="J306">
        <v>8</v>
      </c>
      <c r="K306" t="s">
        <v>16</v>
      </c>
      <c r="L306">
        <v>4</v>
      </c>
      <c r="M306" t="s">
        <v>26</v>
      </c>
      <c r="N306">
        <v>4</v>
      </c>
    </row>
    <row r="307" spans="1:14" x14ac:dyDescent="0.3">
      <c r="A307" t="s">
        <v>336</v>
      </c>
      <c r="B307" t="str">
        <f>"47-2043"</f>
        <v>47-2043</v>
      </c>
      <c r="C307">
        <v>7.2</v>
      </c>
      <c r="D307">
        <v>7.5</v>
      </c>
      <c r="E307">
        <v>0.3</v>
      </c>
      <c r="F307">
        <v>4.5</v>
      </c>
      <c r="G307">
        <v>0.7</v>
      </c>
      <c r="H307" s="2">
        <v>38850</v>
      </c>
      <c r="I307" t="s">
        <v>43</v>
      </c>
      <c r="J307">
        <v>8</v>
      </c>
      <c r="K307" t="s">
        <v>16</v>
      </c>
      <c r="L307">
        <v>4</v>
      </c>
      <c r="M307" t="s">
        <v>26</v>
      </c>
      <c r="N307">
        <v>4</v>
      </c>
    </row>
    <row r="308" spans="1:14" x14ac:dyDescent="0.3">
      <c r="A308" t="s">
        <v>337</v>
      </c>
      <c r="B308" t="str">
        <f>"27-1023"</f>
        <v>27-1023</v>
      </c>
      <c r="C308">
        <v>42.3</v>
      </c>
      <c r="D308">
        <v>33.799999999999997</v>
      </c>
      <c r="E308">
        <v>-8.5</v>
      </c>
      <c r="F308">
        <v>-20.100000000000001</v>
      </c>
      <c r="G308">
        <v>2.6</v>
      </c>
      <c r="H308" s="2">
        <v>29140</v>
      </c>
      <c r="I308" t="s">
        <v>25</v>
      </c>
      <c r="J308">
        <v>7</v>
      </c>
      <c r="K308" t="s">
        <v>16</v>
      </c>
      <c r="L308">
        <v>4</v>
      </c>
      <c r="M308" t="s">
        <v>26</v>
      </c>
      <c r="N308">
        <v>4</v>
      </c>
    </row>
    <row r="309" spans="1:14" x14ac:dyDescent="0.3">
      <c r="A309" t="s">
        <v>338</v>
      </c>
      <c r="B309" t="str">
        <f>"51-3091"</f>
        <v>51-3091</v>
      </c>
      <c r="C309">
        <v>19</v>
      </c>
      <c r="D309">
        <v>19.899999999999999</v>
      </c>
      <c r="E309">
        <v>0.8</v>
      </c>
      <c r="F309">
        <v>4.4000000000000004</v>
      </c>
      <c r="G309">
        <v>2.2999999999999998</v>
      </c>
      <c r="H309" s="2">
        <v>32480</v>
      </c>
      <c r="I309" t="s">
        <v>43</v>
      </c>
      <c r="J309">
        <v>8</v>
      </c>
      <c r="K309" t="s">
        <v>16</v>
      </c>
      <c r="L309">
        <v>4</v>
      </c>
      <c r="M309" t="s">
        <v>26</v>
      </c>
      <c r="N309">
        <v>4</v>
      </c>
    </row>
    <row r="310" spans="1:14" x14ac:dyDescent="0.3">
      <c r="A310" t="s">
        <v>339</v>
      </c>
      <c r="B310" t="str">
        <f>"51-3092"</f>
        <v>51-3092</v>
      </c>
      <c r="C310">
        <v>159.30000000000001</v>
      </c>
      <c r="D310">
        <v>168.3</v>
      </c>
      <c r="E310">
        <v>8.9</v>
      </c>
      <c r="F310">
        <v>5.6</v>
      </c>
      <c r="G310">
        <v>20.7</v>
      </c>
      <c r="H310" s="2">
        <v>32710</v>
      </c>
      <c r="I310" t="s">
        <v>25</v>
      </c>
      <c r="J310">
        <v>7</v>
      </c>
      <c r="K310" t="s">
        <v>16</v>
      </c>
      <c r="L310">
        <v>4</v>
      </c>
      <c r="M310" t="s">
        <v>26</v>
      </c>
      <c r="N310">
        <v>4</v>
      </c>
    </row>
    <row r="311" spans="1:14" x14ac:dyDescent="0.3">
      <c r="A311" t="s">
        <v>340</v>
      </c>
      <c r="B311" t="str">
        <f>"51-3093"</f>
        <v>51-3093</v>
      </c>
      <c r="C311">
        <v>26.8</v>
      </c>
      <c r="D311">
        <v>28.2</v>
      </c>
      <c r="E311">
        <v>1.4</v>
      </c>
      <c r="F311">
        <v>5.0999999999999996</v>
      </c>
      <c r="G311">
        <v>4.8</v>
      </c>
      <c r="H311" s="2">
        <v>33010</v>
      </c>
      <c r="I311" t="s">
        <v>25</v>
      </c>
      <c r="J311">
        <v>7</v>
      </c>
      <c r="K311" t="s">
        <v>16</v>
      </c>
      <c r="L311">
        <v>4</v>
      </c>
      <c r="M311" t="s">
        <v>26</v>
      </c>
      <c r="N311">
        <v>4</v>
      </c>
    </row>
    <row r="312" spans="1:14" x14ac:dyDescent="0.3">
      <c r="A312" t="s">
        <v>341</v>
      </c>
      <c r="B312" t="str">
        <f>"35-9099"</f>
        <v>35-9099</v>
      </c>
      <c r="C312">
        <v>71.2</v>
      </c>
      <c r="D312">
        <v>87.4</v>
      </c>
      <c r="E312">
        <v>16.2</v>
      </c>
      <c r="F312">
        <v>22.8</v>
      </c>
      <c r="G312">
        <v>15.3</v>
      </c>
      <c r="H312" s="2">
        <v>27080</v>
      </c>
      <c r="I312" t="s">
        <v>43</v>
      </c>
      <c r="J312">
        <v>8</v>
      </c>
      <c r="K312" t="s">
        <v>16</v>
      </c>
      <c r="L312">
        <v>4</v>
      </c>
      <c r="M312" t="s">
        <v>30</v>
      </c>
      <c r="N312">
        <v>5</v>
      </c>
    </row>
    <row r="313" spans="1:14" x14ac:dyDescent="0.3">
      <c r="A313" t="s">
        <v>342</v>
      </c>
      <c r="B313" t="str">
        <f>"35-2021"</f>
        <v>35-2021</v>
      </c>
      <c r="C313">
        <v>821.2</v>
      </c>
      <c r="D313">
        <v>873.8</v>
      </c>
      <c r="E313">
        <v>52.6</v>
      </c>
      <c r="F313">
        <v>6.4</v>
      </c>
      <c r="G313">
        <v>149.80000000000001</v>
      </c>
      <c r="H313" s="2">
        <v>26070</v>
      </c>
      <c r="I313" t="s">
        <v>43</v>
      </c>
      <c r="J313">
        <v>8</v>
      </c>
      <c r="K313" t="s">
        <v>16</v>
      </c>
      <c r="L313">
        <v>4</v>
      </c>
      <c r="M313" t="s">
        <v>30</v>
      </c>
      <c r="N313">
        <v>5</v>
      </c>
    </row>
    <row r="314" spans="1:14" x14ac:dyDescent="0.3">
      <c r="A314" t="s">
        <v>343</v>
      </c>
      <c r="B314" t="str">
        <f>"51-3099"</f>
        <v>51-3099</v>
      </c>
      <c r="C314">
        <v>45</v>
      </c>
      <c r="D314">
        <v>46.7</v>
      </c>
      <c r="E314">
        <v>1.7</v>
      </c>
      <c r="F314">
        <v>3.8</v>
      </c>
      <c r="G314">
        <v>4.8</v>
      </c>
      <c r="H314" s="2">
        <v>29620</v>
      </c>
      <c r="I314" t="s">
        <v>43</v>
      </c>
      <c r="J314">
        <v>8</v>
      </c>
      <c r="K314" t="s">
        <v>16</v>
      </c>
      <c r="L314">
        <v>4</v>
      </c>
      <c r="M314" t="s">
        <v>26</v>
      </c>
      <c r="N314">
        <v>4</v>
      </c>
    </row>
    <row r="315" spans="1:14" x14ac:dyDescent="0.3">
      <c r="A315" t="s">
        <v>344</v>
      </c>
      <c r="B315" t="str">
        <f>"19-1012"</f>
        <v>19-1012</v>
      </c>
      <c r="C315">
        <v>15</v>
      </c>
      <c r="D315">
        <v>16.100000000000001</v>
      </c>
      <c r="E315">
        <v>1</v>
      </c>
      <c r="F315">
        <v>6.7</v>
      </c>
      <c r="G315">
        <v>1.7</v>
      </c>
      <c r="H315" s="2">
        <v>73450</v>
      </c>
      <c r="I315" t="s">
        <v>15</v>
      </c>
      <c r="J315">
        <v>3</v>
      </c>
      <c r="K315" t="s">
        <v>16</v>
      </c>
      <c r="L315">
        <v>4</v>
      </c>
      <c r="M315" t="s">
        <v>16</v>
      </c>
      <c r="N315">
        <v>6</v>
      </c>
    </row>
    <row r="316" spans="1:14" x14ac:dyDescent="0.3">
      <c r="A316" t="s">
        <v>345</v>
      </c>
      <c r="B316" t="str">
        <f>"35-3041"</f>
        <v>35-3041</v>
      </c>
      <c r="C316">
        <v>251.3</v>
      </c>
      <c r="D316">
        <v>286</v>
      </c>
      <c r="E316">
        <v>34.700000000000003</v>
      </c>
      <c r="F316">
        <v>13.8</v>
      </c>
      <c r="G316">
        <v>45.7</v>
      </c>
      <c r="H316" s="2">
        <v>25910</v>
      </c>
      <c r="I316" t="s">
        <v>43</v>
      </c>
      <c r="J316">
        <v>8</v>
      </c>
      <c r="K316" t="s">
        <v>16</v>
      </c>
      <c r="L316">
        <v>4</v>
      </c>
      <c r="M316" t="s">
        <v>30</v>
      </c>
      <c r="N316">
        <v>5</v>
      </c>
    </row>
    <row r="317" spans="1:14" x14ac:dyDescent="0.3">
      <c r="A317" t="s">
        <v>346</v>
      </c>
      <c r="B317" t="str">
        <f>"11-9051"</f>
        <v>11-9051</v>
      </c>
      <c r="C317">
        <v>309.8</v>
      </c>
      <c r="D317">
        <v>355.9</v>
      </c>
      <c r="E317">
        <v>46.2</v>
      </c>
      <c r="F317">
        <v>14.9</v>
      </c>
      <c r="G317">
        <v>41.4</v>
      </c>
      <c r="H317" s="2">
        <v>56590</v>
      </c>
      <c r="I317" t="s">
        <v>25</v>
      </c>
      <c r="J317">
        <v>7</v>
      </c>
      <c r="K317" t="s">
        <v>32</v>
      </c>
      <c r="L317">
        <v>2</v>
      </c>
      <c r="M317" t="s">
        <v>16</v>
      </c>
      <c r="N317">
        <v>6</v>
      </c>
    </row>
    <row r="318" spans="1:14" x14ac:dyDescent="0.3">
      <c r="A318" t="s">
        <v>347</v>
      </c>
      <c r="B318" t="str">
        <f>"25-1124"</f>
        <v>25-1124</v>
      </c>
      <c r="C318">
        <v>27.1</v>
      </c>
      <c r="D318">
        <v>29.7</v>
      </c>
      <c r="E318">
        <v>2.6</v>
      </c>
      <c r="F318">
        <v>9.4</v>
      </c>
      <c r="G318">
        <v>2.9</v>
      </c>
      <c r="H318" s="2">
        <v>69920</v>
      </c>
      <c r="I318" t="s">
        <v>28</v>
      </c>
      <c r="J318">
        <v>1</v>
      </c>
      <c r="K318" t="s">
        <v>16</v>
      </c>
      <c r="L318">
        <v>4</v>
      </c>
      <c r="M318" t="s">
        <v>16</v>
      </c>
      <c r="N318">
        <v>6</v>
      </c>
    </row>
    <row r="319" spans="1:14" x14ac:dyDescent="0.3">
      <c r="A319" t="s">
        <v>348</v>
      </c>
      <c r="B319" t="str">
        <f>"19-4092"</f>
        <v>19-4092</v>
      </c>
      <c r="C319">
        <v>17.2</v>
      </c>
      <c r="D319">
        <v>19.8</v>
      </c>
      <c r="E319">
        <v>2.7</v>
      </c>
      <c r="F319">
        <v>15.6</v>
      </c>
      <c r="G319">
        <v>2.5</v>
      </c>
      <c r="H319" s="2">
        <v>60590</v>
      </c>
      <c r="I319" t="s">
        <v>15</v>
      </c>
      <c r="J319">
        <v>3</v>
      </c>
      <c r="K319" t="s">
        <v>16</v>
      </c>
      <c r="L319">
        <v>4</v>
      </c>
      <c r="M319" t="s">
        <v>26</v>
      </c>
      <c r="N319">
        <v>4</v>
      </c>
    </row>
    <row r="320" spans="1:14" x14ac:dyDescent="0.3">
      <c r="A320" t="s">
        <v>349</v>
      </c>
      <c r="B320" t="str">
        <f>"19-4071"</f>
        <v>19-4071</v>
      </c>
      <c r="C320">
        <v>33</v>
      </c>
      <c r="D320">
        <v>33.299999999999997</v>
      </c>
      <c r="E320">
        <v>0.2</v>
      </c>
      <c r="F320">
        <v>0.7</v>
      </c>
      <c r="G320">
        <v>4</v>
      </c>
      <c r="H320" s="2">
        <v>38940</v>
      </c>
      <c r="I320" t="s">
        <v>37</v>
      </c>
      <c r="J320">
        <v>4</v>
      </c>
      <c r="K320" t="s">
        <v>16</v>
      </c>
      <c r="L320">
        <v>4</v>
      </c>
      <c r="M320" t="s">
        <v>16</v>
      </c>
      <c r="N320">
        <v>6</v>
      </c>
    </row>
    <row r="321" spans="1:14" x14ac:dyDescent="0.3">
      <c r="A321" t="s">
        <v>350</v>
      </c>
      <c r="B321" t="str">
        <f>"45-4011"</f>
        <v>45-4011</v>
      </c>
      <c r="C321">
        <v>12.6</v>
      </c>
      <c r="D321">
        <v>11.6</v>
      </c>
      <c r="E321">
        <v>-1</v>
      </c>
      <c r="F321">
        <v>-8</v>
      </c>
      <c r="G321">
        <v>1.8</v>
      </c>
      <c r="H321" s="2">
        <v>30640</v>
      </c>
      <c r="I321" t="s">
        <v>25</v>
      </c>
      <c r="J321">
        <v>7</v>
      </c>
      <c r="K321" t="s">
        <v>16</v>
      </c>
      <c r="L321">
        <v>4</v>
      </c>
      <c r="M321" t="s">
        <v>26</v>
      </c>
      <c r="N321">
        <v>4</v>
      </c>
    </row>
    <row r="322" spans="1:14" x14ac:dyDescent="0.3">
      <c r="A322" t="s">
        <v>351</v>
      </c>
      <c r="B322" t="str">
        <f>"33-2022"</f>
        <v>33-2022</v>
      </c>
      <c r="C322">
        <v>3</v>
      </c>
      <c r="D322">
        <v>3.7</v>
      </c>
      <c r="E322">
        <v>0.7</v>
      </c>
      <c r="F322">
        <v>23.9</v>
      </c>
      <c r="G322">
        <v>0.4</v>
      </c>
      <c r="H322" s="2">
        <v>42150</v>
      </c>
      <c r="I322" t="s">
        <v>25</v>
      </c>
      <c r="J322">
        <v>7</v>
      </c>
      <c r="K322" t="s">
        <v>32</v>
      </c>
      <c r="L322">
        <v>2</v>
      </c>
      <c r="M322" t="s">
        <v>26</v>
      </c>
      <c r="N322">
        <v>4</v>
      </c>
    </row>
    <row r="323" spans="1:14" x14ac:dyDescent="0.3">
      <c r="A323" t="s">
        <v>352</v>
      </c>
      <c r="B323" t="str">
        <f>"19-1032"</f>
        <v>19-1032</v>
      </c>
      <c r="C323">
        <v>13.7</v>
      </c>
      <c r="D323">
        <v>15.1</v>
      </c>
      <c r="E323">
        <v>1.4</v>
      </c>
      <c r="F323">
        <v>10</v>
      </c>
      <c r="G323">
        <v>1.4</v>
      </c>
      <c r="H323" s="2">
        <v>63980</v>
      </c>
      <c r="I323" t="s">
        <v>15</v>
      </c>
      <c r="J323">
        <v>3</v>
      </c>
      <c r="K323" t="s">
        <v>16</v>
      </c>
      <c r="L323">
        <v>4</v>
      </c>
      <c r="M323" t="s">
        <v>16</v>
      </c>
      <c r="N323">
        <v>6</v>
      </c>
    </row>
    <row r="324" spans="1:14" x14ac:dyDescent="0.3">
      <c r="A324" t="s">
        <v>353</v>
      </c>
      <c r="B324" t="str">
        <f>"25-1043"</f>
        <v>25-1043</v>
      </c>
      <c r="C324">
        <v>1.7</v>
      </c>
      <c r="D324">
        <v>1.8</v>
      </c>
      <c r="E324">
        <v>0.1</v>
      </c>
      <c r="F324">
        <v>5.5</v>
      </c>
      <c r="G324">
        <v>0.2</v>
      </c>
      <c r="H324" s="2">
        <v>87400</v>
      </c>
      <c r="I324" t="s">
        <v>28</v>
      </c>
      <c r="J324">
        <v>1</v>
      </c>
      <c r="K324" t="s">
        <v>16</v>
      </c>
      <c r="L324">
        <v>4</v>
      </c>
      <c r="M324" t="s">
        <v>16</v>
      </c>
      <c r="N324">
        <v>6</v>
      </c>
    </row>
    <row r="325" spans="1:14" x14ac:dyDescent="0.3">
      <c r="A325" t="s">
        <v>354</v>
      </c>
      <c r="B325" t="str">
        <f>"51-4022"</f>
        <v>51-4022</v>
      </c>
      <c r="C325">
        <v>13.7</v>
      </c>
      <c r="D325">
        <v>11.9</v>
      </c>
      <c r="E325">
        <v>-1.8</v>
      </c>
      <c r="F325">
        <v>-13.2</v>
      </c>
      <c r="G325">
        <v>1.1000000000000001</v>
      </c>
      <c r="H325" s="2">
        <v>41430</v>
      </c>
      <c r="I325" t="s">
        <v>25</v>
      </c>
      <c r="J325">
        <v>7</v>
      </c>
      <c r="K325" t="s">
        <v>16</v>
      </c>
      <c r="L325">
        <v>4</v>
      </c>
      <c r="M325" t="s">
        <v>26</v>
      </c>
      <c r="N325">
        <v>4</v>
      </c>
    </row>
    <row r="326" spans="1:14" x14ac:dyDescent="0.3">
      <c r="A326" t="s">
        <v>355</v>
      </c>
      <c r="B326" t="str">
        <f>"51-4071"</f>
        <v>51-4071</v>
      </c>
      <c r="C326">
        <v>15.8</v>
      </c>
      <c r="D326">
        <v>15.3</v>
      </c>
      <c r="E326">
        <v>-0.5</v>
      </c>
      <c r="F326">
        <v>-3.3</v>
      </c>
      <c r="G326">
        <v>1.5</v>
      </c>
      <c r="H326" s="2">
        <v>37140</v>
      </c>
      <c r="I326" t="s">
        <v>25</v>
      </c>
      <c r="J326">
        <v>7</v>
      </c>
      <c r="K326" t="s">
        <v>16</v>
      </c>
      <c r="L326">
        <v>4</v>
      </c>
      <c r="M326" t="s">
        <v>26</v>
      </c>
      <c r="N326">
        <v>4</v>
      </c>
    </row>
    <row r="327" spans="1:14" x14ac:dyDescent="0.3">
      <c r="A327" t="s">
        <v>356</v>
      </c>
      <c r="B327" t="str">
        <f>"13-1131"</f>
        <v>13-1131</v>
      </c>
      <c r="C327">
        <v>101.3</v>
      </c>
      <c r="D327">
        <v>117.5</v>
      </c>
      <c r="E327">
        <v>16.100000000000001</v>
      </c>
      <c r="F327">
        <v>15.9</v>
      </c>
      <c r="G327">
        <v>12</v>
      </c>
      <c r="H327" s="2">
        <v>59610</v>
      </c>
      <c r="I327" t="s">
        <v>15</v>
      </c>
      <c r="J327">
        <v>3</v>
      </c>
      <c r="K327" t="s">
        <v>16</v>
      </c>
      <c r="L327">
        <v>4</v>
      </c>
      <c r="M327" t="s">
        <v>16</v>
      </c>
      <c r="N327">
        <v>6</v>
      </c>
    </row>
    <row r="328" spans="1:14" x14ac:dyDescent="0.3">
      <c r="A328" t="s">
        <v>357</v>
      </c>
      <c r="B328" t="str">
        <f>"39-4021"</f>
        <v>39-4021</v>
      </c>
      <c r="C328">
        <v>42.3</v>
      </c>
      <c r="D328">
        <v>43.7</v>
      </c>
      <c r="E328">
        <v>1.4</v>
      </c>
      <c r="F328">
        <v>3.3</v>
      </c>
      <c r="G328">
        <v>5.8</v>
      </c>
      <c r="H328" s="2">
        <v>29150</v>
      </c>
      <c r="I328" t="s">
        <v>25</v>
      </c>
      <c r="J328">
        <v>7</v>
      </c>
      <c r="K328" t="s">
        <v>16</v>
      </c>
      <c r="L328">
        <v>4</v>
      </c>
      <c r="M328" t="s">
        <v>30</v>
      </c>
      <c r="N328">
        <v>5</v>
      </c>
    </row>
    <row r="329" spans="1:14" x14ac:dyDescent="0.3">
      <c r="A329" t="s">
        <v>358</v>
      </c>
      <c r="B329" t="str">
        <f>"11-9171"</f>
        <v>11-9171</v>
      </c>
      <c r="C329">
        <v>12.5</v>
      </c>
      <c r="D329">
        <v>12.9</v>
      </c>
      <c r="E329">
        <v>0.4</v>
      </c>
      <c r="F329">
        <v>3.2</v>
      </c>
      <c r="G329">
        <v>1</v>
      </c>
      <c r="H329" s="2">
        <v>74200</v>
      </c>
      <c r="I329" t="s">
        <v>37</v>
      </c>
      <c r="J329">
        <v>4</v>
      </c>
      <c r="K329" t="s">
        <v>32</v>
      </c>
      <c r="L329">
        <v>2</v>
      </c>
      <c r="M329" t="s">
        <v>16</v>
      </c>
      <c r="N329">
        <v>6</v>
      </c>
    </row>
    <row r="330" spans="1:14" x14ac:dyDescent="0.3">
      <c r="A330" t="s">
        <v>359</v>
      </c>
      <c r="B330" t="str">
        <f>"51-9051"</f>
        <v>51-9051</v>
      </c>
      <c r="C330">
        <v>17.8</v>
      </c>
      <c r="D330">
        <v>18.7</v>
      </c>
      <c r="E330">
        <v>0.9</v>
      </c>
      <c r="F330">
        <v>4.9000000000000004</v>
      </c>
      <c r="G330">
        <v>1.8</v>
      </c>
      <c r="H330" s="2">
        <v>40670</v>
      </c>
      <c r="I330" t="s">
        <v>25</v>
      </c>
      <c r="J330">
        <v>7</v>
      </c>
      <c r="K330" t="s">
        <v>16</v>
      </c>
      <c r="L330">
        <v>4</v>
      </c>
      <c r="M330" t="s">
        <v>26</v>
      </c>
      <c r="N330">
        <v>4</v>
      </c>
    </row>
    <row r="331" spans="1:14" x14ac:dyDescent="0.3">
      <c r="A331" t="s">
        <v>360</v>
      </c>
      <c r="B331" t="str">
        <f>"51-7021"</f>
        <v>51-7021</v>
      </c>
      <c r="C331">
        <v>18.100000000000001</v>
      </c>
      <c r="D331">
        <v>19.100000000000001</v>
      </c>
      <c r="E331">
        <v>1</v>
      </c>
      <c r="F331">
        <v>5.8</v>
      </c>
      <c r="G331">
        <v>2.6</v>
      </c>
      <c r="H331" s="2">
        <v>32970</v>
      </c>
      <c r="I331" t="s">
        <v>25</v>
      </c>
      <c r="J331">
        <v>7</v>
      </c>
      <c r="K331" t="s">
        <v>16</v>
      </c>
      <c r="L331">
        <v>4</v>
      </c>
      <c r="M331" t="s">
        <v>30</v>
      </c>
      <c r="N331">
        <v>5</v>
      </c>
    </row>
    <row r="332" spans="1:14" x14ac:dyDescent="0.3">
      <c r="A332" t="s">
        <v>361</v>
      </c>
      <c r="B332" t="str">
        <f>"39-3012"</f>
        <v>39-3012</v>
      </c>
      <c r="C332">
        <v>8</v>
      </c>
      <c r="D332">
        <v>10.3</v>
      </c>
      <c r="E332">
        <v>2.2999999999999998</v>
      </c>
      <c r="F332">
        <v>28.5</v>
      </c>
      <c r="G332">
        <v>1.5</v>
      </c>
      <c r="H332" s="2">
        <v>25220</v>
      </c>
      <c r="I332" t="s">
        <v>25</v>
      </c>
      <c r="J332">
        <v>7</v>
      </c>
      <c r="K332" t="s">
        <v>16</v>
      </c>
      <c r="L332">
        <v>4</v>
      </c>
      <c r="M332" t="s">
        <v>30</v>
      </c>
      <c r="N332">
        <v>5</v>
      </c>
    </row>
    <row r="333" spans="1:14" x14ac:dyDescent="0.3">
      <c r="A333" t="s">
        <v>362</v>
      </c>
      <c r="B333" t="str">
        <f>"43-3041"</f>
        <v>43-3041</v>
      </c>
      <c r="C333">
        <v>11.3</v>
      </c>
      <c r="D333">
        <v>13.5</v>
      </c>
      <c r="E333">
        <v>2.2000000000000002</v>
      </c>
      <c r="F333">
        <v>19.5</v>
      </c>
      <c r="G333">
        <v>1.5</v>
      </c>
      <c r="H333" s="2">
        <v>28650</v>
      </c>
      <c r="I333" t="s">
        <v>25</v>
      </c>
      <c r="J333">
        <v>7</v>
      </c>
      <c r="K333" t="s">
        <v>16</v>
      </c>
      <c r="L333">
        <v>4</v>
      </c>
      <c r="M333" t="s">
        <v>30</v>
      </c>
      <c r="N333">
        <v>5</v>
      </c>
    </row>
    <row r="334" spans="1:14" x14ac:dyDescent="0.3">
      <c r="A334" t="s">
        <v>363</v>
      </c>
      <c r="B334" t="str">
        <f>"41-2012"</f>
        <v>41-2012</v>
      </c>
      <c r="C334">
        <v>14.7</v>
      </c>
      <c r="D334">
        <v>17.3</v>
      </c>
      <c r="E334">
        <v>2.7</v>
      </c>
      <c r="F334">
        <v>18.100000000000001</v>
      </c>
      <c r="G334">
        <v>3.2</v>
      </c>
      <c r="H334" s="2">
        <v>27080</v>
      </c>
      <c r="I334" t="s">
        <v>43</v>
      </c>
      <c r="J334">
        <v>8</v>
      </c>
      <c r="K334" t="s">
        <v>16</v>
      </c>
      <c r="L334">
        <v>4</v>
      </c>
      <c r="M334" t="s">
        <v>30</v>
      </c>
      <c r="N334">
        <v>5</v>
      </c>
    </row>
    <row r="335" spans="1:14" x14ac:dyDescent="0.3">
      <c r="A335" t="s">
        <v>364</v>
      </c>
      <c r="B335" t="str">
        <f>"39-3011"</f>
        <v>39-3011</v>
      </c>
      <c r="C335">
        <v>74.099999999999994</v>
      </c>
      <c r="D335">
        <v>91.9</v>
      </c>
      <c r="E335">
        <v>17.8</v>
      </c>
      <c r="F335">
        <v>24</v>
      </c>
      <c r="G335">
        <v>13.8</v>
      </c>
      <c r="H335" s="2">
        <v>23740</v>
      </c>
      <c r="I335" t="s">
        <v>25</v>
      </c>
      <c r="J335">
        <v>7</v>
      </c>
      <c r="K335" t="s">
        <v>16</v>
      </c>
      <c r="L335">
        <v>4</v>
      </c>
      <c r="M335" t="s">
        <v>30</v>
      </c>
      <c r="N335">
        <v>5</v>
      </c>
    </row>
    <row r="336" spans="1:14" x14ac:dyDescent="0.3">
      <c r="A336" t="s">
        <v>365</v>
      </c>
      <c r="B336" t="str">
        <f>"11-9071"</f>
        <v>11-9071</v>
      </c>
      <c r="C336">
        <v>3.9</v>
      </c>
      <c r="D336">
        <v>4.7</v>
      </c>
      <c r="E336">
        <v>0.8</v>
      </c>
      <c r="F336">
        <v>20.100000000000001</v>
      </c>
      <c r="G336">
        <v>0.4</v>
      </c>
      <c r="H336" s="2">
        <v>75470</v>
      </c>
      <c r="I336" t="s">
        <v>25</v>
      </c>
      <c r="J336">
        <v>7</v>
      </c>
      <c r="K336" t="s">
        <v>32</v>
      </c>
      <c r="L336">
        <v>2</v>
      </c>
      <c r="M336" t="s">
        <v>16</v>
      </c>
      <c r="N336">
        <v>6</v>
      </c>
    </row>
    <row r="337" spans="1:14" x14ac:dyDescent="0.3">
      <c r="A337" t="s">
        <v>366</v>
      </c>
      <c r="B337" t="str">
        <f>"39-3019"</f>
        <v>39-3019</v>
      </c>
      <c r="C337">
        <v>9.1999999999999993</v>
      </c>
      <c r="D337">
        <v>11.7</v>
      </c>
      <c r="E337">
        <v>2.5</v>
      </c>
      <c r="F337">
        <v>27.2</v>
      </c>
      <c r="G337">
        <v>1.8</v>
      </c>
      <c r="H337" s="2">
        <v>29360</v>
      </c>
      <c r="I337" t="s">
        <v>25</v>
      </c>
      <c r="J337">
        <v>7</v>
      </c>
      <c r="K337" t="s">
        <v>16</v>
      </c>
      <c r="L337">
        <v>4</v>
      </c>
      <c r="M337" t="s">
        <v>30</v>
      </c>
      <c r="N337">
        <v>5</v>
      </c>
    </row>
    <row r="338" spans="1:14" x14ac:dyDescent="0.3">
      <c r="A338" t="s">
        <v>367</v>
      </c>
      <c r="B338" t="str">
        <f>"33-9031"</f>
        <v>33-9031</v>
      </c>
      <c r="C338">
        <v>8.6999999999999993</v>
      </c>
      <c r="D338">
        <v>10.1</v>
      </c>
      <c r="E338">
        <v>1.4</v>
      </c>
      <c r="F338">
        <v>15.5</v>
      </c>
      <c r="G338">
        <v>1.4</v>
      </c>
      <c r="H338" s="2">
        <v>35300</v>
      </c>
      <c r="I338" t="s">
        <v>25</v>
      </c>
      <c r="J338">
        <v>7</v>
      </c>
      <c r="K338" t="s">
        <v>32</v>
      </c>
      <c r="L338">
        <v>2</v>
      </c>
      <c r="M338" t="s">
        <v>26</v>
      </c>
      <c r="N338">
        <v>4</v>
      </c>
    </row>
    <row r="339" spans="1:14" x14ac:dyDescent="0.3">
      <c r="A339" t="s">
        <v>368</v>
      </c>
      <c r="B339" t="str">
        <f>"53-7071"</f>
        <v>53-7071</v>
      </c>
      <c r="C339">
        <v>4.0999999999999996</v>
      </c>
      <c r="D339">
        <v>4</v>
      </c>
      <c r="E339">
        <v>-0.1</v>
      </c>
      <c r="F339">
        <v>-1.4</v>
      </c>
      <c r="G339">
        <v>0.4</v>
      </c>
      <c r="H339" s="2">
        <v>67840</v>
      </c>
      <c r="I339" t="s">
        <v>25</v>
      </c>
      <c r="J339">
        <v>7</v>
      </c>
      <c r="K339" t="s">
        <v>16</v>
      </c>
      <c r="L339">
        <v>4</v>
      </c>
      <c r="M339" t="s">
        <v>26</v>
      </c>
      <c r="N339">
        <v>4</v>
      </c>
    </row>
    <row r="340" spans="1:14" x14ac:dyDescent="0.3">
      <c r="A340" t="s">
        <v>369</v>
      </c>
      <c r="B340" t="str">
        <f>"51-8092"</f>
        <v>51-8092</v>
      </c>
      <c r="C340">
        <v>15.1</v>
      </c>
      <c r="D340">
        <v>14.8</v>
      </c>
      <c r="E340">
        <v>-0.3</v>
      </c>
      <c r="F340">
        <v>-1.8</v>
      </c>
      <c r="G340">
        <v>1.5</v>
      </c>
      <c r="H340" s="2">
        <v>72970</v>
      </c>
      <c r="I340" t="s">
        <v>25</v>
      </c>
      <c r="J340">
        <v>7</v>
      </c>
      <c r="K340" t="s">
        <v>16</v>
      </c>
      <c r="L340">
        <v>4</v>
      </c>
      <c r="M340" t="s">
        <v>20</v>
      </c>
      <c r="N340">
        <v>3</v>
      </c>
    </row>
    <row r="341" spans="1:14" x14ac:dyDescent="0.3">
      <c r="A341" t="s">
        <v>370</v>
      </c>
      <c r="B341" t="str">
        <f>"11-1021"</f>
        <v>11-1021</v>
      </c>
      <c r="C341" s="1">
        <v>2411.9</v>
      </c>
      <c r="D341" s="1">
        <v>2638.2</v>
      </c>
      <c r="E341">
        <v>226.3</v>
      </c>
      <c r="F341">
        <v>9.4</v>
      </c>
      <c r="G341">
        <v>229.6</v>
      </c>
      <c r="H341" s="2">
        <v>103650</v>
      </c>
      <c r="I341" t="s">
        <v>15</v>
      </c>
      <c r="J341">
        <v>3</v>
      </c>
      <c r="K341" t="s">
        <v>29</v>
      </c>
      <c r="L341">
        <v>1</v>
      </c>
      <c r="M341" t="s">
        <v>16</v>
      </c>
      <c r="N341">
        <v>6</v>
      </c>
    </row>
    <row r="342" spans="1:14" x14ac:dyDescent="0.3">
      <c r="A342" t="s">
        <v>371</v>
      </c>
      <c r="B342" t="str">
        <f>"29-1216"</f>
        <v>29-1216</v>
      </c>
      <c r="C342">
        <v>55.5</v>
      </c>
      <c r="D342">
        <v>55.1</v>
      </c>
      <c r="E342">
        <v>-0.4</v>
      </c>
      <c r="F342">
        <v>-0.7</v>
      </c>
      <c r="G342">
        <v>1.5</v>
      </c>
      <c r="H342" s="2">
        <v>208000</v>
      </c>
      <c r="I342" t="s">
        <v>28</v>
      </c>
      <c r="J342">
        <v>1</v>
      </c>
      <c r="K342" t="s">
        <v>16</v>
      </c>
      <c r="L342">
        <v>4</v>
      </c>
      <c r="M342" t="s">
        <v>58</v>
      </c>
      <c r="N342">
        <v>1</v>
      </c>
    </row>
    <row r="343" spans="1:14" x14ac:dyDescent="0.3">
      <c r="A343" t="s">
        <v>372</v>
      </c>
      <c r="B343" t="str">
        <f>"29-9092"</f>
        <v>29-9092</v>
      </c>
      <c r="C343">
        <v>2.4</v>
      </c>
      <c r="D343">
        <v>3.1</v>
      </c>
      <c r="E343">
        <v>0.6</v>
      </c>
      <c r="F343">
        <v>26.2</v>
      </c>
      <c r="G343">
        <v>0.3</v>
      </c>
      <c r="H343" s="2">
        <v>85700</v>
      </c>
      <c r="I343" t="s">
        <v>23</v>
      </c>
      <c r="J343">
        <v>2</v>
      </c>
      <c r="K343" t="s">
        <v>16</v>
      </c>
      <c r="L343">
        <v>4</v>
      </c>
      <c r="M343" t="s">
        <v>16</v>
      </c>
      <c r="N343">
        <v>6</v>
      </c>
    </row>
    <row r="344" spans="1:14" x14ac:dyDescent="0.3">
      <c r="A344" t="s">
        <v>373</v>
      </c>
      <c r="B344" t="str">
        <f>"19-3092"</f>
        <v>19-3092</v>
      </c>
      <c r="C344">
        <v>1.6</v>
      </c>
      <c r="D344">
        <v>1.7</v>
      </c>
      <c r="E344">
        <v>0</v>
      </c>
      <c r="F344">
        <v>1.1000000000000001</v>
      </c>
      <c r="G344">
        <v>0.1</v>
      </c>
      <c r="H344" s="2">
        <v>85430</v>
      </c>
      <c r="I344" t="s">
        <v>15</v>
      </c>
      <c r="J344">
        <v>3</v>
      </c>
      <c r="K344" t="s">
        <v>16</v>
      </c>
      <c r="L344">
        <v>4</v>
      </c>
      <c r="M344" t="s">
        <v>16</v>
      </c>
      <c r="N344">
        <v>6</v>
      </c>
    </row>
    <row r="345" spans="1:14" x14ac:dyDescent="0.3">
      <c r="A345" t="s">
        <v>374</v>
      </c>
      <c r="B345" t="str">
        <f>"25-1064"</f>
        <v>25-1064</v>
      </c>
      <c r="C345">
        <v>4.4000000000000004</v>
      </c>
      <c r="D345">
        <v>4.7</v>
      </c>
      <c r="E345">
        <v>0.3</v>
      </c>
      <c r="F345">
        <v>6.3</v>
      </c>
      <c r="G345">
        <v>0.4</v>
      </c>
      <c r="H345" s="2">
        <v>82330</v>
      </c>
      <c r="I345" t="s">
        <v>28</v>
      </c>
      <c r="J345">
        <v>1</v>
      </c>
      <c r="K345" t="s">
        <v>16</v>
      </c>
      <c r="L345">
        <v>4</v>
      </c>
      <c r="M345" t="s">
        <v>16</v>
      </c>
      <c r="N345">
        <v>6</v>
      </c>
    </row>
    <row r="346" spans="1:14" x14ac:dyDescent="0.3">
      <c r="A346" t="s">
        <v>375</v>
      </c>
      <c r="B346" t="str">
        <f>"19-4045"</f>
        <v>19-4045</v>
      </c>
      <c r="C346">
        <v>16.8</v>
      </c>
      <c r="D346">
        <v>18.3</v>
      </c>
      <c r="E346">
        <v>1.5</v>
      </c>
      <c r="F346">
        <v>8.6999999999999993</v>
      </c>
      <c r="G346">
        <v>2.2999999999999998</v>
      </c>
      <c r="H346" s="2">
        <v>50630</v>
      </c>
      <c r="I346" t="s">
        <v>37</v>
      </c>
      <c r="J346">
        <v>4</v>
      </c>
      <c r="K346" t="s">
        <v>16</v>
      </c>
      <c r="L346">
        <v>4</v>
      </c>
      <c r="M346" t="s">
        <v>26</v>
      </c>
      <c r="N346">
        <v>4</v>
      </c>
    </row>
    <row r="347" spans="1:14" x14ac:dyDescent="0.3">
      <c r="A347" t="s">
        <v>376</v>
      </c>
      <c r="B347" t="str">
        <f>"19-2042"</f>
        <v>19-2042</v>
      </c>
      <c r="C347">
        <v>29</v>
      </c>
      <c r="D347">
        <v>31</v>
      </c>
      <c r="E347">
        <v>2</v>
      </c>
      <c r="F347">
        <v>7</v>
      </c>
      <c r="G347">
        <v>3.1</v>
      </c>
      <c r="H347" s="2">
        <v>93580</v>
      </c>
      <c r="I347" t="s">
        <v>15</v>
      </c>
      <c r="J347">
        <v>3</v>
      </c>
      <c r="K347" t="s">
        <v>16</v>
      </c>
      <c r="L347">
        <v>4</v>
      </c>
      <c r="M347" t="s">
        <v>16</v>
      </c>
      <c r="N347">
        <v>6</v>
      </c>
    </row>
    <row r="348" spans="1:14" x14ac:dyDescent="0.3">
      <c r="A348" t="s">
        <v>377</v>
      </c>
      <c r="B348" t="str">
        <f>"47-2121"</f>
        <v>47-2121</v>
      </c>
      <c r="C348">
        <v>53.6</v>
      </c>
      <c r="D348">
        <v>56.1</v>
      </c>
      <c r="E348">
        <v>2.5</v>
      </c>
      <c r="F348">
        <v>4.7</v>
      </c>
      <c r="G348">
        <v>6</v>
      </c>
      <c r="H348" s="2">
        <v>46080</v>
      </c>
      <c r="I348" t="s">
        <v>25</v>
      </c>
      <c r="J348">
        <v>7</v>
      </c>
      <c r="K348" t="s">
        <v>16</v>
      </c>
      <c r="L348">
        <v>4</v>
      </c>
      <c r="M348" t="s">
        <v>103</v>
      </c>
      <c r="N348">
        <v>2</v>
      </c>
    </row>
    <row r="349" spans="1:14" x14ac:dyDescent="0.3">
      <c r="A349" t="s">
        <v>378</v>
      </c>
      <c r="B349" t="str">
        <f>"45-2041"</f>
        <v>45-2041</v>
      </c>
      <c r="C349">
        <v>32.5</v>
      </c>
      <c r="D349">
        <v>32.1</v>
      </c>
      <c r="E349">
        <v>-0.5</v>
      </c>
      <c r="F349">
        <v>-1.4</v>
      </c>
      <c r="G349">
        <v>4.7</v>
      </c>
      <c r="H349" s="2">
        <v>28220</v>
      </c>
      <c r="I349" t="s">
        <v>43</v>
      </c>
      <c r="J349">
        <v>8</v>
      </c>
      <c r="K349" t="s">
        <v>16</v>
      </c>
      <c r="L349">
        <v>4</v>
      </c>
      <c r="M349" t="s">
        <v>30</v>
      </c>
      <c r="N349">
        <v>5</v>
      </c>
    </row>
    <row r="350" spans="1:14" x14ac:dyDescent="0.3">
      <c r="A350" t="s">
        <v>379</v>
      </c>
      <c r="B350" t="str">
        <f>"27-1024"</f>
        <v>27-1024</v>
      </c>
      <c r="C350">
        <v>254.1</v>
      </c>
      <c r="D350">
        <v>261.39999999999998</v>
      </c>
      <c r="E350">
        <v>7.3</v>
      </c>
      <c r="F350">
        <v>2.9</v>
      </c>
      <c r="G350">
        <v>23.9</v>
      </c>
      <c r="H350" s="2">
        <v>53380</v>
      </c>
      <c r="I350" t="s">
        <v>15</v>
      </c>
      <c r="J350">
        <v>3</v>
      </c>
      <c r="K350" t="s">
        <v>16</v>
      </c>
      <c r="L350">
        <v>4</v>
      </c>
      <c r="M350" t="s">
        <v>16</v>
      </c>
      <c r="N350">
        <v>6</v>
      </c>
    </row>
    <row r="351" spans="1:14" x14ac:dyDescent="0.3">
      <c r="A351" t="s">
        <v>380</v>
      </c>
      <c r="B351" t="str">
        <f>"51-9022"</f>
        <v>51-9022</v>
      </c>
      <c r="C351">
        <v>23.7</v>
      </c>
      <c r="D351">
        <v>20.5</v>
      </c>
      <c r="E351">
        <v>-3.2</v>
      </c>
      <c r="F351">
        <v>-13.6</v>
      </c>
      <c r="G351">
        <v>2.1</v>
      </c>
      <c r="H351" s="2">
        <v>31750</v>
      </c>
      <c r="I351" t="s">
        <v>43</v>
      </c>
      <c r="J351">
        <v>8</v>
      </c>
      <c r="K351" t="s">
        <v>16</v>
      </c>
      <c r="L351">
        <v>4</v>
      </c>
      <c r="M351" t="s">
        <v>26</v>
      </c>
      <c r="N351">
        <v>4</v>
      </c>
    </row>
    <row r="352" spans="1:14" x14ac:dyDescent="0.3">
      <c r="A352" t="s">
        <v>381</v>
      </c>
      <c r="B352" t="str">
        <f>"51-4033"</f>
        <v>51-4033</v>
      </c>
      <c r="C352">
        <v>69.400000000000006</v>
      </c>
      <c r="D352">
        <v>67.099999999999994</v>
      </c>
      <c r="E352">
        <v>-2.2999999999999998</v>
      </c>
      <c r="F352">
        <v>-3.3</v>
      </c>
      <c r="G352">
        <v>7.5</v>
      </c>
      <c r="H352" s="2">
        <v>36880</v>
      </c>
      <c r="I352" t="s">
        <v>25</v>
      </c>
      <c r="J352">
        <v>7</v>
      </c>
      <c r="K352" t="s">
        <v>16</v>
      </c>
      <c r="L352">
        <v>4</v>
      </c>
      <c r="M352" t="s">
        <v>26</v>
      </c>
      <c r="N352">
        <v>4</v>
      </c>
    </row>
    <row r="353" spans="1:14" x14ac:dyDescent="0.3">
      <c r="A353" t="s">
        <v>382</v>
      </c>
      <c r="B353" t="str">
        <f>"37-3019"</f>
        <v>37-3019</v>
      </c>
      <c r="C353">
        <v>15.3</v>
      </c>
      <c r="D353">
        <v>16.600000000000001</v>
      </c>
      <c r="E353">
        <v>1.3</v>
      </c>
      <c r="F353">
        <v>8.6</v>
      </c>
      <c r="G353">
        <v>2.2000000000000002</v>
      </c>
      <c r="H353" s="2">
        <v>34210</v>
      </c>
      <c r="I353" t="s">
        <v>43</v>
      </c>
      <c r="J353">
        <v>8</v>
      </c>
      <c r="K353" t="s">
        <v>16</v>
      </c>
      <c r="L353">
        <v>4</v>
      </c>
      <c r="M353" t="s">
        <v>30</v>
      </c>
      <c r="N353">
        <v>5</v>
      </c>
    </row>
    <row r="354" spans="1:14" x14ac:dyDescent="0.3">
      <c r="A354" t="s">
        <v>383</v>
      </c>
      <c r="B354" t="str">
        <f>"39-5012"</f>
        <v>39-5012</v>
      </c>
      <c r="C354">
        <v>569.6</v>
      </c>
      <c r="D354">
        <v>680.1</v>
      </c>
      <c r="E354">
        <v>110.5</v>
      </c>
      <c r="F354">
        <v>19.399999999999999</v>
      </c>
      <c r="G354">
        <v>78.900000000000006</v>
      </c>
      <c r="H354" s="2">
        <v>27380</v>
      </c>
      <c r="I354" t="s">
        <v>50</v>
      </c>
      <c r="J354">
        <v>5</v>
      </c>
      <c r="K354" t="s">
        <v>16</v>
      </c>
      <c r="L354">
        <v>4</v>
      </c>
      <c r="M354" t="s">
        <v>16</v>
      </c>
      <c r="N354">
        <v>6</v>
      </c>
    </row>
    <row r="355" spans="1:14" x14ac:dyDescent="0.3">
      <c r="A355" t="s">
        <v>384</v>
      </c>
      <c r="B355" t="str">
        <f>"47-4041"</f>
        <v>47-4041</v>
      </c>
      <c r="C355">
        <v>44.5</v>
      </c>
      <c r="D355">
        <v>47.4</v>
      </c>
      <c r="E355">
        <v>2.9</v>
      </c>
      <c r="F355">
        <v>6.6</v>
      </c>
      <c r="G355">
        <v>5.8</v>
      </c>
      <c r="H355" s="2">
        <v>45270</v>
      </c>
      <c r="I355" t="s">
        <v>25</v>
      </c>
      <c r="J355">
        <v>7</v>
      </c>
      <c r="K355" t="s">
        <v>16</v>
      </c>
      <c r="L355">
        <v>4</v>
      </c>
      <c r="M355" t="s">
        <v>26</v>
      </c>
      <c r="N355">
        <v>4</v>
      </c>
    </row>
    <row r="356" spans="1:14" x14ac:dyDescent="0.3">
      <c r="A356" t="s">
        <v>385</v>
      </c>
      <c r="B356" t="str">
        <f>"17-2111"</f>
        <v>17-2111</v>
      </c>
      <c r="C356">
        <v>24.1</v>
      </c>
      <c r="D356">
        <v>25.6</v>
      </c>
      <c r="E356">
        <v>1.5</v>
      </c>
      <c r="F356">
        <v>6.1</v>
      </c>
      <c r="G356">
        <v>1.7</v>
      </c>
      <c r="H356" s="2">
        <v>94240</v>
      </c>
      <c r="I356" t="s">
        <v>15</v>
      </c>
      <c r="J356">
        <v>3</v>
      </c>
      <c r="K356" t="s">
        <v>16</v>
      </c>
      <c r="L356">
        <v>4</v>
      </c>
      <c r="M356" t="s">
        <v>16</v>
      </c>
      <c r="N356">
        <v>6</v>
      </c>
    </row>
    <row r="357" spans="1:14" x14ac:dyDescent="0.3">
      <c r="A357" t="s">
        <v>386</v>
      </c>
      <c r="B357" t="str">
        <f>"21-1091"</f>
        <v>21-1091</v>
      </c>
      <c r="C357">
        <v>61.1</v>
      </c>
      <c r="D357">
        <v>68.7</v>
      </c>
      <c r="E357">
        <v>7.6</v>
      </c>
      <c r="F357">
        <v>12.4</v>
      </c>
      <c r="G357">
        <v>7.4</v>
      </c>
      <c r="H357" s="2">
        <v>56500</v>
      </c>
      <c r="I357" t="s">
        <v>15</v>
      </c>
      <c r="J357">
        <v>3</v>
      </c>
      <c r="K357" t="s">
        <v>16</v>
      </c>
      <c r="L357">
        <v>4</v>
      </c>
      <c r="M357" t="s">
        <v>16</v>
      </c>
      <c r="N357">
        <v>6</v>
      </c>
    </row>
    <row r="358" spans="1:14" x14ac:dyDescent="0.3">
      <c r="A358" t="s">
        <v>387</v>
      </c>
      <c r="B358" t="str">
        <f>"29-9098"</f>
        <v>29-9098</v>
      </c>
      <c r="C358">
        <v>81.400000000000006</v>
      </c>
      <c r="D358">
        <v>89.9</v>
      </c>
      <c r="E358">
        <v>8.6</v>
      </c>
      <c r="F358">
        <v>10.5</v>
      </c>
      <c r="G358">
        <v>6.9</v>
      </c>
      <c r="H358" s="2">
        <v>51840</v>
      </c>
      <c r="I358" t="s">
        <v>50</v>
      </c>
      <c r="J358">
        <v>5</v>
      </c>
      <c r="K358" t="s">
        <v>16</v>
      </c>
      <c r="L358">
        <v>4</v>
      </c>
      <c r="M358" t="s">
        <v>16</v>
      </c>
      <c r="N358">
        <v>6</v>
      </c>
    </row>
    <row r="359" spans="1:14" x14ac:dyDescent="0.3">
      <c r="A359" t="s">
        <v>388</v>
      </c>
      <c r="B359" t="str">
        <f>"25-1071"</f>
        <v>25-1071</v>
      </c>
      <c r="C359">
        <v>242.7</v>
      </c>
      <c r="D359">
        <v>301.60000000000002</v>
      </c>
      <c r="E359">
        <v>58.9</v>
      </c>
      <c r="F359">
        <v>24.3</v>
      </c>
      <c r="G359">
        <v>30.8</v>
      </c>
      <c r="H359" s="2">
        <v>99090</v>
      </c>
      <c r="I359" t="s">
        <v>28</v>
      </c>
      <c r="J359">
        <v>1</v>
      </c>
      <c r="K359" t="s">
        <v>32</v>
      </c>
      <c r="L359">
        <v>2</v>
      </c>
      <c r="M359" t="s">
        <v>16</v>
      </c>
      <c r="N359">
        <v>6</v>
      </c>
    </row>
    <row r="360" spans="1:14" x14ac:dyDescent="0.3">
      <c r="A360" t="s">
        <v>389</v>
      </c>
      <c r="B360" t="str">
        <f>"21-1022"</f>
        <v>21-1022</v>
      </c>
      <c r="C360">
        <v>184.9</v>
      </c>
      <c r="D360">
        <v>209.3</v>
      </c>
      <c r="E360">
        <v>24.4</v>
      </c>
      <c r="F360">
        <v>13.2</v>
      </c>
      <c r="G360">
        <v>20.399999999999999</v>
      </c>
      <c r="H360" s="2">
        <v>57630</v>
      </c>
      <c r="I360" t="s">
        <v>23</v>
      </c>
      <c r="J360">
        <v>2</v>
      </c>
      <c r="K360" t="s">
        <v>16</v>
      </c>
      <c r="L360">
        <v>4</v>
      </c>
      <c r="M360" t="s">
        <v>58</v>
      </c>
      <c r="N360">
        <v>1</v>
      </c>
    </row>
    <row r="361" spans="1:14" x14ac:dyDescent="0.3">
      <c r="A361" t="s">
        <v>390</v>
      </c>
      <c r="B361" t="str">
        <f>"31-9099"</f>
        <v>31-9099</v>
      </c>
      <c r="C361">
        <v>100.5</v>
      </c>
      <c r="D361">
        <v>111</v>
      </c>
      <c r="E361">
        <v>10.6</v>
      </c>
      <c r="F361">
        <v>10.5</v>
      </c>
      <c r="G361">
        <v>13.9</v>
      </c>
      <c r="H361" s="2">
        <v>39530</v>
      </c>
      <c r="I361" t="s">
        <v>25</v>
      </c>
      <c r="J361">
        <v>7</v>
      </c>
      <c r="K361" t="s">
        <v>16</v>
      </c>
      <c r="L361">
        <v>4</v>
      </c>
      <c r="M361" t="s">
        <v>16</v>
      </c>
      <c r="N361">
        <v>6</v>
      </c>
    </row>
    <row r="362" spans="1:14" x14ac:dyDescent="0.3">
      <c r="A362" t="s">
        <v>391</v>
      </c>
      <c r="B362" t="str">
        <f>"29-2092"</f>
        <v>29-2092</v>
      </c>
      <c r="C362">
        <v>8</v>
      </c>
      <c r="D362">
        <v>8.9</v>
      </c>
      <c r="E362">
        <v>0.9</v>
      </c>
      <c r="F362">
        <v>11.3</v>
      </c>
      <c r="G362">
        <v>0.7</v>
      </c>
      <c r="H362" s="2">
        <v>52630</v>
      </c>
      <c r="I362" t="s">
        <v>25</v>
      </c>
      <c r="J362">
        <v>7</v>
      </c>
      <c r="K362" t="s">
        <v>16</v>
      </c>
      <c r="L362">
        <v>4</v>
      </c>
      <c r="M362" t="s">
        <v>26</v>
      </c>
      <c r="N362">
        <v>4</v>
      </c>
    </row>
    <row r="363" spans="1:14" x14ac:dyDescent="0.3">
      <c r="A363" t="s">
        <v>392</v>
      </c>
      <c r="B363" t="str">
        <f>"51-4191"</f>
        <v>51-4191</v>
      </c>
      <c r="C363">
        <v>16.899999999999999</v>
      </c>
      <c r="D363">
        <v>16.2</v>
      </c>
      <c r="E363">
        <v>-0.7</v>
      </c>
      <c r="F363">
        <v>-4</v>
      </c>
      <c r="G363">
        <v>1.6</v>
      </c>
      <c r="H363" s="2">
        <v>39530</v>
      </c>
      <c r="I363" t="s">
        <v>25</v>
      </c>
      <c r="J363">
        <v>7</v>
      </c>
      <c r="K363" t="s">
        <v>16</v>
      </c>
      <c r="L363">
        <v>4</v>
      </c>
      <c r="M363" t="s">
        <v>26</v>
      </c>
      <c r="N363">
        <v>4</v>
      </c>
    </row>
    <row r="364" spans="1:14" x14ac:dyDescent="0.3">
      <c r="A364" t="s">
        <v>393</v>
      </c>
      <c r="B364" t="str">
        <f>"49-9021"</f>
        <v>49-9021</v>
      </c>
      <c r="C364">
        <v>380.4</v>
      </c>
      <c r="D364">
        <v>399.4</v>
      </c>
      <c r="E364">
        <v>19</v>
      </c>
      <c r="F364">
        <v>5</v>
      </c>
      <c r="G364">
        <v>38.5</v>
      </c>
      <c r="H364" s="2">
        <v>50590</v>
      </c>
      <c r="I364" t="s">
        <v>50</v>
      </c>
      <c r="J364">
        <v>5</v>
      </c>
      <c r="K364" t="s">
        <v>16</v>
      </c>
      <c r="L364">
        <v>4</v>
      </c>
      <c r="M364" t="s">
        <v>20</v>
      </c>
      <c r="N364">
        <v>3</v>
      </c>
    </row>
    <row r="365" spans="1:14" x14ac:dyDescent="0.3">
      <c r="A365" t="s">
        <v>394</v>
      </c>
      <c r="B365" t="str">
        <f>"53-3032"</f>
        <v>53-3032</v>
      </c>
      <c r="C365" s="1">
        <v>1951.6</v>
      </c>
      <c r="D365" s="1">
        <v>2073.6</v>
      </c>
      <c r="E365">
        <v>122.1</v>
      </c>
      <c r="F365">
        <v>6.3</v>
      </c>
      <c r="G365">
        <v>231.1</v>
      </c>
      <c r="H365" s="2">
        <v>47130</v>
      </c>
      <c r="I365" t="s">
        <v>50</v>
      </c>
      <c r="J365">
        <v>5</v>
      </c>
      <c r="K365" t="s">
        <v>16</v>
      </c>
      <c r="L365">
        <v>4</v>
      </c>
      <c r="M365" t="s">
        <v>30</v>
      </c>
      <c r="N365">
        <v>5</v>
      </c>
    </row>
    <row r="366" spans="1:14" x14ac:dyDescent="0.3">
      <c r="A366" t="s">
        <v>395</v>
      </c>
      <c r="B366" t="str">
        <f>"47-3019"</f>
        <v>47-3019</v>
      </c>
      <c r="C366">
        <v>27.8</v>
      </c>
      <c r="D366">
        <v>29.5</v>
      </c>
      <c r="E366">
        <v>1.7</v>
      </c>
      <c r="F366">
        <v>5.9</v>
      </c>
      <c r="G366">
        <v>3.5</v>
      </c>
      <c r="H366" s="2">
        <v>33360</v>
      </c>
      <c r="I366" t="s">
        <v>43</v>
      </c>
      <c r="J366">
        <v>8</v>
      </c>
      <c r="K366" t="s">
        <v>16</v>
      </c>
      <c r="L366">
        <v>4</v>
      </c>
      <c r="M366" t="s">
        <v>30</v>
      </c>
      <c r="N366">
        <v>5</v>
      </c>
    </row>
    <row r="367" spans="1:14" x14ac:dyDescent="0.3">
      <c r="A367" t="s">
        <v>396</v>
      </c>
      <c r="B367" t="str">
        <f>"47-3011"</f>
        <v>47-3011</v>
      </c>
      <c r="C367">
        <v>20.9</v>
      </c>
      <c r="D367">
        <v>20.100000000000001</v>
      </c>
      <c r="E367">
        <v>-0.8</v>
      </c>
      <c r="F367">
        <v>-3.9</v>
      </c>
      <c r="G367">
        <v>2.2999999999999998</v>
      </c>
      <c r="H367" s="2">
        <v>36990</v>
      </c>
      <c r="I367" t="s">
        <v>43</v>
      </c>
      <c r="J367">
        <v>8</v>
      </c>
      <c r="K367" t="s">
        <v>16</v>
      </c>
      <c r="L367">
        <v>4</v>
      </c>
      <c r="M367" t="s">
        <v>30</v>
      </c>
      <c r="N367">
        <v>5</v>
      </c>
    </row>
    <row r="368" spans="1:14" x14ac:dyDescent="0.3">
      <c r="A368" t="s">
        <v>397</v>
      </c>
      <c r="B368" t="str">
        <f>"47-3012"</f>
        <v>47-3012</v>
      </c>
      <c r="C368">
        <v>31</v>
      </c>
      <c r="D368">
        <v>31.2</v>
      </c>
      <c r="E368">
        <v>0.2</v>
      </c>
      <c r="F368">
        <v>0.7</v>
      </c>
      <c r="G368">
        <v>3.7</v>
      </c>
      <c r="H368" s="2">
        <v>34280</v>
      </c>
      <c r="I368" t="s">
        <v>43</v>
      </c>
      <c r="J368">
        <v>8</v>
      </c>
      <c r="K368" t="s">
        <v>16</v>
      </c>
      <c r="L368">
        <v>4</v>
      </c>
      <c r="M368" t="s">
        <v>30</v>
      </c>
      <c r="N368">
        <v>5</v>
      </c>
    </row>
    <row r="369" spans="1:14" x14ac:dyDescent="0.3">
      <c r="A369" t="s">
        <v>398</v>
      </c>
      <c r="B369" t="str">
        <f>"47-3013"</f>
        <v>47-3013</v>
      </c>
      <c r="C369">
        <v>75.5</v>
      </c>
      <c r="D369">
        <v>76.2</v>
      </c>
      <c r="E369">
        <v>0.7</v>
      </c>
      <c r="F369">
        <v>0.9</v>
      </c>
      <c r="G369">
        <v>8.9</v>
      </c>
      <c r="H369" s="2">
        <v>33840</v>
      </c>
      <c r="I369" t="s">
        <v>25</v>
      </c>
      <c r="J369">
        <v>7</v>
      </c>
      <c r="K369" t="s">
        <v>16</v>
      </c>
      <c r="L369">
        <v>4</v>
      </c>
      <c r="M369" t="s">
        <v>30</v>
      </c>
      <c r="N369">
        <v>5</v>
      </c>
    </row>
    <row r="370" spans="1:14" x14ac:dyDescent="0.3">
      <c r="A370" t="s">
        <v>399</v>
      </c>
      <c r="B370" t="str">
        <f>"47-5081"</f>
        <v>47-5081</v>
      </c>
      <c r="C370">
        <v>12.6</v>
      </c>
      <c r="D370">
        <v>15.5</v>
      </c>
      <c r="E370">
        <v>2.9</v>
      </c>
      <c r="F370">
        <v>23</v>
      </c>
      <c r="G370">
        <v>1.9</v>
      </c>
      <c r="H370" s="2">
        <v>37860</v>
      </c>
      <c r="I370" t="s">
        <v>25</v>
      </c>
      <c r="J370">
        <v>7</v>
      </c>
      <c r="K370" t="s">
        <v>16</v>
      </c>
      <c r="L370">
        <v>4</v>
      </c>
      <c r="M370" t="s">
        <v>26</v>
      </c>
      <c r="N370">
        <v>4</v>
      </c>
    </row>
    <row r="371" spans="1:14" x14ac:dyDescent="0.3">
      <c r="A371" t="s">
        <v>400</v>
      </c>
      <c r="B371" t="str">
        <f>"49-9098"</f>
        <v>49-9098</v>
      </c>
      <c r="C371">
        <v>92.9</v>
      </c>
      <c r="D371">
        <v>99.8</v>
      </c>
      <c r="E371">
        <v>6.9</v>
      </c>
      <c r="F371">
        <v>7.4</v>
      </c>
      <c r="G371">
        <v>12.9</v>
      </c>
      <c r="H371" s="2">
        <v>31760</v>
      </c>
      <c r="I371" t="s">
        <v>25</v>
      </c>
      <c r="J371">
        <v>7</v>
      </c>
      <c r="K371" t="s">
        <v>16</v>
      </c>
      <c r="L371">
        <v>4</v>
      </c>
      <c r="M371" t="s">
        <v>30</v>
      </c>
      <c r="N371">
        <v>5</v>
      </c>
    </row>
    <row r="372" spans="1:14" x14ac:dyDescent="0.3">
      <c r="A372" t="s">
        <v>401</v>
      </c>
      <c r="B372" t="str">
        <f>"47-3014"</f>
        <v>47-3014</v>
      </c>
      <c r="C372">
        <v>9.4</v>
      </c>
      <c r="D372">
        <v>10</v>
      </c>
      <c r="E372">
        <v>0.6</v>
      </c>
      <c r="F372">
        <v>6.8</v>
      </c>
      <c r="G372">
        <v>1.2</v>
      </c>
      <c r="H372" s="2">
        <v>31640</v>
      </c>
      <c r="I372" t="s">
        <v>43</v>
      </c>
      <c r="J372">
        <v>8</v>
      </c>
      <c r="K372" t="s">
        <v>16</v>
      </c>
      <c r="L372">
        <v>4</v>
      </c>
      <c r="M372" t="s">
        <v>30</v>
      </c>
      <c r="N372">
        <v>5</v>
      </c>
    </row>
    <row r="373" spans="1:14" x14ac:dyDescent="0.3">
      <c r="A373" t="s">
        <v>402</v>
      </c>
      <c r="B373" t="str">
        <f>"47-3015"</f>
        <v>47-3015</v>
      </c>
      <c r="C373">
        <v>56.2</v>
      </c>
      <c r="D373">
        <v>59.4</v>
      </c>
      <c r="E373">
        <v>3.1</v>
      </c>
      <c r="F373">
        <v>5.6</v>
      </c>
      <c r="G373">
        <v>7.1</v>
      </c>
      <c r="H373" s="2">
        <v>33590</v>
      </c>
      <c r="I373" t="s">
        <v>25</v>
      </c>
      <c r="J373">
        <v>7</v>
      </c>
      <c r="K373" t="s">
        <v>16</v>
      </c>
      <c r="L373">
        <v>4</v>
      </c>
      <c r="M373" t="s">
        <v>30</v>
      </c>
      <c r="N373">
        <v>5</v>
      </c>
    </row>
    <row r="374" spans="1:14" x14ac:dyDescent="0.3">
      <c r="A374" t="s">
        <v>403</v>
      </c>
      <c r="B374" t="str">
        <f>"51-9198"</f>
        <v>51-9198</v>
      </c>
      <c r="C374">
        <v>238</v>
      </c>
      <c r="D374">
        <v>227.2</v>
      </c>
      <c r="E374">
        <v>-10.8</v>
      </c>
      <c r="F374">
        <v>-4.5</v>
      </c>
      <c r="G374">
        <v>31.8</v>
      </c>
      <c r="H374" s="2">
        <v>30500</v>
      </c>
      <c r="I374" t="s">
        <v>25</v>
      </c>
      <c r="J374">
        <v>7</v>
      </c>
      <c r="K374" t="s">
        <v>16</v>
      </c>
      <c r="L374">
        <v>4</v>
      </c>
      <c r="M374" t="s">
        <v>30</v>
      </c>
      <c r="N374">
        <v>5</v>
      </c>
    </row>
    <row r="375" spans="1:14" x14ac:dyDescent="0.3">
      <c r="A375" t="s">
        <v>404</v>
      </c>
      <c r="B375" t="str">
        <f>"47-3016"</f>
        <v>47-3016</v>
      </c>
      <c r="C375">
        <v>8.1999999999999993</v>
      </c>
      <c r="D375">
        <v>8.6</v>
      </c>
      <c r="E375">
        <v>0.4</v>
      </c>
      <c r="F375">
        <v>4.8</v>
      </c>
      <c r="G375">
        <v>1</v>
      </c>
      <c r="H375" s="2">
        <v>33260</v>
      </c>
      <c r="I375" t="s">
        <v>43</v>
      </c>
      <c r="J375">
        <v>8</v>
      </c>
      <c r="K375" t="s">
        <v>16</v>
      </c>
      <c r="L375">
        <v>4</v>
      </c>
      <c r="M375" t="s">
        <v>30</v>
      </c>
      <c r="N375">
        <v>5</v>
      </c>
    </row>
    <row r="376" spans="1:14" x14ac:dyDescent="0.3">
      <c r="A376" t="s">
        <v>405</v>
      </c>
      <c r="B376" t="str">
        <f>"47-4051"</f>
        <v>47-4051</v>
      </c>
      <c r="C376">
        <v>153.80000000000001</v>
      </c>
      <c r="D376">
        <v>163.1</v>
      </c>
      <c r="E376">
        <v>9.3000000000000007</v>
      </c>
      <c r="F376">
        <v>6</v>
      </c>
      <c r="G376">
        <v>17.100000000000001</v>
      </c>
      <c r="H376" s="2">
        <v>41660</v>
      </c>
      <c r="I376" t="s">
        <v>25</v>
      </c>
      <c r="J376">
        <v>7</v>
      </c>
      <c r="K376" t="s">
        <v>16</v>
      </c>
      <c r="L376">
        <v>4</v>
      </c>
      <c r="M376" t="s">
        <v>26</v>
      </c>
      <c r="N376">
        <v>4</v>
      </c>
    </row>
    <row r="377" spans="1:14" x14ac:dyDescent="0.3">
      <c r="A377" t="s">
        <v>406</v>
      </c>
      <c r="B377" t="str">
        <f>"19-3093"</f>
        <v>19-3093</v>
      </c>
      <c r="C377">
        <v>3.1</v>
      </c>
      <c r="D377">
        <v>3.3</v>
      </c>
      <c r="E377">
        <v>0.2</v>
      </c>
      <c r="F377">
        <v>5.5</v>
      </c>
      <c r="G377">
        <v>0.3</v>
      </c>
      <c r="H377" s="2">
        <v>63100</v>
      </c>
      <c r="I377" t="s">
        <v>23</v>
      </c>
      <c r="J377">
        <v>2</v>
      </c>
      <c r="K377" t="s">
        <v>16</v>
      </c>
      <c r="L377">
        <v>4</v>
      </c>
      <c r="M377" t="s">
        <v>16</v>
      </c>
      <c r="N377">
        <v>6</v>
      </c>
    </row>
    <row r="378" spans="1:14" x14ac:dyDescent="0.3">
      <c r="A378" t="s">
        <v>407</v>
      </c>
      <c r="B378" t="str">
        <f>"25-1125"</f>
        <v>25-1125</v>
      </c>
      <c r="C378">
        <v>24.4</v>
      </c>
      <c r="D378">
        <v>26.3</v>
      </c>
      <c r="E378">
        <v>1.9</v>
      </c>
      <c r="F378">
        <v>7.9</v>
      </c>
      <c r="G378">
        <v>2.5</v>
      </c>
      <c r="H378" s="2">
        <v>76890</v>
      </c>
      <c r="I378" t="s">
        <v>28</v>
      </c>
      <c r="J378">
        <v>1</v>
      </c>
      <c r="K378" t="s">
        <v>16</v>
      </c>
      <c r="L378">
        <v>4</v>
      </c>
      <c r="M378" t="s">
        <v>16</v>
      </c>
      <c r="N378">
        <v>6</v>
      </c>
    </row>
    <row r="379" spans="1:14" x14ac:dyDescent="0.3">
      <c r="A379" t="s">
        <v>408</v>
      </c>
      <c r="B379" t="str">
        <f>"53-7041"</f>
        <v>53-7041</v>
      </c>
      <c r="C379">
        <v>5</v>
      </c>
      <c r="D379">
        <v>5.2</v>
      </c>
      <c r="E379">
        <v>0.2</v>
      </c>
      <c r="F379">
        <v>3.4</v>
      </c>
      <c r="G379">
        <v>0.6</v>
      </c>
      <c r="H379" s="2">
        <v>62610</v>
      </c>
      <c r="I379" t="s">
        <v>43</v>
      </c>
      <c r="J379">
        <v>8</v>
      </c>
      <c r="K379" t="s">
        <v>16</v>
      </c>
      <c r="L379">
        <v>4</v>
      </c>
      <c r="M379" t="s">
        <v>30</v>
      </c>
      <c r="N379">
        <v>5</v>
      </c>
    </row>
    <row r="380" spans="1:14" x14ac:dyDescent="0.3">
      <c r="A380" t="s">
        <v>409</v>
      </c>
      <c r="B380" t="str">
        <f>"49-9031"</f>
        <v>49-9031</v>
      </c>
      <c r="C380">
        <v>31.6</v>
      </c>
      <c r="D380">
        <v>30.4</v>
      </c>
      <c r="E380">
        <v>-1.1000000000000001</v>
      </c>
      <c r="F380">
        <v>-3.6</v>
      </c>
      <c r="G380">
        <v>2.9</v>
      </c>
      <c r="H380" s="2">
        <v>41610</v>
      </c>
      <c r="I380" t="s">
        <v>25</v>
      </c>
      <c r="J380">
        <v>7</v>
      </c>
      <c r="K380" t="s">
        <v>16</v>
      </c>
      <c r="L380">
        <v>4</v>
      </c>
      <c r="M380" t="s">
        <v>26</v>
      </c>
      <c r="N380">
        <v>4</v>
      </c>
    </row>
    <row r="381" spans="1:14" x14ac:dyDescent="0.3">
      <c r="A381" t="s">
        <v>410</v>
      </c>
      <c r="B381" t="str">
        <f>"31-1120"</f>
        <v>31-1120</v>
      </c>
      <c r="C381" s="1">
        <v>3470.7</v>
      </c>
      <c r="D381" s="1">
        <v>4600.6000000000004</v>
      </c>
      <c r="E381" s="1">
        <v>1129.9000000000001</v>
      </c>
      <c r="F381">
        <v>32.6</v>
      </c>
      <c r="G381">
        <v>599.79999999999995</v>
      </c>
      <c r="H381" s="2">
        <v>27080</v>
      </c>
      <c r="I381" t="s">
        <v>25</v>
      </c>
      <c r="J381">
        <v>7</v>
      </c>
      <c r="K381" t="s">
        <v>16</v>
      </c>
      <c r="L381">
        <v>4</v>
      </c>
      <c r="M381" t="s">
        <v>30</v>
      </c>
      <c r="N381">
        <v>5</v>
      </c>
    </row>
    <row r="382" spans="1:14" x14ac:dyDescent="0.3">
      <c r="A382" t="s">
        <v>411</v>
      </c>
      <c r="B382" t="str">
        <f>"35-9031"</f>
        <v>35-9031</v>
      </c>
      <c r="C382">
        <v>333.6</v>
      </c>
      <c r="D382">
        <v>417.8</v>
      </c>
      <c r="E382">
        <v>84.2</v>
      </c>
      <c r="F382">
        <v>25.3</v>
      </c>
      <c r="G382">
        <v>95.2</v>
      </c>
      <c r="H382" s="2">
        <v>23880</v>
      </c>
      <c r="I382" t="s">
        <v>43</v>
      </c>
      <c r="J382">
        <v>8</v>
      </c>
      <c r="K382" t="s">
        <v>16</v>
      </c>
      <c r="L382">
        <v>4</v>
      </c>
      <c r="M382" t="s">
        <v>30</v>
      </c>
      <c r="N382">
        <v>5</v>
      </c>
    </row>
    <row r="383" spans="1:14" x14ac:dyDescent="0.3">
      <c r="A383" t="s">
        <v>412</v>
      </c>
      <c r="B383" t="str">
        <f>"43-4081"</f>
        <v>43-4081</v>
      </c>
      <c r="C383">
        <v>221</v>
      </c>
      <c r="D383">
        <v>257.3</v>
      </c>
      <c r="E383">
        <v>36.299999999999997</v>
      </c>
      <c r="F383">
        <v>16.399999999999999</v>
      </c>
      <c r="G383">
        <v>42.8</v>
      </c>
      <c r="H383" s="2">
        <v>25490</v>
      </c>
      <c r="I383" t="s">
        <v>25</v>
      </c>
      <c r="J383">
        <v>7</v>
      </c>
      <c r="K383" t="s">
        <v>16</v>
      </c>
      <c r="L383">
        <v>4</v>
      </c>
      <c r="M383" t="s">
        <v>30</v>
      </c>
      <c r="N383">
        <v>5</v>
      </c>
    </row>
    <row r="384" spans="1:14" x14ac:dyDescent="0.3">
      <c r="A384" t="s">
        <v>413</v>
      </c>
      <c r="B384" t="str">
        <f>"43-4161"</f>
        <v>43-4161</v>
      </c>
      <c r="C384">
        <v>112</v>
      </c>
      <c r="D384">
        <v>108.8</v>
      </c>
      <c r="E384">
        <v>-3.2</v>
      </c>
      <c r="F384">
        <v>-2.9</v>
      </c>
      <c r="G384">
        <v>10.6</v>
      </c>
      <c r="H384" s="2">
        <v>43250</v>
      </c>
      <c r="I384" t="s">
        <v>37</v>
      </c>
      <c r="J384">
        <v>4</v>
      </c>
      <c r="K384" t="s">
        <v>16</v>
      </c>
      <c r="L384">
        <v>4</v>
      </c>
      <c r="M384" t="s">
        <v>16</v>
      </c>
      <c r="N384">
        <v>6</v>
      </c>
    </row>
    <row r="385" spans="1:14" x14ac:dyDescent="0.3">
      <c r="A385" t="s">
        <v>414</v>
      </c>
      <c r="B385" t="str">
        <f>"11-3121"</f>
        <v>11-3121</v>
      </c>
      <c r="C385">
        <v>161.69999999999999</v>
      </c>
      <c r="D385">
        <v>176.5</v>
      </c>
      <c r="E385">
        <v>14.8</v>
      </c>
      <c r="F385">
        <v>9.1999999999999993</v>
      </c>
      <c r="G385">
        <v>14.8</v>
      </c>
      <c r="H385" s="2">
        <v>121220</v>
      </c>
      <c r="I385" t="s">
        <v>15</v>
      </c>
      <c r="J385">
        <v>3</v>
      </c>
      <c r="K385" t="s">
        <v>29</v>
      </c>
      <c r="L385">
        <v>1</v>
      </c>
      <c r="M385" t="s">
        <v>16</v>
      </c>
      <c r="N385">
        <v>6</v>
      </c>
    </row>
    <row r="386" spans="1:14" x14ac:dyDescent="0.3">
      <c r="A386" t="s">
        <v>415</v>
      </c>
      <c r="B386" t="str">
        <f>"13-1071"</f>
        <v>13-1071</v>
      </c>
      <c r="C386">
        <v>674.8</v>
      </c>
      <c r="D386">
        <v>745.1</v>
      </c>
      <c r="E386">
        <v>70.2</v>
      </c>
      <c r="F386">
        <v>10.4</v>
      </c>
      <c r="G386">
        <v>73.400000000000006</v>
      </c>
      <c r="H386" s="2">
        <v>63490</v>
      </c>
      <c r="I386" t="s">
        <v>15</v>
      </c>
      <c r="J386">
        <v>3</v>
      </c>
      <c r="K386" t="s">
        <v>16</v>
      </c>
      <c r="L386">
        <v>4</v>
      </c>
      <c r="M386" t="s">
        <v>16</v>
      </c>
      <c r="N386">
        <v>6</v>
      </c>
    </row>
    <row r="387" spans="1:14" x14ac:dyDescent="0.3">
      <c r="A387" t="s">
        <v>416</v>
      </c>
      <c r="B387" t="str">
        <f>"19-2043"</f>
        <v>19-2043</v>
      </c>
      <c r="C387">
        <v>6.5</v>
      </c>
      <c r="D387">
        <v>6.9</v>
      </c>
      <c r="E387">
        <v>0.4</v>
      </c>
      <c r="F387">
        <v>5.6</v>
      </c>
      <c r="G387">
        <v>0.7</v>
      </c>
      <c r="H387" s="2">
        <v>84040</v>
      </c>
      <c r="I387" t="s">
        <v>15</v>
      </c>
      <c r="J387">
        <v>3</v>
      </c>
      <c r="K387" t="s">
        <v>16</v>
      </c>
      <c r="L387">
        <v>4</v>
      </c>
      <c r="M387" t="s">
        <v>16</v>
      </c>
      <c r="N387">
        <v>6</v>
      </c>
    </row>
    <row r="388" spans="1:14" x14ac:dyDescent="0.3">
      <c r="A388" t="s">
        <v>417</v>
      </c>
      <c r="B388" t="str">
        <f>"17-3026"</f>
        <v>17-3026</v>
      </c>
      <c r="C388">
        <v>64.099999999999994</v>
      </c>
      <c r="D388">
        <v>66.900000000000006</v>
      </c>
      <c r="E388">
        <v>2.8</v>
      </c>
      <c r="F388">
        <v>4.4000000000000004</v>
      </c>
      <c r="G388">
        <v>6.3</v>
      </c>
      <c r="H388" s="2">
        <v>57320</v>
      </c>
      <c r="I388" t="s">
        <v>37</v>
      </c>
      <c r="J388">
        <v>4</v>
      </c>
      <c r="K388" t="s">
        <v>16</v>
      </c>
      <c r="L388">
        <v>4</v>
      </c>
      <c r="M388" t="s">
        <v>16</v>
      </c>
      <c r="N388">
        <v>6</v>
      </c>
    </row>
    <row r="389" spans="1:14" x14ac:dyDescent="0.3">
      <c r="A389" t="s">
        <v>418</v>
      </c>
      <c r="B389" t="str">
        <f>"17-2112"</f>
        <v>17-2112</v>
      </c>
      <c r="C389">
        <v>292</v>
      </c>
      <c r="D389">
        <v>332</v>
      </c>
      <c r="E389">
        <v>40</v>
      </c>
      <c r="F389">
        <v>13.7</v>
      </c>
      <c r="G389">
        <v>23.3</v>
      </c>
      <c r="H389" s="2">
        <v>88950</v>
      </c>
      <c r="I389" t="s">
        <v>15</v>
      </c>
      <c r="J389">
        <v>3</v>
      </c>
      <c r="K389" t="s">
        <v>16</v>
      </c>
      <c r="L389">
        <v>4</v>
      </c>
      <c r="M389" t="s">
        <v>16</v>
      </c>
      <c r="N389">
        <v>6</v>
      </c>
    </row>
    <row r="390" spans="1:14" x14ac:dyDescent="0.3">
      <c r="A390" t="s">
        <v>419</v>
      </c>
      <c r="B390" t="str">
        <f>"49-9041"</f>
        <v>49-9041</v>
      </c>
      <c r="C390">
        <v>391.8</v>
      </c>
      <c r="D390">
        <v>475.3</v>
      </c>
      <c r="E390">
        <v>83.6</v>
      </c>
      <c r="F390">
        <v>21.3</v>
      </c>
      <c r="G390">
        <v>45.1</v>
      </c>
      <c r="H390" s="2">
        <v>55490</v>
      </c>
      <c r="I390" t="s">
        <v>25</v>
      </c>
      <c r="J390">
        <v>7</v>
      </c>
      <c r="K390" t="s">
        <v>16</v>
      </c>
      <c r="L390">
        <v>4</v>
      </c>
      <c r="M390" t="s">
        <v>20</v>
      </c>
      <c r="N390">
        <v>3</v>
      </c>
    </row>
    <row r="391" spans="1:14" x14ac:dyDescent="0.3">
      <c r="A391" t="s">
        <v>420</v>
      </c>
      <c r="B391" t="str">
        <f>"11-3051"</f>
        <v>11-3051</v>
      </c>
      <c r="C391">
        <v>189.3</v>
      </c>
      <c r="D391">
        <v>199.3</v>
      </c>
      <c r="E391">
        <v>10</v>
      </c>
      <c r="F391">
        <v>5.3</v>
      </c>
      <c r="G391">
        <v>13.9</v>
      </c>
      <c r="H391" s="2">
        <v>108790</v>
      </c>
      <c r="I391" t="s">
        <v>15</v>
      </c>
      <c r="J391">
        <v>3</v>
      </c>
      <c r="K391" t="s">
        <v>29</v>
      </c>
      <c r="L391">
        <v>1</v>
      </c>
      <c r="M391" t="s">
        <v>16</v>
      </c>
      <c r="N391">
        <v>6</v>
      </c>
    </row>
    <row r="392" spans="1:14" x14ac:dyDescent="0.3">
      <c r="A392" t="s">
        <v>421</v>
      </c>
      <c r="B392" t="str">
        <f>"53-7051"</f>
        <v>53-7051</v>
      </c>
      <c r="C392">
        <v>631.6</v>
      </c>
      <c r="D392">
        <v>680.3</v>
      </c>
      <c r="E392">
        <v>48.7</v>
      </c>
      <c r="F392">
        <v>7.7</v>
      </c>
      <c r="G392">
        <v>75</v>
      </c>
      <c r="H392" s="2">
        <v>37560</v>
      </c>
      <c r="I392" t="s">
        <v>43</v>
      </c>
      <c r="J392">
        <v>8</v>
      </c>
      <c r="K392" t="s">
        <v>16</v>
      </c>
      <c r="L392">
        <v>4</v>
      </c>
      <c r="M392" t="s">
        <v>30</v>
      </c>
      <c r="N392">
        <v>5</v>
      </c>
    </row>
    <row r="393" spans="1:14" x14ac:dyDescent="0.3">
      <c r="A393" t="s">
        <v>422</v>
      </c>
      <c r="B393" t="str">
        <f>"19-3032"</f>
        <v>19-3032</v>
      </c>
      <c r="C393">
        <v>4.9000000000000004</v>
      </c>
      <c r="D393">
        <v>5</v>
      </c>
      <c r="E393">
        <v>0.1</v>
      </c>
      <c r="F393">
        <v>2.2000000000000002</v>
      </c>
      <c r="G393">
        <v>0.3</v>
      </c>
      <c r="H393" s="2">
        <v>96270</v>
      </c>
      <c r="I393" t="s">
        <v>23</v>
      </c>
      <c r="J393">
        <v>2</v>
      </c>
      <c r="K393" t="s">
        <v>16</v>
      </c>
      <c r="L393">
        <v>4</v>
      </c>
      <c r="M393" t="s">
        <v>58</v>
      </c>
      <c r="N393">
        <v>1</v>
      </c>
    </row>
    <row r="394" spans="1:14" x14ac:dyDescent="0.3">
      <c r="A394" t="s">
        <v>423</v>
      </c>
      <c r="B394" t="str">
        <f>"43-4199"</f>
        <v>43-4199</v>
      </c>
      <c r="C394">
        <v>159.9</v>
      </c>
      <c r="D394">
        <v>168.1</v>
      </c>
      <c r="E394">
        <v>8.1999999999999993</v>
      </c>
      <c r="F394">
        <v>5.0999999999999996</v>
      </c>
      <c r="G394">
        <v>18.3</v>
      </c>
      <c r="H394" s="2">
        <v>42820</v>
      </c>
      <c r="I394" t="s">
        <v>25</v>
      </c>
      <c r="J394">
        <v>7</v>
      </c>
      <c r="K394" t="s">
        <v>16</v>
      </c>
      <c r="L394">
        <v>4</v>
      </c>
      <c r="M394" t="s">
        <v>30</v>
      </c>
      <c r="N394">
        <v>5</v>
      </c>
    </row>
    <row r="395" spans="1:14" x14ac:dyDescent="0.3">
      <c r="A395" t="s">
        <v>424</v>
      </c>
      <c r="B395" t="str">
        <f>"15-1212"</f>
        <v>15-1212</v>
      </c>
      <c r="C395">
        <v>141.19999999999999</v>
      </c>
      <c r="D395">
        <v>188.3</v>
      </c>
      <c r="E395">
        <v>47.1</v>
      </c>
      <c r="F395">
        <v>33.299999999999997</v>
      </c>
      <c r="G395">
        <v>16.3</v>
      </c>
      <c r="H395" s="2">
        <v>103590</v>
      </c>
      <c r="I395" t="s">
        <v>15</v>
      </c>
      <c r="J395">
        <v>3</v>
      </c>
      <c r="K395" t="s">
        <v>32</v>
      </c>
      <c r="L395">
        <v>2</v>
      </c>
      <c r="M395" t="s">
        <v>16</v>
      </c>
      <c r="N395">
        <v>6</v>
      </c>
    </row>
    <row r="396" spans="1:14" x14ac:dyDescent="0.3">
      <c r="A396" t="s">
        <v>425</v>
      </c>
      <c r="B396" t="str">
        <f>"51-9061"</f>
        <v>51-9061</v>
      </c>
      <c r="C396">
        <v>557.9</v>
      </c>
      <c r="D396">
        <v>489.8</v>
      </c>
      <c r="E396">
        <v>-68.099999999999994</v>
      </c>
      <c r="F396">
        <v>-12.2</v>
      </c>
      <c r="G396">
        <v>54.9</v>
      </c>
      <c r="H396" s="2">
        <v>40460</v>
      </c>
      <c r="I396" t="s">
        <v>25</v>
      </c>
      <c r="J396">
        <v>7</v>
      </c>
      <c r="K396" t="s">
        <v>16</v>
      </c>
      <c r="L396">
        <v>4</v>
      </c>
      <c r="M396" t="s">
        <v>26</v>
      </c>
      <c r="N396">
        <v>4</v>
      </c>
    </row>
    <row r="397" spans="1:14" x14ac:dyDescent="0.3">
      <c r="A397" t="s">
        <v>426</v>
      </c>
      <c r="B397" t="str">
        <f>"49-9099"</f>
        <v>49-9099</v>
      </c>
      <c r="C397">
        <v>173.2</v>
      </c>
      <c r="D397">
        <v>183.4</v>
      </c>
      <c r="E397">
        <v>10.199999999999999</v>
      </c>
      <c r="F397">
        <v>5.9</v>
      </c>
      <c r="G397">
        <v>19.2</v>
      </c>
      <c r="H397" s="2">
        <v>42480</v>
      </c>
      <c r="I397" t="s">
        <v>25</v>
      </c>
      <c r="J397">
        <v>7</v>
      </c>
      <c r="K397" t="s">
        <v>16</v>
      </c>
      <c r="L397">
        <v>4</v>
      </c>
      <c r="M397" t="s">
        <v>26</v>
      </c>
      <c r="N397">
        <v>4</v>
      </c>
    </row>
    <row r="398" spans="1:14" x14ac:dyDescent="0.3">
      <c r="A398" t="s">
        <v>427</v>
      </c>
      <c r="B398" t="str">
        <f>"25-9031"</f>
        <v>25-9031</v>
      </c>
      <c r="C398">
        <v>190.4</v>
      </c>
      <c r="D398">
        <v>208.9</v>
      </c>
      <c r="E398">
        <v>18.399999999999999</v>
      </c>
      <c r="F398">
        <v>9.6999999999999993</v>
      </c>
      <c r="G398">
        <v>20.399999999999999</v>
      </c>
      <c r="H398" s="2">
        <v>66970</v>
      </c>
      <c r="I398" t="s">
        <v>23</v>
      </c>
      <c r="J398">
        <v>2</v>
      </c>
      <c r="K398" t="s">
        <v>29</v>
      </c>
      <c r="L398">
        <v>1</v>
      </c>
      <c r="M398" t="s">
        <v>16</v>
      </c>
      <c r="N398">
        <v>6</v>
      </c>
    </row>
    <row r="399" spans="1:14" x14ac:dyDescent="0.3">
      <c r="A399" t="s">
        <v>428</v>
      </c>
      <c r="B399" t="str">
        <f>"47-2131"</f>
        <v>47-2131</v>
      </c>
      <c r="C399">
        <v>33.299999999999997</v>
      </c>
      <c r="D399">
        <v>34.9</v>
      </c>
      <c r="E399">
        <v>1.6</v>
      </c>
      <c r="F399">
        <v>4.9000000000000004</v>
      </c>
      <c r="G399">
        <v>3.3</v>
      </c>
      <c r="H399" s="2">
        <v>41690</v>
      </c>
      <c r="I399" t="s">
        <v>43</v>
      </c>
      <c r="J399">
        <v>8</v>
      </c>
      <c r="K399" t="s">
        <v>16</v>
      </c>
      <c r="L399">
        <v>4</v>
      </c>
      <c r="M399" t="s">
        <v>30</v>
      </c>
      <c r="N399">
        <v>5</v>
      </c>
    </row>
    <row r="400" spans="1:14" x14ac:dyDescent="0.3">
      <c r="A400" t="s">
        <v>429</v>
      </c>
      <c r="B400" t="str">
        <f>"47-2132"</f>
        <v>47-2132</v>
      </c>
      <c r="C400">
        <v>28.2</v>
      </c>
      <c r="D400">
        <v>29.6</v>
      </c>
      <c r="E400">
        <v>1.4</v>
      </c>
      <c r="F400">
        <v>5.0999999999999996</v>
      </c>
      <c r="G400">
        <v>2.8</v>
      </c>
      <c r="H400" s="2">
        <v>50030</v>
      </c>
      <c r="I400" t="s">
        <v>25</v>
      </c>
      <c r="J400">
        <v>7</v>
      </c>
      <c r="K400" t="s">
        <v>16</v>
      </c>
      <c r="L400">
        <v>4</v>
      </c>
      <c r="M400" t="s">
        <v>103</v>
      </c>
      <c r="N400">
        <v>2</v>
      </c>
    </row>
    <row r="401" spans="1:14" x14ac:dyDescent="0.3">
      <c r="A401" t="s">
        <v>430</v>
      </c>
      <c r="B401" t="str">
        <f>"13-1032"</f>
        <v>13-1032</v>
      </c>
      <c r="C401">
        <v>15.6</v>
      </c>
      <c r="D401">
        <v>15.7</v>
      </c>
      <c r="E401">
        <v>0.1</v>
      </c>
      <c r="F401">
        <v>0.6</v>
      </c>
      <c r="G401">
        <v>1.2</v>
      </c>
      <c r="H401" s="2">
        <v>65550</v>
      </c>
      <c r="I401" t="s">
        <v>50</v>
      </c>
      <c r="J401">
        <v>5</v>
      </c>
      <c r="K401" t="s">
        <v>16</v>
      </c>
      <c r="L401">
        <v>4</v>
      </c>
      <c r="M401" t="s">
        <v>26</v>
      </c>
      <c r="N401">
        <v>4</v>
      </c>
    </row>
    <row r="402" spans="1:14" x14ac:dyDescent="0.3">
      <c r="A402" t="s">
        <v>431</v>
      </c>
      <c r="B402" t="str">
        <f>"43-9041"</f>
        <v>43-9041</v>
      </c>
      <c r="C402">
        <v>277.89999999999998</v>
      </c>
      <c r="D402">
        <v>281.8</v>
      </c>
      <c r="E402">
        <v>3.9</v>
      </c>
      <c r="F402">
        <v>1.4</v>
      </c>
      <c r="G402">
        <v>26.7</v>
      </c>
      <c r="H402" s="2">
        <v>42050</v>
      </c>
      <c r="I402" t="s">
        <v>25</v>
      </c>
      <c r="J402">
        <v>7</v>
      </c>
      <c r="K402" t="s">
        <v>16</v>
      </c>
      <c r="L402">
        <v>4</v>
      </c>
      <c r="M402" t="s">
        <v>26</v>
      </c>
      <c r="N402">
        <v>4</v>
      </c>
    </row>
    <row r="403" spans="1:14" x14ac:dyDescent="0.3">
      <c r="A403" t="s">
        <v>432</v>
      </c>
      <c r="B403" t="str">
        <f>"41-3021"</f>
        <v>41-3021</v>
      </c>
      <c r="C403">
        <v>507.2</v>
      </c>
      <c r="D403">
        <v>542.70000000000005</v>
      </c>
      <c r="E403">
        <v>35.5</v>
      </c>
      <c r="F403">
        <v>7</v>
      </c>
      <c r="G403">
        <v>50.4</v>
      </c>
      <c r="H403" s="2">
        <v>52180</v>
      </c>
      <c r="I403" t="s">
        <v>25</v>
      </c>
      <c r="J403">
        <v>7</v>
      </c>
      <c r="K403" t="s">
        <v>16</v>
      </c>
      <c r="L403">
        <v>4</v>
      </c>
      <c r="M403" t="s">
        <v>26</v>
      </c>
      <c r="N403">
        <v>4</v>
      </c>
    </row>
    <row r="404" spans="1:14" x14ac:dyDescent="0.3">
      <c r="A404" t="s">
        <v>433</v>
      </c>
      <c r="B404" t="str">
        <f>"13-2053"</f>
        <v>13-2053</v>
      </c>
      <c r="C404">
        <v>119.4</v>
      </c>
      <c r="D404">
        <v>117.2</v>
      </c>
      <c r="E404">
        <v>-2.2000000000000002</v>
      </c>
      <c r="F404">
        <v>-1.8</v>
      </c>
      <c r="G404">
        <v>8.3000000000000007</v>
      </c>
      <c r="H404" s="2">
        <v>71790</v>
      </c>
      <c r="I404" t="s">
        <v>15</v>
      </c>
      <c r="J404">
        <v>3</v>
      </c>
      <c r="K404" t="s">
        <v>16</v>
      </c>
      <c r="L404">
        <v>4</v>
      </c>
      <c r="M404" t="s">
        <v>26</v>
      </c>
      <c r="N404">
        <v>4</v>
      </c>
    </row>
    <row r="405" spans="1:14" x14ac:dyDescent="0.3">
      <c r="A405" t="s">
        <v>434</v>
      </c>
      <c r="B405" t="str">
        <f>"27-1025"</f>
        <v>27-1025</v>
      </c>
      <c r="C405">
        <v>87</v>
      </c>
      <c r="D405">
        <v>86.9</v>
      </c>
      <c r="E405">
        <v>-0.2</v>
      </c>
      <c r="F405">
        <v>-0.2</v>
      </c>
      <c r="G405">
        <v>7.8</v>
      </c>
      <c r="H405" s="2">
        <v>57060</v>
      </c>
      <c r="I405" t="s">
        <v>15</v>
      </c>
      <c r="J405">
        <v>3</v>
      </c>
      <c r="K405" t="s">
        <v>16</v>
      </c>
      <c r="L405">
        <v>4</v>
      </c>
      <c r="M405" t="s">
        <v>16</v>
      </c>
      <c r="N405">
        <v>6</v>
      </c>
    </row>
    <row r="406" spans="1:14" x14ac:dyDescent="0.3">
      <c r="A406" t="s">
        <v>435</v>
      </c>
      <c r="B406" t="str">
        <f>"27-3091"</f>
        <v>27-3091</v>
      </c>
      <c r="C406">
        <v>81.400000000000006</v>
      </c>
      <c r="D406">
        <v>100.7</v>
      </c>
      <c r="E406">
        <v>19.3</v>
      </c>
      <c r="F406">
        <v>23.7</v>
      </c>
      <c r="G406">
        <v>10.4</v>
      </c>
      <c r="H406" s="2">
        <v>52330</v>
      </c>
      <c r="I406" t="s">
        <v>15</v>
      </c>
      <c r="J406">
        <v>3</v>
      </c>
      <c r="K406" t="s">
        <v>16</v>
      </c>
      <c r="L406">
        <v>4</v>
      </c>
      <c r="M406" t="s">
        <v>16</v>
      </c>
      <c r="N406">
        <v>6</v>
      </c>
    </row>
    <row r="407" spans="1:14" x14ac:dyDescent="0.3">
      <c r="A407" t="s">
        <v>436</v>
      </c>
      <c r="B407" t="str">
        <f>"43-4111"</f>
        <v>43-4111</v>
      </c>
      <c r="C407">
        <v>180.2</v>
      </c>
      <c r="D407">
        <v>168.4</v>
      </c>
      <c r="E407">
        <v>-11.8</v>
      </c>
      <c r="F407">
        <v>-6.5</v>
      </c>
      <c r="G407">
        <v>20.100000000000001</v>
      </c>
      <c r="H407" s="2">
        <v>36170</v>
      </c>
      <c r="I407" t="s">
        <v>25</v>
      </c>
      <c r="J407">
        <v>7</v>
      </c>
      <c r="K407" t="s">
        <v>16</v>
      </c>
      <c r="L407">
        <v>4</v>
      </c>
      <c r="M407" t="s">
        <v>30</v>
      </c>
      <c r="N407">
        <v>5</v>
      </c>
    </row>
    <row r="408" spans="1:14" x14ac:dyDescent="0.3">
      <c r="A408" t="s">
        <v>437</v>
      </c>
      <c r="B408" t="str">
        <f>"37-2011"</f>
        <v>37-2011</v>
      </c>
      <c r="C408" s="1">
        <v>2217</v>
      </c>
      <c r="D408" s="1">
        <v>2344.1999999999998</v>
      </c>
      <c r="E408">
        <v>127.2</v>
      </c>
      <c r="F408">
        <v>5.7</v>
      </c>
      <c r="G408">
        <v>314.89999999999998</v>
      </c>
      <c r="H408" s="2">
        <v>29080</v>
      </c>
      <c r="I408" t="s">
        <v>43</v>
      </c>
      <c r="J408">
        <v>8</v>
      </c>
      <c r="K408" t="s">
        <v>16</v>
      </c>
      <c r="L408">
        <v>4</v>
      </c>
      <c r="M408" t="s">
        <v>30</v>
      </c>
      <c r="N408">
        <v>5</v>
      </c>
    </row>
    <row r="409" spans="1:14" x14ac:dyDescent="0.3">
      <c r="A409" t="s">
        <v>438</v>
      </c>
      <c r="B409" t="str">
        <f>"51-9071"</f>
        <v>51-9071</v>
      </c>
      <c r="C409">
        <v>32.4</v>
      </c>
      <c r="D409">
        <v>32.1</v>
      </c>
      <c r="E409">
        <v>-0.3</v>
      </c>
      <c r="F409">
        <v>-0.8</v>
      </c>
      <c r="G409">
        <v>3.8</v>
      </c>
      <c r="H409" s="2">
        <v>41900</v>
      </c>
      <c r="I409" t="s">
        <v>25</v>
      </c>
      <c r="J409">
        <v>7</v>
      </c>
      <c r="K409" t="s">
        <v>16</v>
      </c>
      <c r="L409">
        <v>4</v>
      </c>
      <c r="M409" t="s">
        <v>20</v>
      </c>
      <c r="N409">
        <v>3</v>
      </c>
    </row>
    <row r="410" spans="1:14" x14ac:dyDescent="0.3">
      <c r="A410" t="s">
        <v>439</v>
      </c>
      <c r="B410" t="str">
        <f>"23-1023"</f>
        <v>23-1023</v>
      </c>
      <c r="C410">
        <v>29.4</v>
      </c>
      <c r="D410">
        <v>30.4</v>
      </c>
      <c r="E410">
        <v>1</v>
      </c>
      <c r="F410">
        <v>3.4</v>
      </c>
      <c r="G410">
        <v>1.5</v>
      </c>
      <c r="H410" s="2">
        <v>141080</v>
      </c>
      <c r="I410" t="s">
        <v>28</v>
      </c>
      <c r="J410">
        <v>1</v>
      </c>
      <c r="K410" t="s">
        <v>29</v>
      </c>
      <c r="L410">
        <v>1</v>
      </c>
      <c r="M410" t="s">
        <v>30</v>
      </c>
      <c r="N410">
        <v>5</v>
      </c>
    </row>
    <row r="411" spans="1:14" x14ac:dyDescent="0.3">
      <c r="A411" t="s">
        <v>440</v>
      </c>
      <c r="B411" t="str">
        <f>"23-1012"</f>
        <v>23-1012</v>
      </c>
      <c r="C411">
        <v>15.1</v>
      </c>
      <c r="D411">
        <v>15.7</v>
      </c>
      <c r="E411">
        <v>0.6</v>
      </c>
      <c r="F411">
        <v>3.9</v>
      </c>
      <c r="G411">
        <v>1.1000000000000001</v>
      </c>
      <c r="H411" s="2">
        <v>57510</v>
      </c>
      <c r="I411" t="s">
        <v>28</v>
      </c>
      <c r="J411">
        <v>1</v>
      </c>
      <c r="K411" t="s">
        <v>16</v>
      </c>
      <c r="L411">
        <v>4</v>
      </c>
      <c r="M411" t="s">
        <v>16</v>
      </c>
      <c r="N411">
        <v>6</v>
      </c>
    </row>
    <row r="412" spans="1:14" x14ac:dyDescent="0.3">
      <c r="A412" t="s">
        <v>441</v>
      </c>
      <c r="B412" t="str">
        <f>"25-2012"</f>
        <v>25-2012</v>
      </c>
      <c r="C412">
        <v>121.3</v>
      </c>
      <c r="D412">
        <v>131.1</v>
      </c>
      <c r="E412">
        <v>9.8000000000000007</v>
      </c>
      <c r="F412">
        <v>8.1</v>
      </c>
      <c r="G412">
        <v>13.5</v>
      </c>
      <c r="H412" s="2">
        <v>57860</v>
      </c>
      <c r="I412" t="s">
        <v>15</v>
      </c>
      <c r="J412">
        <v>3</v>
      </c>
      <c r="K412" t="s">
        <v>16</v>
      </c>
      <c r="L412">
        <v>4</v>
      </c>
      <c r="M412" t="s">
        <v>16</v>
      </c>
      <c r="N412">
        <v>6</v>
      </c>
    </row>
    <row r="413" spans="1:14" x14ac:dyDescent="0.3">
      <c r="A413" t="s">
        <v>442</v>
      </c>
      <c r="B413" t="str">
        <f>"13-1075"</f>
        <v>13-1075</v>
      </c>
      <c r="C413">
        <v>73.5</v>
      </c>
      <c r="D413">
        <v>70.3</v>
      </c>
      <c r="E413">
        <v>-3.2</v>
      </c>
      <c r="F413">
        <v>-4.3</v>
      </c>
      <c r="G413">
        <v>6.4</v>
      </c>
      <c r="H413" s="2">
        <v>73240</v>
      </c>
      <c r="I413" t="s">
        <v>15</v>
      </c>
      <c r="J413">
        <v>3</v>
      </c>
      <c r="K413" t="s">
        <v>32</v>
      </c>
      <c r="L413">
        <v>2</v>
      </c>
      <c r="M413" t="s">
        <v>16</v>
      </c>
      <c r="N413">
        <v>6</v>
      </c>
    </row>
    <row r="414" spans="1:14" x14ac:dyDescent="0.3">
      <c r="A414" t="s">
        <v>443</v>
      </c>
      <c r="B414" t="str">
        <f>"53-7062"</f>
        <v>53-7062</v>
      </c>
      <c r="C414" s="1">
        <v>2821.7</v>
      </c>
      <c r="D414" s="1">
        <v>3077.5</v>
      </c>
      <c r="E414">
        <v>255.8</v>
      </c>
      <c r="F414">
        <v>9.1</v>
      </c>
      <c r="G414">
        <v>411.3</v>
      </c>
      <c r="H414" s="2">
        <v>31120</v>
      </c>
      <c r="I414" t="s">
        <v>43</v>
      </c>
      <c r="J414">
        <v>8</v>
      </c>
      <c r="K414" t="s">
        <v>16</v>
      </c>
      <c r="L414">
        <v>4</v>
      </c>
      <c r="M414" t="s">
        <v>30</v>
      </c>
      <c r="N414">
        <v>5</v>
      </c>
    </row>
    <row r="415" spans="1:14" x14ac:dyDescent="0.3">
      <c r="A415" t="s">
        <v>444</v>
      </c>
      <c r="B415" t="str">
        <f>"17-1012"</f>
        <v>17-1012</v>
      </c>
      <c r="C415">
        <v>23.7</v>
      </c>
      <c r="D415">
        <v>23.6</v>
      </c>
      <c r="E415">
        <v>-0.1</v>
      </c>
      <c r="F415">
        <v>-0.3</v>
      </c>
      <c r="G415">
        <v>1.6</v>
      </c>
      <c r="H415" s="2">
        <v>70630</v>
      </c>
      <c r="I415" t="s">
        <v>15</v>
      </c>
      <c r="J415">
        <v>3</v>
      </c>
      <c r="K415" t="s">
        <v>16</v>
      </c>
      <c r="L415">
        <v>4</v>
      </c>
      <c r="M415" t="s">
        <v>58</v>
      </c>
      <c r="N415">
        <v>1</v>
      </c>
    </row>
    <row r="416" spans="1:14" x14ac:dyDescent="0.3">
      <c r="A416" t="s">
        <v>445</v>
      </c>
      <c r="B416" t="str">
        <f>"37-3011"</f>
        <v>37-3011</v>
      </c>
      <c r="C416" s="1">
        <v>1117.8</v>
      </c>
      <c r="D416" s="1">
        <v>1202.8</v>
      </c>
      <c r="E416">
        <v>85</v>
      </c>
      <c r="F416">
        <v>7.6</v>
      </c>
      <c r="G416">
        <v>157.9</v>
      </c>
      <c r="H416" s="2">
        <v>31730</v>
      </c>
      <c r="I416" t="s">
        <v>43</v>
      </c>
      <c r="J416">
        <v>8</v>
      </c>
      <c r="K416" t="s">
        <v>16</v>
      </c>
      <c r="L416">
        <v>4</v>
      </c>
      <c r="M416" t="s">
        <v>30</v>
      </c>
      <c r="N416">
        <v>5</v>
      </c>
    </row>
    <row r="417" spans="1:14" x14ac:dyDescent="0.3">
      <c r="A417" t="s">
        <v>446</v>
      </c>
      <c r="B417" t="str">
        <f>"51-4034"</f>
        <v>51-4034</v>
      </c>
      <c r="C417">
        <v>23.7</v>
      </c>
      <c r="D417">
        <v>22.7</v>
      </c>
      <c r="E417">
        <v>-1</v>
      </c>
      <c r="F417">
        <v>-4.4000000000000004</v>
      </c>
      <c r="G417">
        <v>2.2000000000000002</v>
      </c>
      <c r="H417" s="2">
        <v>41380</v>
      </c>
      <c r="I417" t="s">
        <v>25</v>
      </c>
      <c r="J417">
        <v>7</v>
      </c>
      <c r="K417" t="s">
        <v>16</v>
      </c>
      <c r="L417">
        <v>4</v>
      </c>
      <c r="M417" t="s">
        <v>26</v>
      </c>
      <c r="N417">
        <v>4</v>
      </c>
    </row>
    <row r="418" spans="1:14" x14ac:dyDescent="0.3">
      <c r="A418" t="s">
        <v>447</v>
      </c>
      <c r="B418" t="str">
        <f>"51-6011"</f>
        <v>51-6011</v>
      </c>
      <c r="C418">
        <v>175.5</v>
      </c>
      <c r="D418">
        <v>196.1</v>
      </c>
      <c r="E418">
        <v>20.6</v>
      </c>
      <c r="F418">
        <v>11.8</v>
      </c>
      <c r="G418">
        <v>26.6</v>
      </c>
      <c r="H418" s="2">
        <v>25470</v>
      </c>
      <c r="I418" t="s">
        <v>43</v>
      </c>
      <c r="J418">
        <v>8</v>
      </c>
      <c r="K418" t="s">
        <v>16</v>
      </c>
      <c r="L418">
        <v>4</v>
      </c>
      <c r="M418" t="s">
        <v>30</v>
      </c>
      <c r="N418">
        <v>5</v>
      </c>
    </row>
    <row r="419" spans="1:14" x14ac:dyDescent="0.3">
      <c r="A419" t="s">
        <v>448</v>
      </c>
      <c r="B419" t="str">
        <f>"25-1112"</f>
        <v>25-1112</v>
      </c>
      <c r="C419">
        <v>18.899999999999999</v>
      </c>
      <c r="D419">
        <v>21</v>
      </c>
      <c r="E419">
        <v>2</v>
      </c>
      <c r="F419">
        <v>10.6</v>
      </c>
      <c r="G419">
        <v>2</v>
      </c>
      <c r="H419" s="2">
        <v>116430</v>
      </c>
      <c r="I419" t="s">
        <v>28</v>
      </c>
      <c r="J419">
        <v>1</v>
      </c>
      <c r="K419" t="s">
        <v>32</v>
      </c>
      <c r="L419">
        <v>2</v>
      </c>
      <c r="M419" t="s">
        <v>16</v>
      </c>
      <c r="N419">
        <v>6</v>
      </c>
    </row>
    <row r="420" spans="1:14" x14ac:dyDescent="0.3">
      <c r="A420" t="s">
        <v>449</v>
      </c>
      <c r="B420" t="str">
        <f>"23-1011"</f>
        <v>23-1011</v>
      </c>
      <c r="C420">
        <v>804.2</v>
      </c>
      <c r="D420">
        <v>875.7</v>
      </c>
      <c r="E420">
        <v>71.5</v>
      </c>
      <c r="F420">
        <v>8.9</v>
      </c>
      <c r="G420">
        <v>46</v>
      </c>
      <c r="H420" s="2">
        <v>126930</v>
      </c>
      <c r="I420" t="s">
        <v>28</v>
      </c>
      <c r="J420">
        <v>1</v>
      </c>
      <c r="K420" t="s">
        <v>16</v>
      </c>
      <c r="L420">
        <v>4</v>
      </c>
      <c r="M420" t="s">
        <v>16</v>
      </c>
      <c r="N420">
        <v>6</v>
      </c>
    </row>
    <row r="421" spans="1:14" x14ac:dyDescent="0.3">
      <c r="A421" t="s">
        <v>450</v>
      </c>
      <c r="B421" t="str">
        <f>"51-4192"</f>
        <v>51-4192</v>
      </c>
      <c r="C421">
        <v>7.9</v>
      </c>
      <c r="D421">
        <v>7.3</v>
      </c>
      <c r="E421">
        <v>-0.5</v>
      </c>
      <c r="F421">
        <v>-6.6</v>
      </c>
      <c r="G421">
        <v>0.7</v>
      </c>
      <c r="H421" s="2">
        <v>52300</v>
      </c>
      <c r="I421" t="s">
        <v>25</v>
      </c>
      <c r="J421">
        <v>7</v>
      </c>
      <c r="K421" t="s">
        <v>16</v>
      </c>
      <c r="L421">
        <v>4</v>
      </c>
      <c r="M421" t="s">
        <v>26</v>
      </c>
      <c r="N421">
        <v>4</v>
      </c>
    </row>
    <row r="422" spans="1:14" x14ac:dyDescent="0.3">
      <c r="A422" t="s">
        <v>451</v>
      </c>
      <c r="B422" t="str">
        <f>"43-6012"</f>
        <v>43-6012</v>
      </c>
      <c r="C422">
        <v>160.4</v>
      </c>
      <c r="D422">
        <v>126.7</v>
      </c>
      <c r="E422">
        <v>-33.6</v>
      </c>
      <c r="F422">
        <v>-21</v>
      </c>
      <c r="G422">
        <v>12</v>
      </c>
      <c r="H422" s="2">
        <v>48980</v>
      </c>
      <c r="I422" t="s">
        <v>25</v>
      </c>
      <c r="J422">
        <v>7</v>
      </c>
      <c r="K422" t="s">
        <v>16</v>
      </c>
      <c r="L422">
        <v>4</v>
      </c>
      <c r="M422" t="s">
        <v>26</v>
      </c>
      <c r="N422">
        <v>4</v>
      </c>
    </row>
    <row r="423" spans="1:14" x14ac:dyDescent="0.3">
      <c r="A423" t="s">
        <v>452</v>
      </c>
      <c r="B423" t="str">
        <f>"23-2099"</f>
        <v>23-2099</v>
      </c>
      <c r="C423">
        <v>49.6</v>
      </c>
      <c r="D423">
        <v>49.8</v>
      </c>
      <c r="E423">
        <v>0.2</v>
      </c>
      <c r="F423">
        <v>0.5</v>
      </c>
      <c r="G423">
        <v>4.7</v>
      </c>
      <c r="H423" s="2">
        <v>59540</v>
      </c>
      <c r="I423" t="s">
        <v>37</v>
      </c>
      <c r="J423">
        <v>4</v>
      </c>
      <c r="K423" t="s">
        <v>16</v>
      </c>
      <c r="L423">
        <v>4</v>
      </c>
      <c r="M423" t="s">
        <v>16</v>
      </c>
      <c r="N423">
        <v>6</v>
      </c>
    </row>
    <row r="424" spans="1:14" x14ac:dyDescent="0.3">
      <c r="A424" t="s">
        <v>453</v>
      </c>
      <c r="B424" t="str">
        <f>"11-1031"</f>
        <v>11-1031</v>
      </c>
      <c r="C424">
        <v>52.2</v>
      </c>
      <c r="D424">
        <v>56.1</v>
      </c>
      <c r="E424">
        <v>4</v>
      </c>
      <c r="F424">
        <v>7.6</v>
      </c>
      <c r="G424">
        <v>4.3</v>
      </c>
      <c r="H424" s="2">
        <v>33200</v>
      </c>
      <c r="I424" t="s">
        <v>15</v>
      </c>
      <c r="J424">
        <v>3</v>
      </c>
      <c r="K424" t="s">
        <v>32</v>
      </c>
      <c r="L424">
        <v>2</v>
      </c>
      <c r="M424" t="s">
        <v>16</v>
      </c>
      <c r="N424">
        <v>6</v>
      </c>
    </row>
    <row r="425" spans="1:14" x14ac:dyDescent="0.3">
      <c r="A425" t="s">
        <v>454</v>
      </c>
      <c r="B425" t="str">
        <f>"25-4022"</f>
        <v>25-4022</v>
      </c>
      <c r="C425">
        <v>143.5</v>
      </c>
      <c r="D425">
        <v>156.5</v>
      </c>
      <c r="E425">
        <v>13</v>
      </c>
      <c r="F425">
        <v>9.1</v>
      </c>
      <c r="G425">
        <v>15.2</v>
      </c>
      <c r="H425" s="2">
        <v>60820</v>
      </c>
      <c r="I425" t="s">
        <v>23</v>
      </c>
      <c r="J425">
        <v>2</v>
      </c>
      <c r="K425" t="s">
        <v>16</v>
      </c>
      <c r="L425">
        <v>4</v>
      </c>
      <c r="M425" t="s">
        <v>16</v>
      </c>
      <c r="N425">
        <v>6</v>
      </c>
    </row>
    <row r="426" spans="1:14" x14ac:dyDescent="0.3">
      <c r="A426" t="s">
        <v>455</v>
      </c>
      <c r="B426" t="str">
        <f>"43-4121"</f>
        <v>43-4121</v>
      </c>
      <c r="C426">
        <v>88</v>
      </c>
      <c r="D426">
        <v>87.5</v>
      </c>
      <c r="E426">
        <v>-0.5</v>
      </c>
      <c r="F426">
        <v>-0.6</v>
      </c>
      <c r="G426">
        <v>13.4</v>
      </c>
      <c r="H426" s="2">
        <v>28730</v>
      </c>
      <c r="I426" t="s">
        <v>25</v>
      </c>
      <c r="J426">
        <v>7</v>
      </c>
      <c r="K426" t="s">
        <v>16</v>
      </c>
      <c r="L426">
        <v>4</v>
      </c>
      <c r="M426" t="s">
        <v>30</v>
      </c>
      <c r="N426">
        <v>5</v>
      </c>
    </row>
    <row r="427" spans="1:14" x14ac:dyDescent="0.3">
      <c r="A427" t="s">
        <v>456</v>
      </c>
      <c r="B427" t="str">
        <f>"25-1082"</f>
        <v>25-1082</v>
      </c>
      <c r="C427">
        <v>5</v>
      </c>
      <c r="D427">
        <v>5.3</v>
      </c>
      <c r="E427">
        <v>0.3</v>
      </c>
      <c r="F427">
        <v>5.9</v>
      </c>
      <c r="G427">
        <v>0.5</v>
      </c>
      <c r="H427" s="2">
        <v>71580</v>
      </c>
      <c r="I427" t="s">
        <v>28</v>
      </c>
      <c r="J427">
        <v>1</v>
      </c>
      <c r="K427" t="s">
        <v>16</v>
      </c>
      <c r="L427">
        <v>4</v>
      </c>
      <c r="M427" t="s">
        <v>16</v>
      </c>
      <c r="N427">
        <v>6</v>
      </c>
    </row>
    <row r="428" spans="1:14" x14ac:dyDescent="0.3">
      <c r="A428" t="s">
        <v>457</v>
      </c>
      <c r="B428" t="str">
        <f>"25-4031"</f>
        <v>25-4031</v>
      </c>
      <c r="C428">
        <v>93.1</v>
      </c>
      <c r="D428">
        <v>93.2</v>
      </c>
      <c r="E428">
        <v>0.1</v>
      </c>
      <c r="F428">
        <v>0.2</v>
      </c>
      <c r="G428">
        <v>13.4</v>
      </c>
      <c r="H428" s="2">
        <v>37010</v>
      </c>
      <c r="I428" t="s">
        <v>50</v>
      </c>
      <c r="J428">
        <v>5</v>
      </c>
      <c r="K428" t="s">
        <v>16</v>
      </c>
      <c r="L428">
        <v>4</v>
      </c>
      <c r="M428" t="s">
        <v>16</v>
      </c>
      <c r="N428">
        <v>6</v>
      </c>
    </row>
    <row r="429" spans="1:14" x14ac:dyDescent="0.3">
      <c r="A429" t="s">
        <v>458</v>
      </c>
      <c r="B429" t="str">
        <f>"29-2061"</f>
        <v>29-2061</v>
      </c>
      <c r="C429">
        <v>688.1</v>
      </c>
      <c r="D429">
        <v>751.9</v>
      </c>
      <c r="E429">
        <v>63.8</v>
      </c>
      <c r="F429">
        <v>9.3000000000000007</v>
      </c>
      <c r="G429">
        <v>60.7</v>
      </c>
      <c r="H429" s="2">
        <v>48820</v>
      </c>
      <c r="I429" t="s">
        <v>50</v>
      </c>
      <c r="J429">
        <v>5</v>
      </c>
      <c r="K429" t="s">
        <v>16</v>
      </c>
      <c r="L429">
        <v>4</v>
      </c>
      <c r="M429" t="s">
        <v>16</v>
      </c>
      <c r="N429">
        <v>6</v>
      </c>
    </row>
    <row r="430" spans="1:14" x14ac:dyDescent="0.3">
      <c r="A430" t="s">
        <v>459</v>
      </c>
      <c r="B430" t="str">
        <f>"19-1099"</f>
        <v>19-1099</v>
      </c>
      <c r="C430">
        <v>7</v>
      </c>
      <c r="D430">
        <v>7.6</v>
      </c>
      <c r="E430">
        <v>0.6</v>
      </c>
      <c r="F430">
        <v>8.4</v>
      </c>
      <c r="G430">
        <v>0.6</v>
      </c>
      <c r="H430" s="2">
        <v>82000</v>
      </c>
      <c r="I430" t="s">
        <v>15</v>
      </c>
      <c r="J430">
        <v>3</v>
      </c>
      <c r="K430" t="s">
        <v>16</v>
      </c>
      <c r="L430">
        <v>4</v>
      </c>
      <c r="M430" t="s">
        <v>16</v>
      </c>
      <c r="N430">
        <v>6</v>
      </c>
    </row>
    <row r="431" spans="1:14" x14ac:dyDescent="0.3">
      <c r="A431" t="s">
        <v>460</v>
      </c>
      <c r="B431" t="str">
        <f>"19-4099"</f>
        <v>19-4099</v>
      </c>
      <c r="C431">
        <v>69.7</v>
      </c>
      <c r="D431">
        <v>75.5</v>
      </c>
      <c r="E431">
        <v>5.8</v>
      </c>
      <c r="F431">
        <v>8.3000000000000007</v>
      </c>
      <c r="G431">
        <v>9.3000000000000007</v>
      </c>
      <c r="H431" s="2">
        <v>52460</v>
      </c>
      <c r="I431" t="s">
        <v>37</v>
      </c>
      <c r="J431">
        <v>4</v>
      </c>
      <c r="K431" t="s">
        <v>16</v>
      </c>
      <c r="L431">
        <v>4</v>
      </c>
      <c r="M431" t="s">
        <v>16</v>
      </c>
      <c r="N431">
        <v>6</v>
      </c>
    </row>
    <row r="432" spans="1:14" x14ac:dyDescent="0.3">
      <c r="A432" t="s">
        <v>461</v>
      </c>
      <c r="B432" t="str">
        <f>"33-9092"</f>
        <v>33-9092</v>
      </c>
      <c r="C432">
        <v>117.5</v>
      </c>
      <c r="D432">
        <v>146.30000000000001</v>
      </c>
      <c r="E432">
        <v>28.7</v>
      </c>
      <c r="F432">
        <v>24.5</v>
      </c>
      <c r="G432">
        <v>35.700000000000003</v>
      </c>
      <c r="H432" s="2">
        <v>25020</v>
      </c>
      <c r="I432" t="s">
        <v>43</v>
      </c>
      <c r="J432">
        <v>8</v>
      </c>
      <c r="K432" t="s">
        <v>16</v>
      </c>
      <c r="L432">
        <v>4</v>
      </c>
      <c r="M432" t="s">
        <v>30</v>
      </c>
      <c r="N432">
        <v>5</v>
      </c>
    </row>
    <row r="433" spans="1:14" x14ac:dyDescent="0.3">
      <c r="A433" t="s">
        <v>462</v>
      </c>
      <c r="B433" t="str">
        <f>"53-3033"</f>
        <v>53-3033</v>
      </c>
      <c r="C433" s="1">
        <v>1035.8</v>
      </c>
      <c r="D433" s="1">
        <v>1136.8</v>
      </c>
      <c r="E433">
        <v>101.1</v>
      </c>
      <c r="F433">
        <v>9.8000000000000007</v>
      </c>
      <c r="G433">
        <v>128.30000000000001</v>
      </c>
      <c r="H433" s="2">
        <v>37050</v>
      </c>
      <c r="I433" t="s">
        <v>25</v>
      </c>
      <c r="J433">
        <v>7</v>
      </c>
      <c r="K433" t="s">
        <v>16</v>
      </c>
      <c r="L433">
        <v>4</v>
      </c>
      <c r="M433" t="s">
        <v>30</v>
      </c>
      <c r="N433">
        <v>5</v>
      </c>
    </row>
    <row r="434" spans="1:14" x14ac:dyDescent="0.3">
      <c r="A434" t="s">
        <v>463</v>
      </c>
      <c r="B434" t="str">
        <f>"27-4098"</f>
        <v>27-4098</v>
      </c>
      <c r="C434">
        <v>23.3</v>
      </c>
      <c r="D434">
        <v>27.1</v>
      </c>
      <c r="E434">
        <v>3.8</v>
      </c>
      <c r="F434">
        <v>16.2</v>
      </c>
      <c r="G434">
        <v>2.9</v>
      </c>
      <c r="H434" s="2">
        <v>70980</v>
      </c>
      <c r="I434" t="s">
        <v>25</v>
      </c>
      <c r="J434">
        <v>7</v>
      </c>
      <c r="K434" t="s">
        <v>16</v>
      </c>
      <c r="L434">
        <v>4</v>
      </c>
      <c r="M434" t="s">
        <v>30</v>
      </c>
      <c r="N434">
        <v>5</v>
      </c>
    </row>
    <row r="435" spans="1:14" x14ac:dyDescent="0.3">
      <c r="A435" t="s">
        <v>464</v>
      </c>
      <c r="B435" t="str">
        <f>"47-5044"</f>
        <v>47-5044</v>
      </c>
      <c r="C435">
        <v>3.5</v>
      </c>
      <c r="D435">
        <v>3.3</v>
      </c>
      <c r="E435">
        <v>-0.2</v>
      </c>
      <c r="F435">
        <v>-5.5</v>
      </c>
      <c r="G435">
        <v>0.4</v>
      </c>
      <c r="H435" s="2">
        <v>56640</v>
      </c>
      <c r="I435" t="s">
        <v>43</v>
      </c>
      <c r="J435">
        <v>8</v>
      </c>
      <c r="K435" t="s">
        <v>16</v>
      </c>
      <c r="L435">
        <v>4</v>
      </c>
      <c r="M435" t="s">
        <v>30</v>
      </c>
      <c r="N435">
        <v>5</v>
      </c>
    </row>
    <row r="436" spans="1:14" x14ac:dyDescent="0.3">
      <c r="A436" t="s">
        <v>465</v>
      </c>
      <c r="B436" t="str">
        <f>"43-4131"</f>
        <v>43-4131</v>
      </c>
      <c r="C436">
        <v>208.8</v>
      </c>
      <c r="D436">
        <v>203.8</v>
      </c>
      <c r="E436">
        <v>-5</v>
      </c>
      <c r="F436">
        <v>-2.4</v>
      </c>
      <c r="G436">
        <v>17.600000000000001</v>
      </c>
      <c r="H436" s="2">
        <v>41370</v>
      </c>
      <c r="I436" t="s">
        <v>25</v>
      </c>
      <c r="J436">
        <v>7</v>
      </c>
      <c r="K436" t="s">
        <v>16</v>
      </c>
      <c r="L436">
        <v>4</v>
      </c>
      <c r="M436" t="s">
        <v>30</v>
      </c>
      <c r="N436">
        <v>5</v>
      </c>
    </row>
    <row r="437" spans="1:14" x14ac:dyDescent="0.3">
      <c r="A437" t="s">
        <v>466</v>
      </c>
      <c r="B437" t="str">
        <f>"13-2072"</f>
        <v>13-2072</v>
      </c>
      <c r="C437">
        <v>322.10000000000002</v>
      </c>
      <c r="D437">
        <v>326.39999999999998</v>
      </c>
      <c r="E437">
        <v>4.3</v>
      </c>
      <c r="F437">
        <v>1.3</v>
      </c>
      <c r="G437">
        <v>25</v>
      </c>
      <c r="H437" s="2">
        <v>63960</v>
      </c>
      <c r="I437" t="s">
        <v>15</v>
      </c>
      <c r="J437">
        <v>3</v>
      </c>
      <c r="K437" t="s">
        <v>32</v>
      </c>
      <c r="L437">
        <v>2</v>
      </c>
      <c r="M437" t="s">
        <v>26</v>
      </c>
      <c r="N437">
        <v>4</v>
      </c>
    </row>
    <row r="438" spans="1:14" x14ac:dyDescent="0.3">
      <c r="A438" t="s">
        <v>467</v>
      </c>
      <c r="B438" t="str">
        <f>"39-3093"</f>
        <v>39-3093</v>
      </c>
      <c r="C438">
        <v>12</v>
      </c>
      <c r="D438">
        <v>15.2</v>
      </c>
      <c r="E438">
        <v>3.2</v>
      </c>
      <c r="F438">
        <v>26.3</v>
      </c>
      <c r="G438">
        <v>3.2</v>
      </c>
      <c r="H438" s="2">
        <v>26700</v>
      </c>
      <c r="I438" t="s">
        <v>25</v>
      </c>
      <c r="J438">
        <v>7</v>
      </c>
      <c r="K438" t="s">
        <v>16</v>
      </c>
      <c r="L438">
        <v>4</v>
      </c>
      <c r="M438" t="s">
        <v>30</v>
      </c>
      <c r="N438">
        <v>5</v>
      </c>
    </row>
    <row r="439" spans="1:14" x14ac:dyDescent="0.3">
      <c r="A439" t="s">
        <v>468</v>
      </c>
      <c r="B439" t="str">
        <f>"49-9094"</f>
        <v>49-9094</v>
      </c>
      <c r="C439">
        <v>19.2</v>
      </c>
      <c r="D439">
        <v>18.8</v>
      </c>
      <c r="E439">
        <v>-0.5</v>
      </c>
      <c r="F439">
        <v>-2.2999999999999998</v>
      </c>
      <c r="G439">
        <v>1.8</v>
      </c>
      <c r="H439" s="2">
        <v>43690</v>
      </c>
      <c r="I439" t="s">
        <v>25</v>
      </c>
      <c r="J439">
        <v>7</v>
      </c>
      <c r="K439" t="s">
        <v>16</v>
      </c>
      <c r="L439">
        <v>4</v>
      </c>
      <c r="M439" t="s">
        <v>20</v>
      </c>
      <c r="N439">
        <v>3</v>
      </c>
    </row>
    <row r="440" spans="1:14" x14ac:dyDescent="0.3">
      <c r="A440" t="s">
        <v>469</v>
      </c>
      <c r="B440" t="str">
        <f>"53-4011"</f>
        <v>53-4011</v>
      </c>
      <c r="C440">
        <v>26.5</v>
      </c>
      <c r="D440">
        <v>27.9</v>
      </c>
      <c r="E440">
        <v>1.5</v>
      </c>
      <c r="F440">
        <v>5.6</v>
      </c>
      <c r="G440">
        <v>2.5</v>
      </c>
      <c r="H440" s="2">
        <v>71870</v>
      </c>
      <c r="I440" t="s">
        <v>25</v>
      </c>
      <c r="J440">
        <v>7</v>
      </c>
      <c r="K440" t="s">
        <v>32</v>
      </c>
      <c r="L440">
        <v>2</v>
      </c>
      <c r="M440" t="s">
        <v>26</v>
      </c>
      <c r="N440">
        <v>4</v>
      </c>
    </row>
    <row r="441" spans="1:14" x14ac:dyDescent="0.3">
      <c r="A441" t="s">
        <v>470</v>
      </c>
      <c r="B441" t="str">
        <f>"11-9081"</f>
        <v>11-9081</v>
      </c>
      <c r="C441">
        <v>48.1</v>
      </c>
      <c r="D441">
        <v>52.2</v>
      </c>
      <c r="E441">
        <v>4.2</v>
      </c>
      <c r="F441">
        <v>8.6999999999999993</v>
      </c>
      <c r="G441">
        <v>5.8</v>
      </c>
      <c r="H441" s="2">
        <v>56670</v>
      </c>
      <c r="I441" t="s">
        <v>25</v>
      </c>
      <c r="J441">
        <v>7</v>
      </c>
      <c r="K441" t="s">
        <v>32</v>
      </c>
      <c r="L441">
        <v>2</v>
      </c>
      <c r="M441" t="s">
        <v>16</v>
      </c>
      <c r="N441">
        <v>6</v>
      </c>
    </row>
    <row r="442" spans="1:14" x14ac:dyDescent="0.3">
      <c r="A442" t="s">
        <v>471</v>
      </c>
      <c r="B442" t="str">
        <f>"45-4023"</f>
        <v>45-4023</v>
      </c>
      <c r="C442">
        <v>4</v>
      </c>
      <c r="D442">
        <v>4.3</v>
      </c>
      <c r="E442">
        <v>0.3</v>
      </c>
      <c r="F442">
        <v>7.7</v>
      </c>
      <c r="G442">
        <v>0.7</v>
      </c>
      <c r="H442" s="2">
        <v>36900</v>
      </c>
      <c r="I442" t="s">
        <v>25</v>
      </c>
      <c r="J442">
        <v>7</v>
      </c>
      <c r="K442" t="s">
        <v>16</v>
      </c>
      <c r="L442">
        <v>4</v>
      </c>
      <c r="M442" t="s">
        <v>26</v>
      </c>
      <c r="N442">
        <v>4</v>
      </c>
    </row>
    <row r="443" spans="1:14" x14ac:dyDescent="0.3">
      <c r="A443" t="s">
        <v>472</v>
      </c>
      <c r="B443" t="str">
        <f>"45-4022"</f>
        <v>45-4022</v>
      </c>
      <c r="C443">
        <v>30.9</v>
      </c>
      <c r="D443">
        <v>33.5</v>
      </c>
      <c r="E443">
        <v>2.5</v>
      </c>
      <c r="F443">
        <v>8.1</v>
      </c>
      <c r="G443">
        <v>5.0999999999999996</v>
      </c>
      <c r="H443" s="2">
        <v>43210</v>
      </c>
      <c r="I443" t="s">
        <v>25</v>
      </c>
      <c r="J443">
        <v>7</v>
      </c>
      <c r="K443" t="s">
        <v>16</v>
      </c>
      <c r="L443">
        <v>4</v>
      </c>
      <c r="M443" t="s">
        <v>26</v>
      </c>
      <c r="N443">
        <v>4</v>
      </c>
    </row>
    <row r="444" spans="1:14" x14ac:dyDescent="0.3">
      <c r="A444" t="s">
        <v>473</v>
      </c>
      <c r="B444" t="str">
        <f>"45-4029"</f>
        <v>45-4029</v>
      </c>
      <c r="C444">
        <v>5</v>
      </c>
      <c r="D444">
        <v>5.3</v>
      </c>
      <c r="E444">
        <v>0.3</v>
      </c>
      <c r="F444">
        <v>6.3</v>
      </c>
      <c r="G444">
        <v>0.8</v>
      </c>
      <c r="H444" s="2">
        <v>41410</v>
      </c>
      <c r="I444" t="s">
        <v>25</v>
      </c>
      <c r="J444">
        <v>7</v>
      </c>
      <c r="K444" t="s">
        <v>16</v>
      </c>
      <c r="L444">
        <v>4</v>
      </c>
      <c r="M444" t="s">
        <v>26</v>
      </c>
      <c r="N444">
        <v>4</v>
      </c>
    </row>
    <row r="445" spans="1:14" x14ac:dyDescent="0.3">
      <c r="A445" t="s">
        <v>474</v>
      </c>
      <c r="B445" t="str">
        <f>"13-1081"</f>
        <v>13-1081</v>
      </c>
      <c r="C445">
        <v>191</v>
      </c>
      <c r="D445">
        <v>247.3</v>
      </c>
      <c r="E445">
        <v>56.4</v>
      </c>
      <c r="F445">
        <v>29.5</v>
      </c>
      <c r="G445">
        <v>24.5</v>
      </c>
      <c r="H445" s="2">
        <v>76270</v>
      </c>
      <c r="I445" t="s">
        <v>15</v>
      </c>
      <c r="J445">
        <v>3</v>
      </c>
      <c r="K445" t="s">
        <v>16</v>
      </c>
      <c r="L445">
        <v>4</v>
      </c>
      <c r="M445" t="s">
        <v>16</v>
      </c>
      <c r="N445">
        <v>6</v>
      </c>
    </row>
    <row r="446" spans="1:14" x14ac:dyDescent="0.3">
      <c r="A446" t="s">
        <v>475</v>
      </c>
      <c r="B446" t="str">
        <f>"53-7063"</f>
        <v>53-7063</v>
      </c>
      <c r="C446">
        <v>63</v>
      </c>
      <c r="D446">
        <v>66.900000000000006</v>
      </c>
      <c r="E446">
        <v>3.9</v>
      </c>
      <c r="F446">
        <v>6.3</v>
      </c>
      <c r="G446">
        <v>8.8000000000000007</v>
      </c>
      <c r="H446" s="2">
        <v>33000</v>
      </c>
      <c r="I446" t="s">
        <v>43</v>
      </c>
      <c r="J446">
        <v>8</v>
      </c>
      <c r="K446" t="s">
        <v>16</v>
      </c>
      <c r="L446">
        <v>4</v>
      </c>
      <c r="M446" t="s">
        <v>30</v>
      </c>
      <c r="N446">
        <v>5</v>
      </c>
    </row>
    <row r="447" spans="1:14" x14ac:dyDescent="0.3">
      <c r="A447" t="s">
        <v>476</v>
      </c>
      <c r="B447" t="str">
        <f>"51-4041"</f>
        <v>51-4041</v>
      </c>
      <c r="C447">
        <v>363</v>
      </c>
      <c r="D447">
        <v>391.8</v>
      </c>
      <c r="E447">
        <v>28.8</v>
      </c>
      <c r="F447">
        <v>7.9</v>
      </c>
      <c r="G447">
        <v>41.2</v>
      </c>
      <c r="H447" s="2">
        <v>45840</v>
      </c>
      <c r="I447" t="s">
        <v>25</v>
      </c>
      <c r="J447">
        <v>7</v>
      </c>
      <c r="K447" t="s">
        <v>16</v>
      </c>
      <c r="L447">
        <v>4</v>
      </c>
      <c r="M447" t="s">
        <v>20</v>
      </c>
      <c r="N447">
        <v>3</v>
      </c>
    </row>
    <row r="448" spans="1:14" x14ac:dyDescent="0.3">
      <c r="A448" t="s">
        <v>477</v>
      </c>
      <c r="B448" t="str">
        <f>"29-2035"</f>
        <v>29-2035</v>
      </c>
      <c r="C448">
        <v>42</v>
      </c>
      <c r="D448">
        <v>45.3</v>
      </c>
      <c r="E448">
        <v>3.4</v>
      </c>
      <c r="F448">
        <v>8.1</v>
      </c>
      <c r="G448">
        <v>3.4</v>
      </c>
      <c r="H448" s="2">
        <v>74690</v>
      </c>
      <c r="I448" t="s">
        <v>37</v>
      </c>
      <c r="J448">
        <v>4</v>
      </c>
      <c r="K448" t="s">
        <v>32</v>
      </c>
      <c r="L448">
        <v>2</v>
      </c>
      <c r="M448" t="s">
        <v>16</v>
      </c>
      <c r="N448">
        <v>6</v>
      </c>
    </row>
    <row r="449" spans="1:14" x14ac:dyDescent="0.3">
      <c r="A449" t="s">
        <v>478</v>
      </c>
      <c r="B449" t="str">
        <f>"37-2012"</f>
        <v>37-2012</v>
      </c>
      <c r="C449" s="1">
        <v>1212.8</v>
      </c>
      <c r="D449" s="1">
        <v>1350.3</v>
      </c>
      <c r="E449">
        <v>137.5</v>
      </c>
      <c r="F449">
        <v>11.3</v>
      </c>
      <c r="G449">
        <v>183.3</v>
      </c>
      <c r="H449" s="2">
        <v>26220</v>
      </c>
      <c r="I449" t="s">
        <v>43</v>
      </c>
      <c r="J449">
        <v>8</v>
      </c>
      <c r="K449" t="s">
        <v>16</v>
      </c>
      <c r="L449">
        <v>4</v>
      </c>
      <c r="M449" t="s">
        <v>30</v>
      </c>
      <c r="N449">
        <v>5</v>
      </c>
    </row>
    <row r="450" spans="1:14" x14ac:dyDescent="0.3">
      <c r="A450" t="s">
        <v>479</v>
      </c>
      <c r="B450" t="str">
        <f>"43-9051"</f>
        <v>43-9051</v>
      </c>
      <c r="C450">
        <v>82.2</v>
      </c>
      <c r="D450">
        <v>78.7</v>
      </c>
      <c r="E450">
        <v>-3.4</v>
      </c>
      <c r="F450">
        <v>-4.2</v>
      </c>
      <c r="G450">
        <v>8.8000000000000007</v>
      </c>
      <c r="H450" s="2">
        <v>31920</v>
      </c>
      <c r="I450" t="s">
        <v>25</v>
      </c>
      <c r="J450">
        <v>7</v>
      </c>
      <c r="K450" t="s">
        <v>16</v>
      </c>
      <c r="L450">
        <v>4</v>
      </c>
      <c r="M450" t="s">
        <v>30</v>
      </c>
      <c r="N450">
        <v>5</v>
      </c>
    </row>
    <row r="451" spans="1:14" x14ac:dyDescent="0.3">
      <c r="A451" t="s">
        <v>480</v>
      </c>
      <c r="B451" t="str">
        <f>"49-9071"</f>
        <v>49-9071</v>
      </c>
      <c r="C451" s="1">
        <v>1444.1</v>
      </c>
      <c r="D451" s="1">
        <v>1561.1</v>
      </c>
      <c r="E451">
        <v>117</v>
      </c>
      <c r="F451">
        <v>8.1</v>
      </c>
      <c r="G451">
        <v>152.30000000000001</v>
      </c>
      <c r="H451" s="2">
        <v>40850</v>
      </c>
      <c r="I451" t="s">
        <v>25</v>
      </c>
      <c r="J451">
        <v>7</v>
      </c>
      <c r="K451" t="s">
        <v>16</v>
      </c>
      <c r="L451">
        <v>4</v>
      </c>
      <c r="M451" t="s">
        <v>26</v>
      </c>
      <c r="N451">
        <v>4</v>
      </c>
    </row>
    <row r="452" spans="1:14" x14ac:dyDescent="0.3">
      <c r="A452" t="s">
        <v>481</v>
      </c>
      <c r="B452" t="str">
        <f>"49-9043"</f>
        <v>49-9043</v>
      </c>
      <c r="C452">
        <v>65.599999999999994</v>
      </c>
      <c r="D452">
        <v>72.599999999999994</v>
      </c>
      <c r="E452">
        <v>7</v>
      </c>
      <c r="F452">
        <v>10.7</v>
      </c>
      <c r="G452">
        <v>6.8</v>
      </c>
      <c r="H452" s="2">
        <v>50100</v>
      </c>
      <c r="I452" t="s">
        <v>25</v>
      </c>
      <c r="J452">
        <v>7</v>
      </c>
      <c r="K452" t="s">
        <v>16</v>
      </c>
      <c r="L452">
        <v>4</v>
      </c>
      <c r="M452" t="s">
        <v>20</v>
      </c>
      <c r="N452">
        <v>3</v>
      </c>
    </row>
    <row r="453" spans="1:14" x14ac:dyDescent="0.3">
      <c r="A453" t="s">
        <v>482</v>
      </c>
      <c r="B453" t="str">
        <f>"39-5091"</f>
        <v>39-5091</v>
      </c>
      <c r="C453">
        <v>3.1</v>
      </c>
      <c r="D453">
        <v>4.2</v>
      </c>
      <c r="E453">
        <v>1.1000000000000001</v>
      </c>
      <c r="F453">
        <v>37</v>
      </c>
      <c r="G453">
        <v>0.5</v>
      </c>
      <c r="H453" s="2">
        <v>106920</v>
      </c>
      <c r="I453" t="s">
        <v>50</v>
      </c>
      <c r="J453">
        <v>5</v>
      </c>
      <c r="K453" t="s">
        <v>16</v>
      </c>
      <c r="L453">
        <v>4</v>
      </c>
      <c r="M453" t="s">
        <v>16</v>
      </c>
      <c r="N453">
        <v>6</v>
      </c>
    </row>
    <row r="454" spans="1:14" x14ac:dyDescent="0.3">
      <c r="A454" t="s">
        <v>483</v>
      </c>
      <c r="B454" t="str">
        <f>"13-1111"</f>
        <v>13-1111</v>
      </c>
      <c r="C454">
        <v>907.6</v>
      </c>
      <c r="D454" s="1">
        <v>1032</v>
      </c>
      <c r="E454">
        <v>124.4</v>
      </c>
      <c r="F454">
        <v>13.7</v>
      </c>
      <c r="G454">
        <v>99.4</v>
      </c>
      <c r="H454" s="2">
        <v>87660</v>
      </c>
      <c r="I454" t="s">
        <v>15</v>
      </c>
      <c r="J454">
        <v>3</v>
      </c>
      <c r="K454" t="s">
        <v>32</v>
      </c>
      <c r="L454">
        <v>2</v>
      </c>
      <c r="M454" t="s">
        <v>16</v>
      </c>
      <c r="N454">
        <v>6</v>
      </c>
    </row>
    <row r="455" spans="1:14" x14ac:dyDescent="0.3">
      <c r="A455" t="s">
        <v>484</v>
      </c>
      <c r="B455" t="str">
        <f>"39-5092"</f>
        <v>39-5092</v>
      </c>
      <c r="C455">
        <v>123</v>
      </c>
      <c r="D455">
        <v>163.1</v>
      </c>
      <c r="E455">
        <v>40.1</v>
      </c>
      <c r="F455">
        <v>32.6</v>
      </c>
      <c r="G455">
        <v>18.8</v>
      </c>
      <c r="H455" s="2">
        <v>27870</v>
      </c>
      <c r="I455" t="s">
        <v>50</v>
      </c>
      <c r="J455">
        <v>5</v>
      </c>
      <c r="K455" t="s">
        <v>16</v>
      </c>
      <c r="L455">
        <v>4</v>
      </c>
      <c r="M455" t="s">
        <v>16</v>
      </c>
      <c r="N455">
        <v>6</v>
      </c>
    </row>
    <row r="456" spans="1:14" x14ac:dyDescent="0.3">
      <c r="A456" t="s">
        <v>485</v>
      </c>
      <c r="B456" t="str">
        <f>"49-9095"</f>
        <v>49-9095</v>
      </c>
      <c r="C456">
        <v>3.4</v>
      </c>
      <c r="D456">
        <v>2.8</v>
      </c>
      <c r="E456">
        <v>-0.6</v>
      </c>
      <c r="F456">
        <v>-18.399999999999999</v>
      </c>
      <c r="G456">
        <v>0.3</v>
      </c>
      <c r="H456" s="2">
        <v>35120</v>
      </c>
      <c r="I456" t="s">
        <v>25</v>
      </c>
      <c r="J456">
        <v>7</v>
      </c>
      <c r="K456" t="s">
        <v>16</v>
      </c>
      <c r="L456">
        <v>4</v>
      </c>
      <c r="M456" t="s">
        <v>30</v>
      </c>
      <c r="N456">
        <v>5</v>
      </c>
    </row>
    <row r="457" spans="1:14" x14ac:dyDescent="0.3">
      <c r="A457" t="s">
        <v>486</v>
      </c>
      <c r="B457" t="str">
        <f>"17-2121"</f>
        <v>17-2121</v>
      </c>
      <c r="C457">
        <v>9.8000000000000007</v>
      </c>
      <c r="D457">
        <v>10.199999999999999</v>
      </c>
      <c r="E457">
        <v>0.4</v>
      </c>
      <c r="F457">
        <v>3.9</v>
      </c>
      <c r="G457">
        <v>0.5</v>
      </c>
      <c r="H457" s="2">
        <v>95440</v>
      </c>
      <c r="I457" t="s">
        <v>15</v>
      </c>
      <c r="J457">
        <v>3</v>
      </c>
      <c r="K457" t="s">
        <v>16</v>
      </c>
      <c r="L457">
        <v>4</v>
      </c>
      <c r="M457" t="s">
        <v>16</v>
      </c>
      <c r="N457">
        <v>6</v>
      </c>
    </row>
    <row r="458" spans="1:14" x14ac:dyDescent="0.3">
      <c r="A458" t="s">
        <v>487</v>
      </c>
      <c r="B458" t="str">
        <f>"13-1161"</f>
        <v>13-1161</v>
      </c>
      <c r="C458">
        <v>740.9</v>
      </c>
      <c r="D458">
        <v>904.5</v>
      </c>
      <c r="E458">
        <v>163.6</v>
      </c>
      <c r="F458">
        <v>22.1</v>
      </c>
      <c r="G458">
        <v>96</v>
      </c>
      <c r="H458" s="2">
        <v>65810</v>
      </c>
      <c r="I458" t="s">
        <v>15</v>
      </c>
      <c r="J458">
        <v>3</v>
      </c>
      <c r="K458" t="s">
        <v>16</v>
      </c>
      <c r="L458">
        <v>4</v>
      </c>
      <c r="M458" t="s">
        <v>16</v>
      </c>
      <c r="N458">
        <v>6</v>
      </c>
    </row>
    <row r="459" spans="1:14" x14ac:dyDescent="0.3">
      <c r="A459" t="s">
        <v>488</v>
      </c>
      <c r="B459" t="str">
        <f>"11-2021"</f>
        <v>11-2021</v>
      </c>
      <c r="C459">
        <v>293.7</v>
      </c>
      <c r="D459">
        <v>323.10000000000002</v>
      </c>
      <c r="E459">
        <v>29.4</v>
      </c>
      <c r="F459">
        <v>10</v>
      </c>
      <c r="G459">
        <v>28.5</v>
      </c>
      <c r="H459" s="2">
        <v>142170</v>
      </c>
      <c r="I459" t="s">
        <v>15</v>
      </c>
      <c r="J459">
        <v>3</v>
      </c>
      <c r="K459" t="s">
        <v>29</v>
      </c>
      <c r="L459">
        <v>1</v>
      </c>
      <c r="M459" t="s">
        <v>16</v>
      </c>
      <c r="N459">
        <v>6</v>
      </c>
    </row>
    <row r="460" spans="1:14" x14ac:dyDescent="0.3">
      <c r="A460" t="s">
        <v>489</v>
      </c>
      <c r="B460" t="str">
        <f>"21-1013"</f>
        <v>21-1013</v>
      </c>
      <c r="C460">
        <v>73.2</v>
      </c>
      <c r="D460">
        <v>85.1</v>
      </c>
      <c r="E460">
        <v>12</v>
      </c>
      <c r="F460">
        <v>16.399999999999999</v>
      </c>
      <c r="G460">
        <v>8.5</v>
      </c>
      <c r="H460" s="2">
        <v>51340</v>
      </c>
      <c r="I460" t="s">
        <v>23</v>
      </c>
      <c r="J460">
        <v>2</v>
      </c>
      <c r="K460" t="s">
        <v>16</v>
      </c>
      <c r="L460">
        <v>4</v>
      </c>
      <c r="M460" t="s">
        <v>58</v>
      </c>
      <c r="N460">
        <v>1</v>
      </c>
    </row>
    <row r="461" spans="1:14" x14ac:dyDescent="0.3">
      <c r="A461" t="s">
        <v>490</v>
      </c>
      <c r="B461" t="str">
        <f>"31-9011"</f>
        <v>31-9011</v>
      </c>
      <c r="C461">
        <v>144.6</v>
      </c>
      <c r="D461">
        <v>191.1</v>
      </c>
      <c r="E461">
        <v>46.5</v>
      </c>
      <c r="F461">
        <v>32.200000000000003</v>
      </c>
      <c r="G461">
        <v>23.3</v>
      </c>
      <c r="H461" s="2">
        <v>43620</v>
      </c>
      <c r="I461" t="s">
        <v>50</v>
      </c>
      <c r="J461">
        <v>5</v>
      </c>
      <c r="K461" t="s">
        <v>16</v>
      </c>
      <c r="L461">
        <v>4</v>
      </c>
      <c r="M461" t="s">
        <v>16</v>
      </c>
      <c r="N461">
        <v>6</v>
      </c>
    </row>
    <row r="462" spans="1:14" x14ac:dyDescent="0.3">
      <c r="A462" t="s">
        <v>491</v>
      </c>
      <c r="B462" t="str">
        <f>"53-7199"</f>
        <v>53-7199</v>
      </c>
      <c r="C462">
        <v>27.1</v>
      </c>
      <c r="D462">
        <v>29.6</v>
      </c>
      <c r="E462">
        <v>2.5</v>
      </c>
      <c r="F462">
        <v>9.1</v>
      </c>
      <c r="G462">
        <v>3.6</v>
      </c>
      <c r="H462" s="2">
        <v>32850</v>
      </c>
      <c r="I462" t="s">
        <v>43</v>
      </c>
      <c r="J462">
        <v>8</v>
      </c>
      <c r="K462" t="s">
        <v>16</v>
      </c>
      <c r="L462">
        <v>4</v>
      </c>
      <c r="M462" t="s">
        <v>30</v>
      </c>
      <c r="N462">
        <v>5</v>
      </c>
    </row>
    <row r="463" spans="1:14" x14ac:dyDescent="0.3">
      <c r="A463" t="s">
        <v>492</v>
      </c>
      <c r="B463" t="str">
        <f>"17-2131"</f>
        <v>17-2131</v>
      </c>
      <c r="C463">
        <v>25.1</v>
      </c>
      <c r="D463">
        <v>27.2</v>
      </c>
      <c r="E463">
        <v>2.1</v>
      </c>
      <c r="F463">
        <v>8.4</v>
      </c>
      <c r="G463">
        <v>1.8</v>
      </c>
      <c r="H463" s="2">
        <v>95640</v>
      </c>
      <c r="I463" t="s">
        <v>15</v>
      </c>
      <c r="J463">
        <v>3</v>
      </c>
      <c r="K463" t="s">
        <v>16</v>
      </c>
      <c r="L463">
        <v>4</v>
      </c>
      <c r="M463" t="s">
        <v>16</v>
      </c>
      <c r="N463">
        <v>6</v>
      </c>
    </row>
    <row r="464" spans="1:14" x14ac:dyDescent="0.3">
      <c r="A464" t="s">
        <v>493</v>
      </c>
      <c r="B464" t="str">
        <f>"19-2032"</f>
        <v>19-2032</v>
      </c>
      <c r="C464">
        <v>7.1</v>
      </c>
      <c r="D464">
        <v>7.3</v>
      </c>
      <c r="E464">
        <v>0.3</v>
      </c>
      <c r="F464">
        <v>3.9</v>
      </c>
      <c r="G464">
        <v>0.7</v>
      </c>
      <c r="H464" s="2">
        <v>99460</v>
      </c>
      <c r="I464" t="s">
        <v>15</v>
      </c>
      <c r="J464">
        <v>3</v>
      </c>
      <c r="K464" t="s">
        <v>16</v>
      </c>
      <c r="L464">
        <v>4</v>
      </c>
      <c r="M464" t="s">
        <v>16</v>
      </c>
      <c r="N464">
        <v>6</v>
      </c>
    </row>
    <row r="465" spans="1:14" x14ac:dyDescent="0.3">
      <c r="A465" t="s">
        <v>494</v>
      </c>
      <c r="B465" t="str">
        <f>"25-1022"</f>
        <v>25-1022</v>
      </c>
      <c r="C465">
        <v>56.1</v>
      </c>
      <c r="D465">
        <v>59.2</v>
      </c>
      <c r="E465">
        <v>3.2</v>
      </c>
      <c r="F465">
        <v>5.6</v>
      </c>
      <c r="G465">
        <v>5.6</v>
      </c>
      <c r="H465" s="2">
        <v>73650</v>
      </c>
      <c r="I465" t="s">
        <v>28</v>
      </c>
      <c r="J465">
        <v>1</v>
      </c>
      <c r="K465" t="s">
        <v>16</v>
      </c>
      <c r="L465">
        <v>4</v>
      </c>
      <c r="M465" t="s">
        <v>16</v>
      </c>
      <c r="N465">
        <v>6</v>
      </c>
    </row>
    <row r="466" spans="1:14" x14ac:dyDescent="0.3">
      <c r="A466" t="s">
        <v>495</v>
      </c>
      <c r="B466" t="str">
        <f>"15-2021"</f>
        <v>15-2021</v>
      </c>
      <c r="C466">
        <v>2.7</v>
      </c>
      <c r="D466">
        <v>2.8</v>
      </c>
      <c r="E466">
        <v>0.1</v>
      </c>
      <c r="F466">
        <v>2.7</v>
      </c>
      <c r="G466">
        <v>0.2</v>
      </c>
      <c r="H466" s="2">
        <v>110860</v>
      </c>
      <c r="I466" t="s">
        <v>23</v>
      </c>
      <c r="J466">
        <v>2</v>
      </c>
      <c r="K466" t="s">
        <v>16</v>
      </c>
      <c r="L466">
        <v>4</v>
      </c>
      <c r="M466" t="s">
        <v>16</v>
      </c>
      <c r="N466">
        <v>6</v>
      </c>
    </row>
    <row r="467" spans="1:14" x14ac:dyDescent="0.3">
      <c r="A467" t="s">
        <v>496</v>
      </c>
      <c r="B467" t="str">
        <f>"51-3022"</f>
        <v>51-3022</v>
      </c>
      <c r="C467">
        <v>153</v>
      </c>
      <c r="D467">
        <v>158</v>
      </c>
      <c r="E467">
        <v>5</v>
      </c>
      <c r="F467">
        <v>3.3</v>
      </c>
      <c r="G467">
        <v>18.399999999999999</v>
      </c>
      <c r="H467" s="2">
        <v>30190</v>
      </c>
      <c r="I467" t="s">
        <v>43</v>
      </c>
      <c r="J467">
        <v>8</v>
      </c>
      <c r="K467" t="s">
        <v>16</v>
      </c>
      <c r="L467">
        <v>4</v>
      </c>
      <c r="M467" t="s">
        <v>30</v>
      </c>
      <c r="N467">
        <v>5</v>
      </c>
    </row>
    <row r="468" spans="1:14" x14ac:dyDescent="0.3">
      <c r="A468" t="s">
        <v>497</v>
      </c>
      <c r="B468" t="str">
        <f>"49-9011"</f>
        <v>49-9011</v>
      </c>
      <c r="C468">
        <v>22.8</v>
      </c>
      <c r="D468">
        <v>25.5</v>
      </c>
      <c r="E468">
        <v>2.8</v>
      </c>
      <c r="F468">
        <v>12.2</v>
      </c>
      <c r="G468">
        <v>2.2000000000000002</v>
      </c>
      <c r="H468" s="2">
        <v>43220</v>
      </c>
      <c r="I468" t="s">
        <v>25</v>
      </c>
      <c r="J468">
        <v>7</v>
      </c>
      <c r="K468" t="s">
        <v>16</v>
      </c>
      <c r="L468">
        <v>4</v>
      </c>
      <c r="M468" t="s">
        <v>26</v>
      </c>
      <c r="N468">
        <v>4</v>
      </c>
    </row>
    <row r="469" spans="1:14" x14ac:dyDescent="0.3">
      <c r="A469" t="s">
        <v>498</v>
      </c>
      <c r="B469" t="str">
        <f>"17-3013"</f>
        <v>17-3013</v>
      </c>
      <c r="C469">
        <v>53.6</v>
      </c>
      <c r="D469">
        <v>51</v>
      </c>
      <c r="E469">
        <v>-2.5</v>
      </c>
      <c r="F469">
        <v>-4.7</v>
      </c>
      <c r="G469">
        <v>4.7</v>
      </c>
      <c r="H469" s="2">
        <v>58270</v>
      </c>
      <c r="I469" t="s">
        <v>37</v>
      </c>
      <c r="J469">
        <v>4</v>
      </c>
      <c r="K469" t="s">
        <v>16</v>
      </c>
      <c r="L469">
        <v>4</v>
      </c>
      <c r="M469" t="s">
        <v>16</v>
      </c>
      <c r="N469">
        <v>6</v>
      </c>
    </row>
    <row r="470" spans="1:14" x14ac:dyDescent="0.3">
      <c r="A470" t="s">
        <v>499</v>
      </c>
      <c r="B470" t="str">
        <f>"17-3027"</f>
        <v>17-3027</v>
      </c>
      <c r="C470">
        <v>40.4</v>
      </c>
      <c r="D470">
        <v>42.7</v>
      </c>
      <c r="E470">
        <v>2.2999999999999998</v>
      </c>
      <c r="F470">
        <v>5.7</v>
      </c>
      <c r="G470">
        <v>4</v>
      </c>
      <c r="H470" s="2">
        <v>58230</v>
      </c>
      <c r="I470" t="s">
        <v>37</v>
      </c>
      <c r="J470">
        <v>4</v>
      </c>
      <c r="K470" t="s">
        <v>16</v>
      </c>
      <c r="L470">
        <v>4</v>
      </c>
      <c r="M470" t="s">
        <v>16</v>
      </c>
      <c r="N470">
        <v>6</v>
      </c>
    </row>
    <row r="471" spans="1:14" x14ac:dyDescent="0.3">
      <c r="A471" t="s">
        <v>500</v>
      </c>
      <c r="B471" t="str">
        <f>"17-2141"</f>
        <v>17-2141</v>
      </c>
      <c r="C471">
        <v>299.2</v>
      </c>
      <c r="D471">
        <v>320.10000000000002</v>
      </c>
      <c r="E471">
        <v>20.9</v>
      </c>
      <c r="F471">
        <v>7</v>
      </c>
      <c r="G471">
        <v>20.2</v>
      </c>
      <c r="H471" s="2">
        <v>90160</v>
      </c>
      <c r="I471" t="s">
        <v>15</v>
      </c>
      <c r="J471">
        <v>3</v>
      </c>
      <c r="K471" t="s">
        <v>16</v>
      </c>
      <c r="L471">
        <v>4</v>
      </c>
      <c r="M471" t="s">
        <v>16</v>
      </c>
      <c r="N471">
        <v>6</v>
      </c>
    </row>
    <row r="472" spans="1:14" x14ac:dyDescent="0.3">
      <c r="A472" t="s">
        <v>501</v>
      </c>
      <c r="B472" t="str">
        <f>"27-3099"</f>
        <v>27-3099</v>
      </c>
      <c r="C472">
        <v>21.5</v>
      </c>
      <c r="D472">
        <v>26.4</v>
      </c>
      <c r="E472">
        <v>4.9000000000000004</v>
      </c>
      <c r="F472">
        <v>22.9</v>
      </c>
      <c r="G472">
        <v>2.7</v>
      </c>
      <c r="H472" s="2">
        <v>49730</v>
      </c>
      <c r="I472" t="s">
        <v>25</v>
      </c>
      <c r="J472">
        <v>7</v>
      </c>
      <c r="K472" t="s">
        <v>16</v>
      </c>
      <c r="L472">
        <v>4</v>
      </c>
      <c r="M472" t="s">
        <v>30</v>
      </c>
      <c r="N472">
        <v>5</v>
      </c>
    </row>
    <row r="473" spans="1:14" x14ac:dyDescent="0.3">
      <c r="A473" t="s">
        <v>502</v>
      </c>
      <c r="B473" t="str">
        <f>"11-9111"</f>
        <v>11-9111</v>
      </c>
      <c r="C473">
        <v>429.8</v>
      </c>
      <c r="D473">
        <v>569.4</v>
      </c>
      <c r="E473">
        <v>139.6</v>
      </c>
      <c r="F473">
        <v>32.5</v>
      </c>
      <c r="G473">
        <v>51.8</v>
      </c>
      <c r="H473" s="2">
        <v>104280</v>
      </c>
      <c r="I473" t="s">
        <v>15</v>
      </c>
      <c r="J473">
        <v>3</v>
      </c>
      <c r="K473" t="s">
        <v>32</v>
      </c>
      <c r="L473">
        <v>2</v>
      </c>
      <c r="M473" t="s">
        <v>16</v>
      </c>
      <c r="N473">
        <v>6</v>
      </c>
    </row>
    <row r="474" spans="1:14" x14ac:dyDescent="0.3">
      <c r="A474" t="s">
        <v>503</v>
      </c>
      <c r="B474" t="str">
        <f>"51-9082"</f>
        <v>51-9082</v>
      </c>
      <c r="C474">
        <v>14.6</v>
      </c>
      <c r="D474">
        <v>16.7</v>
      </c>
      <c r="E474">
        <v>2.1</v>
      </c>
      <c r="F474">
        <v>14.4</v>
      </c>
      <c r="G474">
        <v>2.2000000000000002</v>
      </c>
      <c r="H474" s="2">
        <v>41750</v>
      </c>
      <c r="I474" t="s">
        <v>25</v>
      </c>
      <c r="J474">
        <v>7</v>
      </c>
      <c r="K474" t="s">
        <v>16</v>
      </c>
      <c r="L474">
        <v>4</v>
      </c>
      <c r="M474" t="s">
        <v>26</v>
      </c>
      <c r="N474">
        <v>4</v>
      </c>
    </row>
    <row r="475" spans="1:14" x14ac:dyDescent="0.3">
      <c r="A475" t="s">
        <v>504</v>
      </c>
      <c r="B475" t="str">
        <f>"31-9092"</f>
        <v>31-9092</v>
      </c>
      <c r="C475">
        <v>720.9</v>
      </c>
      <c r="D475">
        <v>853.5</v>
      </c>
      <c r="E475">
        <v>132.6</v>
      </c>
      <c r="F475">
        <v>18.399999999999999</v>
      </c>
      <c r="G475">
        <v>104.4</v>
      </c>
      <c r="H475" s="2">
        <v>35850</v>
      </c>
      <c r="I475" t="s">
        <v>50</v>
      </c>
      <c r="J475">
        <v>5</v>
      </c>
      <c r="K475" t="s">
        <v>16</v>
      </c>
      <c r="L475">
        <v>4</v>
      </c>
      <c r="M475" t="s">
        <v>16</v>
      </c>
      <c r="N475">
        <v>6</v>
      </c>
    </row>
    <row r="476" spans="1:14" x14ac:dyDescent="0.3">
      <c r="A476" t="s">
        <v>505</v>
      </c>
      <c r="B476" t="str">
        <f>"29-2098"</f>
        <v>29-2098</v>
      </c>
      <c r="C476">
        <v>335</v>
      </c>
      <c r="D476">
        <v>363.6</v>
      </c>
      <c r="E476">
        <v>28.6</v>
      </c>
      <c r="F476">
        <v>8.5</v>
      </c>
      <c r="G476">
        <v>27.4</v>
      </c>
      <c r="H476" s="2">
        <v>44090</v>
      </c>
      <c r="I476" t="s">
        <v>50</v>
      </c>
      <c r="J476">
        <v>5</v>
      </c>
      <c r="K476" t="s">
        <v>16</v>
      </c>
      <c r="L476">
        <v>4</v>
      </c>
      <c r="M476" t="s">
        <v>16</v>
      </c>
      <c r="N476">
        <v>6</v>
      </c>
    </row>
    <row r="477" spans="1:14" x14ac:dyDescent="0.3">
      <c r="A477" t="s">
        <v>506</v>
      </c>
      <c r="B477" t="str">
        <f>"31-9093"</f>
        <v>31-9093</v>
      </c>
      <c r="C477">
        <v>58.7</v>
      </c>
      <c r="D477">
        <v>63.6</v>
      </c>
      <c r="E477">
        <v>4.9000000000000004</v>
      </c>
      <c r="F477">
        <v>8.4</v>
      </c>
      <c r="G477">
        <v>7.9</v>
      </c>
      <c r="H477" s="2">
        <v>38800</v>
      </c>
      <c r="I477" t="s">
        <v>25</v>
      </c>
      <c r="J477">
        <v>7</v>
      </c>
      <c r="K477" t="s">
        <v>16</v>
      </c>
      <c r="L477">
        <v>4</v>
      </c>
      <c r="M477" t="s">
        <v>26</v>
      </c>
      <c r="N477">
        <v>4</v>
      </c>
    </row>
    <row r="478" spans="1:14" x14ac:dyDescent="0.3">
      <c r="A478" t="s">
        <v>507</v>
      </c>
      <c r="B478" t="str">
        <f>"49-9062"</f>
        <v>49-9062</v>
      </c>
      <c r="C478">
        <v>54.9</v>
      </c>
      <c r="D478">
        <v>58.8</v>
      </c>
      <c r="E478">
        <v>3.9</v>
      </c>
      <c r="F478">
        <v>7.2</v>
      </c>
      <c r="G478">
        <v>6.3</v>
      </c>
      <c r="H478" s="2">
        <v>51610</v>
      </c>
      <c r="I478" t="s">
        <v>37</v>
      </c>
      <c r="J478">
        <v>4</v>
      </c>
      <c r="K478" t="s">
        <v>16</v>
      </c>
      <c r="L478">
        <v>4</v>
      </c>
      <c r="M478" t="s">
        <v>26</v>
      </c>
      <c r="N478">
        <v>4</v>
      </c>
    </row>
    <row r="479" spans="1:14" x14ac:dyDescent="0.3">
      <c r="A479" t="s">
        <v>508</v>
      </c>
      <c r="B479" t="str">
        <f>"19-1042"</f>
        <v>19-1042</v>
      </c>
      <c r="C479">
        <v>133.9</v>
      </c>
      <c r="D479">
        <v>156.6</v>
      </c>
      <c r="E479">
        <v>22.6</v>
      </c>
      <c r="F479">
        <v>16.899999999999999</v>
      </c>
      <c r="G479">
        <v>12.6</v>
      </c>
      <c r="H479" s="2">
        <v>91510</v>
      </c>
      <c r="I479" t="s">
        <v>28</v>
      </c>
      <c r="J479">
        <v>1</v>
      </c>
      <c r="K479" t="s">
        <v>16</v>
      </c>
      <c r="L479">
        <v>4</v>
      </c>
      <c r="M479" t="s">
        <v>16</v>
      </c>
      <c r="N479">
        <v>6</v>
      </c>
    </row>
    <row r="480" spans="1:14" x14ac:dyDescent="0.3">
      <c r="A480" t="s">
        <v>509</v>
      </c>
      <c r="B480" t="str">
        <f>"43-6013"</f>
        <v>43-6013</v>
      </c>
      <c r="C480">
        <v>611.20000000000005</v>
      </c>
      <c r="D480">
        <v>676.1</v>
      </c>
      <c r="E480">
        <v>64.900000000000006</v>
      </c>
      <c r="F480">
        <v>10.6</v>
      </c>
      <c r="G480">
        <v>75.2</v>
      </c>
      <c r="H480" s="2">
        <v>37350</v>
      </c>
      <c r="I480" t="s">
        <v>25</v>
      </c>
      <c r="J480">
        <v>7</v>
      </c>
      <c r="K480" t="s">
        <v>16</v>
      </c>
      <c r="L480">
        <v>4</v>
      </c>
      <c r="M480" t="s">
        <v>26</v>
      </c>
      <c r="N480">
        <v>4</v>
      </c>
    </row>
    <row r="481" spans="1:14" x14ac:dyDescent="0.3">
      <c r="A481" t="s">
        <v>510</v>
      </c>
      <c r="B481" t="str">
        <f>"31-9094"</f>
        <v>31-9094</v>
      </c>
      <c r="C481">
        <v>52.4</v>
      </c>
      <c r="D481">
        <v>48.5</v>
      </c>
      <c r="E481">
        <v>-3.9</v>
      </c>
      <c r="F481">
        <v>-7.4</v>
      </c>
      <c r="G481">
        <v>6.6</v>
      </c>
      <c r="H481" s="2">
        <v>35270</v>
      </c>
      <c r="I481" t="s">
        <v>50</v>
      </c>
      <c r="J481">
        <v>5</v>
      </c>
      <c r="K481" t="s">
        <v>16</v>
      </c>
      <c r="L481">
        <v>4</v>
      </c>
      <c r="M481" t="s">
        <v>16</v>
      </c>
      <c r="N481">
        <v>6</v>
      </c>
    </row>
    <row r="482" spans="1:14" x14ac:dyDescent="0.3">
      <c r="A482" t="s">
        <v>511</v>
      </c>
      <c r="B482" t="str">
        <f>"13-1121"</f>
        <v>13-1121</v>
      </c>
      <c r="C482">
        <v>125.9</v>
      </c>
      <c r="D482">
        <v>148</v>
      </c>
      <c r="E482">
        <v>22.1</v>
      </c>
      <c r="F482">
        <v>17.5</v>
      </c>
      <c r="G482">
        <v>16.399999999999999</v>
      </c>
      <c r="H482" s="2">
        <v>51560</v>
      </c>
      <c r="I482" t="s">
        <v>15</v>
      </c>
      <c r="J482">
        <v>3</v>
      </c>
      <c r="K482" t="s">
        <v>16</v>
      </c>
      <c r="L482">
        <v>4</v>
      </c>
      <c r="M482" t="s">
        <v>16</v>
      </c>
      <c r="N482">
        <v>6</v>
      </c>
    </row>
    <row r="483" spans="1:14" x14ac:dyDescent="0.3">
      <c r="A483" t="s">
        <v>512</v>
      </c>
      <c r="B483" t="str">
        <f>"21-1023"</f>
        <v>21-1023</v>
      </c>
      <c r="C483">
        <v>124</v>
      </c>
      <c r="D483">
        <v>142.5</v>
      </c>
      <c r="E483">
        <v>18.5</v>
      </c>
      <c r="F483">
        <v>14.9</v>
      </c>
      <c r="G483">
        <v>14</v>
      </c>
      <c r="H483" s="2">
        <v>48720</v>
      </c>
      <c r="I483" t="s">
        <v>23</v>
      </c>
      <c r="J483">
        <v>2</v>
      </c>
      <c r="K483" t="s">
        <v>16</v>
      </c>
      <c r="L483">
        <v>4</v>
      </c>
      <c r="M483" t="s">
        <v>58</v>
      </c>
      <c r="N483">
        <v>1</v>
      </c>
    </row>
    <row r="484" spans="1:14" x14ac:dyDescent="0.3">
      <c r="A484" t="s">
        <v>513</v>
      </c>
      <c r="B484" t="str">
        <f>"27-1026"</f>
        <v>27-1026</v>
      </c>
      <c r="C484">
        <v>136.4</v>
      </c>
      <c r="D484">
        <v>142.4</v>
      </c>
      <c r="E484">
        <v>6.1</v>
      </c>
      <c r="F484">
        <v>4.4000000000000004</v>
      </c>
      <c r="G484">
        <v>13.2</v>
      </c>
      <c r="H484" s="2">
        <v>30810</v>
      </c>
      <c r="I484" t="s">
        <v>25</v>
      </c>
      <c r="J484">
        <v>7</v>
      </c>
      <c r="K484" t="s">
        <v>16</v>
      </c>
      <c r="L484">
        <v>4</v>
      </c>
      <c r="M484" t="s">
        <v>30</v>
      </c>
      <c r="N484">
        <v>5</v>
      </c>
    </row>
    <row r="485" spans="1:14" x14ac:dyDescent="0.3">
      <c r="A485" t="s">
        <v>514</v>
      </c>
      <c r="B485" t="str">
        <f>"51-4199"</f>
        <v>51-4199</v>
      </c>
      <c r="C485">
        <v>21.4</v>
      </c>
      <c r="D485">
        <v>21</v>
      </c>
      <c r="E485">
        <v>-0.4</v>
      </c>
      <c r="F485">
        <v>-2</v>
      </c>
      <c r="G485">
        <v>2.1</v>
      </c>
      <c r="H485" s="2">
        <v>35520</v>
      </c>
      <c r="I485" t="s">
        <v>25</v>
      </c>
      <c r="J485">
        <v>7</v>
      </c>
      <c r="K485" t="s">
        <v>16</v>
      </c>
      <c r="L485">
        <v>4</v>
      </c>
      <c r="M485" t="s">
        <v>26</v>
      </c>
      <c r="N485">
        <v>4</v>
      </c>
    </row>
    <row r="486" spans="1:14" x14ac:dyDescent="0.3">
      <c r="A486" t="s">
        <v>515</v>
      </c>
      <c r="B486" t="str">
        <f>"51-4051"</f>
        <v>51-4051</v>
      </c>
      <c r="C486">
        <v>15.1</v>
      </c>
      <c r="D486">
        <v>15.5</v>
      </c>
      <c r="E486">
        <v>0.4</v>
      </c>
      <c r="F486">
        <v>2.6</v>
      </c>
      <c r="G486">
        <v>1.4</v>
      </c>
      <c r="H486" s="2">
        <v>44610</v>
      </c>
      <c r="I486" t="s">
        <v>25</v>
      </c>
      <c r="J486">
        <v>7</v>
      </c>
      <c r="K486" t="s">
        <v>16</v>
      </c>
      <c r="L486">
        <v>4</v>
      </c>
      <c r="M486" t="s">
        <v>26</v>
      </c>
      <c r="N486">
        <v>4</v>
      </c>
    </row>
    <row r="487" spans="1:14" x14ac:dyDescent="0.3">
      <c r="A487" t="s">
        <v>516</v>
      </c>
      <c r="B487" t="str">
        <f>"43-5041"</f>
        <v>43-5041</v>
      </c>
      <c r="C487">
        <v>27</v>
      </c>
      <c r="D487">
        <v>24.7</v>
      </c>
      <c r="E487">
        <v>-2.2999999999999998</v>
      </c>
      <c r="F487">
        <v>-8.6</v>
      </c>
      <c r="G487">
        <v>1.7</v>
      </c>
      <c r="H487" s="2">
        <v>41940</v>
      </c>
      <c r="I487" t="s">
        <v>25</v>
      </c>
      <c r="J487">
        <v>7</v>
      </c>
      <c r="K487" t="s">
        <v>16</v>
      </c>
      <c r="L487">
        <v>4</v>
      </c>
      <c r="M487" t="s">
        <v>30</v>
      </c>
      <c r="N487">
        <v>5</v>
      </c>
    </row>
    <row r="488" spans="1:14" x14ac:dyDescent="0.3">
      <c r="A488" t="s">
        <v>517</v>
      </c>
      <c r="B488" t="str">
        <f>"19-1022"</f>
        <v>19-1022</v>
      </c>
      <c r="C488">
        <v>21.4</v>
      </c>
      <c r="D488">
        <v>22.4</v>
      </c>
      <c r="E488">
        <v>1</v>
      </c>
      <c r="F488">
        <v>4.5999999999999996</v>
      </c>
      <c r="G488">
        <v>2</v>
      </c>
      <c r="H488" s="2">
        <v>84400</v>
      </c>
      <c r="I488" t="s">
        <v>15</v>
      </c>
      <c r="J488">
        <v>3</v>
      </c>
      <c r="K488" t="s">
        <v>16</v>
      </c>
      <c r="L488">
        <v>4</v>
      </c>
      <c r="M488" t="s">
        <v>16</v>
      </c>
      <c r="N488">
        <v>6</v>
      </c>
    </row>
    <row r="489" spans="1:14" x14ac:dyDescent="0.3">
      <c r="A489" t="s">
        <v>518</v>
      </c>
      <c r="B489" t="str">
        <f>"25-2022"</f>
        <v>25-2022</v>
      </c>
      <c r="C489">
        <v>598.5</v>
      </c>
      <c r="D489">
        <v>643.29999999999995</v>
      </c>
      <c r="E489">
        <v>44.8</v>
      </c>
      <c r="F489">
        <v>7.5</v>
      </c>
      <c r="G489">
        <v>48.4</v>
      </c>
      <c r="H489" s="2">
        <v>60810</v>
      </c>
      <c r="I489" t="s">
        <v>15</v>
      </c>
      <c r="J489">
        <v>3</v>
      </c>
      <c r="K489" t="s">
        <v>16</v>
      </c>
      <c r="L489">
        <v>4</v>
      </c>
      <c r="M489" t="s">
        <v>16</v>
      </c>
      <c r="N489">
        <v>6</v>
      </c>
    </row>
    <row r="490" spans="1:14" x14ac:dyDescent="0.3">
      <c r="A490" t="s">
        <v>519</v>
      </c>
      <c r="B490" t="str">
        <f>"51-4035"</f>
        <v>51-4035</v>
      </c>
      <c r="C490">
        <v>15.7</v>
      </c>
      <c r="D490">
        <v>13.3</v>
      </c>
      <c r="E490">
        <v>-2.4</v>
      </c>
      <c r="F490">
        <v>-15.1</v>
      </c>
      <c r="G490">
        <v>1.2</v>
      </c>
      <c r="H490" s="2">
        <v>43150</v>
      </c>
      <c r="I490" t="s">
        <v>25</v>
      </c>
      <c r="J490">
        <v>7</v>
      </c>
      <c r="K490" t="s">
        <v>16</v>
      </c>
      <c r="L490">
        <v>4</v>
      </c>
      <c r="M490" t="s">
        <v>26</v>
      </c>
      <c r="N490">
        <v>4</v>
      </c>
    </row>
    <row r="491" spans="1:14" x14ac:dyDescent="0.3">
      <c r="A491" t="s">
        <v>520</v>
      </c>
      <c r="B491" t="str">
        <f>"49-9044"</f>
        <v>49-9044</v>
      </c>
      <c r="C491">
        <v>44.2</v>
      </c>
      <c r="D491">
        <v>48.7</v>
      </c>
      <c r="E491">
        <v>4.5999999999999996</v>
      </c>
      <c r="F491">
        <v>10.3</v>
      </c>
      <c r="G491">
        <v>4.4000000000000004</v>
      </c>
      <c r="H491" s="2">
        <v>57260</v>
      </c>
      <c r="I491" t="s">
        <v>25</v>
      </c>
      <c r="J491">
        <v>7</v>
      </c>
      <c r="K491" t="s">
        <v>16</v>
      </c>
      <c r="L491">
        <v>4</v>
      </c>
      <c r="M491" t="s">
        <v>103</v>
      </c>
      <c r="N491">
        <v>2</v>
      </c>
    </row>
    <row r="492" spans="1:14" x14ac:dyDescent="0.3">
      <c r="A492" t="s">
        <v>521</v>
      </c>
      <c r="B492" t="str">
        <f>"17-2151"</f>
        <v>17-2151</v>
      </c>
      <c r="C492">
        <v>6.3</v>
      </c>
      <c r="D492">
        <v>6.6</v>
      </c>
      <c r="E492">
        <v>0.2</v>
      </c>
      <c r="F492">
        <v>3.9</v>
      </c>
      <c r="G492">
        <v>0.4</v>
      </c>
      <c r="H492" s="2">
        <v>93800</v>
      </c>
      <c r="I492" t="s">
        <v>15</v>
      </c>
      <c r="J492">
        <v>3</v>
      </c>
      <c r="K492" t="s">
        <v>16</v>
      </c>
      <c r="L492">
        <v>4</v>
      </c>
      <c r="M492" t="s">
        <v>16</v>
      </c>
      <c r="N492">
        <v>6</v>
      </c>
    </row>
    <row r="493" spans="1:14" x14ac:dyDescent="0.3">
      <c r="A493" t="s">
        <v>522</v>
      </c>
      <c r="B493" t="str">
        <f>"51-2090"</f>
        <v>51-2090</v>
      </c>
      <c r="C493" s="1">
        <v>1262.8</v>
      </c>
      <c r="D493" s="1">
        <v>1178.2</v>
      </c>
      <c r="E493">
        <v>-84.6</v>
      </c>
      <c r="F493">
        <v>-6.7</v>
      </c>
      <c r="G493">
        <v>125.2</v>
      </c>
      <c r="H493" s="2">
        <v>33550</v>
      </c>
      <c r="I493" t="s">
        <v>25</v>
      </c>
      <c r="J493">
        <v>7</v>
      </c>
      <c r="K493" t="s">
        <v>16</v>
      </c>
      <c r="L493">
        <v>4</v>
      </c>
      <c r="M493" t="s">
        <v>26</v>
      </c>
      <c r="N493">
        <v>4</v>
      </c>
    </row>
    <row r="494" spans="1:14" x14ac:dyDescent="0.3">
      <c r="A494" t="s">
        <v>523</v>
      </c>
      <c r="B494" t="str">
        <f>"47-4090"</f>
        <v>47-4090</v>
      </c>
      <c r="C494">
        <v>32.9</v>
      </c>
      <c r="D494">
        <v>35.6</v>
      </c>
      <c r="E494">
        <v>2.7</v>
      </c>
      <c r="F494">
        <v>8.1</v>
      </c>
      <c r="G494">
        <v>4.2</v>
      </c>
      <c r="H494" s="2">
        <v>39660</v>
      </c>
      <c r="I494" t="s">
        <v>25</v>
      </c>
      <c r="J494">
        <v>7</v>
      </c>
      <c r="K494" t="s">
        <v>16</v>
      </c>
      <c r="L494">
        <v>4</v>
      </c>
      <c r="M494" t="s">
        <v>26</v>
      </c>
      <c r="N494">
        <v>4</v>
      </c>
    </row>
    <row r="495" spans="1:14" x14ac:dyDescent="0.3">
      <c r="A495" t="s">
        <v>524</v>
      </c>
      <c r="B495" t="str">
        <f>"27-2090"</f>
        <v>27-2090</v>
      </c>
      <c r="C495">
        <v>33.700000000000003</v>
      </c>
      <c r="D495">
        <v>45.2</v>
      </c>
      <c r="E495">
        <v>11.4</v>
      </c>
      <c r="F495">
        <v>33.799999999999997</v>
      </c>
      <c r="G495">
        <v>4.9000000000000004</v>
      </c>
      <c r="H495" s="2" t="s">
        <v>18</v>
      </c>
      <c r="I495" t="s">
        <v>43</v>
      </c>
      <c r="J495">
        <v>8</v>
      </c>
      <c r="K495" t="s">
        <v>16</v>
      </c>
      <c r="L495">
        <v>4</v>
      </c>
      <c r="M495" t="s">
        <v>30</v>
      </c>
      <c r="N495">
        <v>5</v>
      </c>
    </row>
    <row r="496" spans="1:14" x14ac:dyDescent="0.3">
      <c r="A496" t="s">
        <v>525</v>
      </c>
      <c r="B496" t="str">
        <f>"33-1090"</f>
        <v>33-1090</v>
      </c>
      <c r="C496">
        <v>81.400000000000006</v>
      </c>
      <c r="D496">
        <v>89.8</v>
      </c>
      <c r="E496">
        <v>8.3000000000000007</v>
      </c>
      <c r="F496">
        <v>10.199999999999999</v>
      </c>
      <c r="G496">
        <v>9</v>
      </c>
      <c r="H496" s="2">
        <v>52650</v>
      </c>
      <c r="I496" t="s">
        <v>25</v>
      </c>
      <c r="J496">
        <v>7</v>
      </c>
      <c r="K496" t="s">
        <v>32</v>
      </c>
      <c r="L496">
        <v>2</v>
      </c>
      <c r="M496" t="s">
        <v>16</v>
      </c>
      <c r="N496">
        <v>6</v>
      </c>
    </row>
    <row r="497" spans="1:14" x14ac:dyDescent="0.3">
      <c r="A497" t="s">
        <v>526</v>
      </c>
      <c r="B497" t="str">
        <f>"51-9023"</f>
        <v>51-9023</v>
      </c>
      <c r="C497">
        <v>118.1</v>
      </c>
      <c r="D497">
        <v>122.7</v>
      </c>
      <c r="E497">
        <v>4.5999999999999996</v>
      </c>
      <c r="F497">
        <v>3.9</v>
      </c>
      <c r="G497">
        <v>13.5</v>
      </c>
      <c r="H497" s="2">
        <v>38690</v>
      </c>
      <c r="I497" t="s">
        <v>25</v>
      </c>
      <c r="J497">
        <v>7</v>
      </c>
      <c r="K497" t="s">
        <v>16</v>
      </c>
      <c r="L497">
        <v>4</v>
      </c>
      <c r="M497" t="s">
        <v>26</v>
      </c>
      <c r="N497">
        <v>4</v>
      </c>
    </row>
    <row r="498" spans="1:14" x14ac:dyDescent="0.3">
      <c r="A498" t="s">
        <v>527</v>
      </c>
      <c r="B498" t="str">
        <f>"49-3042"</f>
        <v>49-3042</v>
      </c>
      <c r="C498">
        <v>152.1</v>
      </c>
      <c r="D498">
        <v>169.9</v>
      </c>
      <c r="E498">
        <v>17.8</v>
      </c>
      <c r="F498">
        <v>11.7</v>
      </c>
      <c r="G498">
        <v>17.5</v>
      </c>
      <c r="H498" s="2">
        <v>55350</v>
      </c>
      <c r="I498" t="s">
        <v>25</v>
      </c>
      <c r="J498">
        <v>7</v>
      </c>
      <c r="K498" t="s">
        <v>16</v>
      </c>
      <c r="L498">
        <v>4</v>
      </c>
      <c r="M498" t="s">
        <v>20</v>
      </c>
      <c r="N498">
        <v>3</v>
      </c>
    </row>
    <row r="499" spans="1:14" x14ac:dyDescent="0.3">
      <c r="A499" t="s">
        <v>528</v>
      </c>
      <c r="B499" t="str">
        <f>"51-4061"</f>
        <v>51-4061</v>
      </c>
      <c r="C499">
        <v>3.4</v>
      </c>
      <c r="D499">
        <v>3.3</v>
      </c>
      <c r="E499">
        <v>-0.2</v>
      </c>
      <c r="F499">
        <v>-4.9000000000000004</v>
      </c>
      <c r="G499">
        <v>0.3</v>
      </c>
      <c r="H499" s="2">
        <v>54780</v>
      </c>
      <c r="I499" t="s">
        <v>25</v>
      </c>
      <c r="J499">
        <v>7</v>
      </c>
      <c r="K499" t="s">
        <v>16</v>
      </c>
      <c r="L499">
        <v>4</v>
      </c>
      <c r="M499" t="s">
        <v>26</v>
      </c>
      <c r="N499">
        <v>4</v>
      </c>
    </row>
    <row r="500" spans="1:14" x14ac:dyDescent="0.3">
      <c r="A500" t="s">
        <v>529</v>
      </c>
      <c r="B500" t="str">
        <f>"51-7031"</f>
        <v>51-7031</v>
      </c>
      <c r="C500">
        <v>1</v>
      </c>
      <c r="D500">
        <v>1.3</v>
      </c>
      <c r="E500">
        <v>0.4</v>
      </c>
      <c r="F500">
        <v>38.6</v>
      </c>
      <c r="G500">
        <v>0.1</v>
      </c>
      <c r="H500" s="2">
        <v>64050</v>
      </c>
      <c r="I500" t="s">
        <v>25</v>
      </c>
      <c r="J500">
        <v>7</v>
      </c>
      <c r="K500" t="s">
        <v>16</v>
      </c>
      <c r="L500">
        <v>4</v>
      </c>
      <c r="M500" t="s">
        <v>26</v>
      </c>
      <c r="N500">
        <v>4</v>
      </c>
    </row>
    <row r="501" spans="1:14" x14ac:dyDescent="0.3">
      <c r="A501" t="s">
        <v>530</v>
      </c>
      <c r="B501" t="str">
        <f>"41-9012"</f>
        <v>41-9012</v>
      </c>
      <c r="C501">
        <v>2.7</v>
      </c>
      <c r="D501">
        <v>3</v>
      </c>
      <c r="E501">
        <v>0.3</v>
      </c>
      <c r="F501">
        <v>11.4</v>
      </c>
      <c r="G501">
        <v>0.5</v>
      </c>
      <c r="H501" s="2">
        <v>31910</v>
      </c>
      <c r="I501" t="s">
        <v>43</v>
      </c>
      <c r="J501">
        <v>8</v>
      </c>
      <c r="K501" t="s">
        <v>16</v>
      </c>
      <c r="L501">
        <v>4</v>
      </c>
      <c r="M501" t="s">
        <v>16</v>
      </c>
      <c r="N501">
        <v>6</v>
      </c>
    </row>
    <row r="502" spans="1:14" x14ac:dyDescent="0.3">
      <c r="A502" t="s">
        <v>531</v>
      </c>
      <c r="B502" t="str">
        <f>"51-9195"</f>
        <v>51-9195</v>
      </c>
      <c r="C502">
        <v>46.3</v>
      </c>
      <c r="D502">
        <v>53.3</v>
      </c>
      <c r="E502">
        <v>7</v>
      </c>
      <c r="F502">
        <v>15.1</v>
      </c>
      <c r="G502">
        <v>5.7</v>
      </c>
      <c r="H502" s="2">
        <v>35440</v>
      </c>
      <c r="I502" t="s">
        <v>25</v>
      </c>
      <c r="J502">
        <v>7</v>
      </c>
      <c r="K502" t="s">
        <v>16</v>
      </c>
      <c r="L502">
        <v>4</v>
      </c>
      <c r="M502" t="s">
        <v>20</v>
      </c>
      <c r="N502">
        <v>3</v>
      </c>
    </row>
    <row r="503" spans="1:14" x14ac:dyDescent="0.3">
      <c r="A503" t="s">
        <v>532</v>
      </c>
      <c r="B503" t="str">
        <f>"51-4072"</f>
        <v>51-4072</v>
      </c>
      <c r="C503">
        <v>157.69999999999999</v>
      </c>
      <c r="D503">
        <v>148.19999999999999</v>
      </c>
      <c r="E503">
        <v>-9.6</v>
      </c>
      <c r="F503">
        <v>-6.1</v>
      </c>
      <c r="G503">
        <v>14.4</v>
      </c>
      <c r="H503" s="2">
        <v>33100</v>
      </c>
      <c r="I503" t="s">
        <v>25</v>
      </c>
      <c r="J503">
        <v>7</v>
      </c>
      <c r="K503" t="s">
        <v>16</v>
      </c>
      <c r="L503">
        <v>4</v>
      </c>
      <c r="M503" t="s">
        <v>26</v>
      </c>
      <c r="N503">
        <v>4</v>
      </c>
    </row>
    <row r="504" spans="1:14" x14ac:dyDescent="0.3">
      <c r="A504" t="s">
        <v>533</v>
      </c>
      <c r="B504" t="str">
        <f>"39-4031"</f>
        <v>39-4031</v>
      </c>
      <c r="C504">
        <v>25</v>
      </c>
      <c r="D504">
        <v>26.1</v>
      </c>
      <c r="E504">
        <v>1</v>
      </c>
      <c r="F504">
        <v>4.0999999999999996</v>
      </c>
      <c r="G504">
        <v>3.1</v>
      </c>
      <c r="H504" s="2">
        <v>54100</v>
      </c>
      <c r="I504" t="s">
        <v>37</v>
      </c>
      <c r="J504">
        <v>4</v>
      </c>
      <c r="K504" t="s">
        <v>16</v>
      </c>
      <c r="L504">
        <v>4</v>
      </c>
      <c r="M504" t="s">
        <v>20</v>
      </c>
      <c r="N504">
        <v>3</v>
      </c>
    </row>
    <row r="505" spans="1:14" x14ac:dyDescent="0.3">
      <c r="A505" t="s">
        <v>534</v>
      </c>
      <c r="B505" t="str">
        <f>"39-3021"</f>
        <v>39-3021</v>
      </c>
      <c r="C505">
        <v>1.7</v>
      </c>
      <c r="D505">
        <v>2.9</v>
      </c>
      <c r="E505">
        <v>1.2</v>
      </c>
      <c r="F505">
        <v>70.5</v>
      </c>
      <c r="G505">
        <v>0.6</v>
      </c>
      <c r="H505" s="2">
        <v>27490</v>
      </c>
      <c r="I505" t="s">
        <v>43</v>
      </c>
      <c r="J505">
        <v>8</v>
      </c>
      <c r="K505" t="s">
        <v>16</v>
      </c>
      <c r="L505">
        <v>4</v>
      </c>
      <c r="M505" t="s">
        <v>30</v>
      </c>
      <c r="N505">
        <v>5</v>
      </c>
    </row>
    <row r="506" spans="1:14" x14ac:dyDescent="0.3">
      <c r="A506" t="s">
        <v>535</v>
      </c>
      <c r="B506" t="str">
        <f>"53-3099"</f>
        <v>53-3099</v>
      </c>
      <c r="C506">
        <v>59.6</v>
      </c>
      <c r="D506">
        <v>65.7</v>
      </c>
      <c r="E506">
        <v>6.2</v>
      </c>
      <c r="F506">
        <v>10.3</v>
      </c>
      <c r="G506">
        <v>10.6</v>
      </c>
      <c r="H506" s="2">
        <v>37170</v>
      </c>
      <c r="I506" t="s">
        <v>43</v>
      </c>
      <c r="J506">
        <v>8</v>
      </c>
      <c r="K506" t="s">
        <v>16</v>
      </c>
      <c r="L506">
        <v>4</v>
      </c>
      <c r="M506" t="s">
        <v>30</v>
      </c>
      <c r="N506">
        <v>5</v>
      </c>
    </row>
    <row r="507" spans="1:14" x14ac:dyDescent="0.3">
      <c r="A507" t="s">
        <v>536</v>
      </c>
      <c r="B507" t="str">
        <f>"49-3051"</f>
        <v>49-3051</v>
      </c>
      <c r="C507">
        <v>21.7</v>
      </c>
      <c r="D507">
        <v>24.6</v>
      </c>
      <c r="E507">
        <v>2.9</v>
      </c>
      <c r="F507">
        <v>13.3</v>
      </c>
      <c r="G507">
        <v>2.8</v>
      </c>
      <c r="H507" s="2">
        <v>43320</v>
      </c>
      <c r="I507" t="s">
        <v>25</v>
      </c>
      <c r="J507">
        <v>7</v>
      </c>
      <c r="K507" t="s">
        <v>16</v>
      </c>
      <c r="L507">
        <v>4</v>
      </c>
      <c r="M507" t="s">
        <v>20</v>
      </c>
      <c r="N507">
        <v>3</v>
      </c>
    </row>
    <row r="508" spans="1:14" x14ac:dyDescent="0.3">
      <c r="A508" t="s">
        <v>537</v>
      </c>
      <c r="B508" t="str">
        <f>"53-5022"</f>
        <v>53-5022</v>
      </c>
      <c r="C508">
        <v>2.6</v>
      </c>
      <c r="D508">
        <v>3</v>
      </c>
      <c r="E508">
        <v>0.4</v>
      </c>
      <c r="F508">
        <v>14.7</v>
      </c>
      <c r="G508">
        <v>0.3</v>
      </c>
      <c r="H508" s="2">
        <v>55910</v>
      </c>
      <c r="I508" t="s">
        <v>50</v>
      </c>
      <c r="J508">
        <v>5</v>
      </c>
      <c r="K508" t="s">
        <v>32</v>
      </c>
      <c r="L508">
        <v>2</v>
      </c>
      <c r="M508" t="s">
        <v>16</v>
      </c>
      <c r="N508">
        <v>6</v>
      </c>
    </row>
    <row r="509" spans="1:14" x14ac:dyDescent="0.3">
      <c r="A509" t="s">
        <v>538</v>
      </c>
      <c r="B509" t="str">
        <f>"49-3052"</f>
        <v>49-3052</v>
      </c>
      <c r="C509">
        <v>14</v>
      </c>
      <c r="D509">
        <v>15.4</v>
      </c>
      <c r="E509">
        <v>1.4</v>
      </c>
      <c r="F509">
        <v>9.6</v>
      </c>
      <c r="G509">
        <v>1.7</v>
      </c>
      <c r="H509" s="2">
        <v>38010</v>
      </c>
      <c r="I509" t="s">
        <v>50</v>
      </c>
      <c r="J509">
        <v>5</v>
      </c>
      <c r="K509" t="s">
        <v>16</v>
      </c>
      <c r="L509">
        <v>4</v>
      </c>
      <c r="M509" t="s">
        <v>30</v>
      </c>
      <c r="N509">
        <v>5</v>
      </c>
    </row>
    <row r="510" spans="1:14" x14ac:dyDescent="0.3">
      <c r="A510" t="s">
        <v>539</v>
      </c>
      <c r="B510" t="str">
        <f>"51-4081"</f>
        <v>51-4081</v>
      </c>
      <c r="C510">
        <v>138.4</v>
      </c>
      <c r="D510">
        <v>150.19999999999999</v>
      </c>
      <c r="E510">
        <v>11.8</v>
      </c>
      <c r="F510">
        <v>8.6</v>
      </c>
      <c r="G510">
        <v>15.6</v>
      </c>
      <c r="H510" s="2">
        <v>37510</v>
      </c>
      <c r="I510" t="s">
        <v>25</v>
      </c>
      <c r="J510">
        <v>7</v>
      </c>
      <c r="K510" t="s">
        <v>16</v>
      </c>
      <c r="L510">
        <v>4</v>
      </c>
      <c r="M510" t="s">
        <v>26</v>
      </c>
      <c r="N510">
        <v>4</v>
      </c>
    </row>
    <row r="511" spans="1:14" x14ac:dyDescent="0.3">
      <c r="A511" t="s">
        <v>540</v>
      </c>
      <c r="B511" t="str">
        <f>"25-4013"</f>
        <v>25-4013</v>
      </c>
      <c r="C511">
        <v>13.5</v>
      </c>
      <c r="D511">
        <v>16.3</v>
      </c>
      <c r="E511">
        <v>2.8</v>
      </c>
      <c r="F511">
        <v>20.6</v>
      </c>
      <c r="G511">
        <v>1.9</v>
      </c>
      <c r="H511" s="2">
        <v>45710</v>
      </c>
      <c r="I511" t="s">
        <v>15</v>
      </c>
      <c r="J511">
        <v>3</v>
      </c>
      <c r="K511" t="s">
        <v>16</v>
      </c>
      <c r="L511">
        <v>4</v>
      </c>
      <c r="M511" t="s">
        <v>16</v>
      </c>
      <c r="N511">
        <v>6</v>
      </c>
    </row>
    <row r="512" spans="1:14" x14ac:dyDescent="0.3">
      <c r="A512" t="s">
        <v>541</v>
      </c>
      <c r="B512" t="str">
        <f>"27-2041"</f>
        <v>27-2041</v>
      </c>
      <c r="C512">
        <v>48.1</v>
      </c>
      <c r="D512">
        <v>51.2</v>
      </c>
      <c r="E512">
        <v>3</v>
      </c>
      <c r="F512">
        <v>6.3</v>
      </c>
      <c r="G512">
        <v>6</v>
      </c>
      <c r="H512" s="2">
        <v>52250</v>
      </c>
      <c r="I512" t="s">
        <v>15</v>
      </c>
      <c r="J512">
        <v>3</v>
      </c>
      <c r="K512" t="s">
        <v>32</v>
      </c>
      <c r="L512">
        <v>2</v>
      </c>
      <c r="M512" t="s">
        <v>16</v>
      </c>
      <c r="N512">
        <v>6</v>
      </c>
    </row>
    <row r="513" spans="1:14" x14ac:dyDescent="0.3">
      <c r="A513" t="s">
        <v>542</v>
      </c>
      <c r="B513" t="str">
        <f>"49-9063"</f>
        <v>49-9063</v>
      </c>
      <c r="C513">
        <v>7.8</v>
      </c>
      <c r="D513">
        <v>7.5</v>
      </c>
      <c r="E513">
        <v>-0.3</v>
      </c>
      <c r="F513">
        <v>-3.9</v>
      </c>
      <c r="G513">
        <v>0.8</v>
      </c>
      <c r="H513" s="2">
        <v>36810</v>
      </c>
      <c r="I513" t="s">
        <v>25</v>
      </c>
      <c r="J513">
        <v>7</v>
      </c>
      <c r="K513" t="s">
        <v>16</v>
      </c>
      <c r="L513">
        <v>4</v>
      </c>
      <c r="M513" t="s">
        <v>103</v>
      </c>
      <c r="N513">
        <v>2</v>
      </c>
    </row>
    <row r="514" spans="1:14" x14ac:dyDescent="0.3">
      <c r="A514" t="s">
        <v>543</v>
      </c>
      <c r="B514" t="str">
        <f>"27-2042"</f>
        <v>27-2042</v>
      </c>
      <c r="C514">
        <v>157.30000000000001</v>
      </c>
      <c r="D514">
        <v>174.8</v>
      </c>
      <c r="E514">
        <v>17.5</v>
      </c>
      <c r="F514">
        <v>11.1</v>
      </c>
      <c r="G514">
        <v>20.8</v>
      </c>
      <c r="H514" s="2" t="s">
        <v>18</v>
      </c>
      <c r="I514" t="s">
        <v>43</v>
      </c>
      <c r="J514">
        <v>8</v>
      </c>
      <c r="K514" t="s">
        <v>16</v>
      </c>
      <c r="L514">
        <v>4</v>
      </c>
      <c r="M514" t="s">
        <v>20</v>
      </c>
      <c r="N514">
        <v>3</v>
      </c>
    </row>
    <row r="515" spans="1:14" x14ac:dyDescent="0.3">
      <c r="A515" t="s">
        <v>544</v>
      </c>
      <c r="B515" t="str">
        <f>"11-9121"</f>
        <v>11-9121</v>
      </c>
      <c r="C515">
        <v>79</v>
      </c>
      <c r="D515">
        <v>83.5</v>
      </c>
      <c r="E515">
        <v>4.5</v>
      </c>
      <c r="F515">
        <v>5.8</v>
      </c>
      <c r="G515">
        <v>6</v>
      </c>
      <c r="H515" s="2">
        <v>137940</v>
      </c>
      <c r="I515" t="s">
        <v>15</v>
      </c>
      <c r="J515">
        <v>3</v>
      </c>
      <c r="K515" t="s">
        <v>29</v>
      </c>
      <c r="L515">
        <v>1</v>
      </c>
      <c r="M515" t="s">
        <v>16</v>
      </c>
      <c r="N515">
        <v>6</v>
      </c>
    </row>
    <row r="516" spans="1:14" x14ac:dyDescent="0.3">
      <c r="A516" t="s">
        <v>545</v>
      </c>
      <c r="B516" t="str">
        <f>"15-1244"</f>
        <v>15-1244</v>
      </c>
      <c r="C516">
        <v>350.3</v>
      </c>
      <c r="D516">
        <v>369.1</v>
      </c>
      <c r="E516">
        <v>18.8</v>
      </c>
      <c r="F516">
        <v>5.4</v>
      </c>
      <c r="G516">
        <v>24.9</v>
      </c>
      <c r="H516" s="2">
        <v>84810</v>
      </c>
      <c r="I516" t="s">
        <v>15</v>
      </c>
      <c r="J516">
        <v>3</v>
      </c>
      <c r="K516" t="s">
        <v>16</v>
      </c>
      <c r="L516">
        <v>4</v>
      </c>
      <c r="M516" t="s">
        <v>16</v>
      </c>
      <c r="N516">
        <v>6</v>
      </c>
    </row>
    <row r="517" spans="1:14" x14ac:dyDescent="0.3">
      <c r="A517" t="s">
        <v>546</v>
      </c>
      <c r="B517" t="str">
        <f>"43-4141"</f>
        <v>43-4141</v>
      </c>
      <c r="C517">
        <v>46.1</v>
      </c>
      <c r="D517">
        <v>38.4</v>
      </c>
      <c r="E517">
        <v>-7.7</v>
      </c>
      <c r="F517">
        <v>-16.7</v>
      </c>
      <c r="G517">
        <v>3.2</v>
      </c>
      <c r="H517" s="2">
        <v>37750</v>
      </c>
      <c r="I517" t="s">
        <v>25</v>
      </c>
      <c r="J517">
        <v>7</v>
      </c>
      <c r="K517" t="s">
        <v>16</v>
      </c>
      <c r="L517">
        <v>4</v>
      </c>
      <c r="M517" t="s">
        <v>26</v>
      </c>
      <c r="N517">
        <v>4</v>
      </c>
    </row>
    <row r="518" spans="1:14" x14ac:dyDescent="0.3">
      <c r="A518" t="s">
        <v>547</v>
      </c>
      <c r="B518" t="str">
        <f>"27-3023"</f>
        <v>27-3023</v>
      </c>
      <c r="C518">
        <v>46.7</v>
      </c>
      <c r="D518">
        <v>49.5</v>
      </c>
      <c r="E518">
        <v>2.8</v>
      </c>
      <c r="F518">
        <v>6</v>
      </c>
      <c r="G518">
        <v>5.4</v>
      </c>
      <c r="H518" s="2">
        <v>49300</v>
      </c>
      <c r="I518" t="s">
        <v>15</v>
      </c>
      <c r="J518">
        <v>3</v>
      </c>
      <c r="K518" t="s">
        <v>16</v>
      </c>
      <c r="L518">
        <v>4</v>
      </c>
      <c r="M518" t="s">
        <v>16</v>
      </c>
      <c r="N518">
        <v>6</v>
      </c>
    </row>
    <row r="519" spans="1:14" x14ac:dyDescent="0.3">
      <c r="A519" t="s">
        <v>548</v>
      </c>
      <c r="B519" t="str">
        <f>"17-2161"</f>
        <v>17-2161</v>
      </c>
      <c r="C519">
        <v>17.2</v>
      </c>
      <c r="D519">
        <v>15.8</v>
      </c>
      <c r="E519">
        <v>-1.5</v>
      </c>
      <c r="F519">
        <v>-8.4</v>
      </c>
      <c r="G519">
        <v>0.9</v>
      </c>
      <c r="H519" s="2">
        <v>116140</v>
      </c>
      <c r="I519" t="s">
        <v>15</v>
      </c>
      <c r="J519">
        <v>3</v>
      </c>
      <c r="K519" t="s">
        <v>16</v>
      </c>
      <c r="L519">
        <v>4</v>
      </c>
      <c r="M519" t="s">
        <v>16</v>
      </c>
      <c r="N519">
        <v>6</v>
      </c>
    </row>
    <row r="520" spans="1:14" x14ac:dyDescent="0.3">
      <c r="A520" t="s">
        <v>549</v>
      </c>
      <c r="B520" t="str">
        <f>"29-2033"</f>
        <v>29-2033</v>
      </c>
      <c r="C520">
        <v>18.3</v>
      </c>
      <c r="D520">
        <v>19.7</v>
      </c>
      <c r="E520">
        <v>1.4</v>
      </c>
      <c r="F520">
        <v>7.8</v>
      </c>
      <c r="G520">
        <v>1.5</v>
      </c>
      <c r="H520" s="2">
        <v>79590</v>
      </c>
      <c r="I520" t="s">
        <v>37</v>
      </c>
      <c r="J520">
        <v>4</v>
      </c>
      <c r="K520" t="s">
        <v>16</v>
      </c>
      <c r="L520">
        <v>4</v>
      </c>
      <c r="M520" t="s">
        <v>16</v>
      </c>
      <c r="N520">
        <v>6</v>
      </c>
    </row>
    <row r="521" spans="1:14" x14ac:dyDescent="0.3">
      <c r="A521" t="s">
        <v>550</v>
      </c>
      <c r="B521" t="str">
        <f>"51-8011"</f>
        <v>51-8011</v>
      </c>
      <c r="C521">
        <v>5.3</v>
      </c>
      <c r="D521">
        <v>3.6</v>
      </c>
      <c r="E521">
        <v>-1.8</v>
      </c>
      <c r="F521">
        <v>-32.9</v>
      </c>
      <c r="G521">
        <v>0.2</v>
      </c>
      <c r="H521" s="2">
        <v>104040</v>
      </c>
      <c r="I521" t="s">
        <v>25</v>
      </c>
      <c r="J521">
        <v>7</v>
      </c>
      <c r="K521" t="s">
        <v>16</v>
      </c>
      <c r="L521">
        <v>4</v>
      </c>
      <c r="M521" t="s">
        <v>20</v>
      </c>
      <c r="N521">
        <v>3</v>
      </c>
    </row>
    <row r="522" spans="1:14" x14ac:dyDescent="0.3">
      <c r="A522" t="s">
        <v>551</v>
      </c>
      <c r="B522" t="str">
        <f>"19-4051"</f>
        <v>19-4051</v>
      </c>
      <c r="C522">
        <v>6.6</v>
      </c>
      <c r="D522">
        <v>5.8</v>
      </c>
      <c r="E522">
        <v>-0.8</v>
      </c>
      <c r="F522">
        <v>-12.4</v>
      </c>
      <c r="G522">
        <v>0.7</v>
      </c>
      <c r="H522" s="2">
        <v>84190</v>
      </c>
      <c r="I522" t="s">
        <v>37</v>
      </c>
      <c r="J522">
        <v>4</v>
      </c>
      <c r="K522" t="s">
        <v>16</v>
      </c>
      <c r="L522">
        <v>4</v>
      </c>
      <c r="M522" t="s">
        <v>26</v>
      </c>
      <c r="N522">
        <v>4</v>
      </c>
    </row>
    <row r="523" spans="1:14" x14ac:dyDescent="0.3">
      <c r="A523" t="s">
        <v>552</v>
      </c>
      <c r="B523" t="str">
        <f>"29-1151"</f>
        <v>29-1151</v>
      </c>
      <c r="C523">
        <v>44.2</v>
      </c>
      <c r="D523">
        <v>49.8</v>
      </c>
      <c r="E523">
        <v>5.6</v>
      </c>
      <c r="F523">
        <v>12.6</v>
      </c>
      <c r="G523">
        <v>2.9</v>
      </c>
      <c r="H523" s="2">
        <v>183580</v>
      </c>
      <c r="I523" t="s">
        <v>23</v>
      </c>
      <c r="J523">
        <v>2</v>
      </c>
      <c r="K523" t="s">
        <v>16</v>
      </c>
      <c r="L523">
        <v>4</v>
      </c>
      <c r="M523" t="s">
        <v>16</v>
      </c>
      <c r="N523">
        <v>6</v>
      </c>
    </row>
    <row r="524" spans="1:14" x14ac:dyDescent="0.3">
      <c r="A524" t="s">
        <v>553</v>
      </c>
      <c r="B524" t="str">
        <f>"29-1161"</f>
        <v>29-1161</v>
      </c>
      <c r="C524">
        <v>7.3</v>
      </c>
      <c r="D524">
        <v>8.1999999999999993</v>
      </c>
      <c r="E524">
        <v>0.8</v>
      </c>
      <c r="F524">
        <v>11.3</v>
      </c>
      <c r="G524">
        <v>0.5</v>
      </c>
      <c r="H524" s="2">
        <v>111130</v>
      </c>
      <c r="I524" t="s">
        <v>23</v>
      </c>
      <c r="J524">
        <v>2</v>
      </c>
      <c r="K524" t="s">
        <v>16</v>
      </c>
      <c r="L524">
        <v>4</v>
      </c>
      <c r="M524" t="s">
        <v>16</v>
      </c>
      <c r="N524">
        <v>6</v>
      </c>
    </row>
    <row r="525" spans="1:14" x14ac:dyDescent="0.3">
      <c r="A525" t="s">
        <v>554</v>
      </c>
      <c r="B525" t="str">
        <f>"29-1171"</f>
        <v>29-1171</v>
      </c>
      <c r="C525">
        <v>220.3</v>
      </c>
      <c r="D525">
        <v>335.2</v>
      </c>
      <c r="E525">
        <v>114.9</v>
      </c>
      <c r="F525">
        <v>52.2</v>
      </c>
      <c r="G525">
        <v>26</v>
      </c>
      <c r="H525" s="2">
        <v>111680</v>
      </c>
      <c r="I525" t="s">
        <v>23</v>
      </c>
      <c r="J525">
        <v>2</v>
      </c>
      <c r="K525" t="s">
        <v>16</v>
      </c>
      <c r="L525">
        <v>4</v>
      </c>
      <c r="M525" t="s">
        <v>16</v>
      </c>
      <c r="N525">
        <v>6</v>
      </c>
    </row>
    <row r="526" spans="1:14" x14ac:dyDescent="0.3">
      <c r="A526" t="s">
        <v>555</v>
      </c>
      <c r="B526" t="str">
        <f>"31-1131"</f>
        <v>31-1131</v>
      </c>
      <c r="C526" s="1">
        <v>1396.7</v>
      </c>
      <c r="D526" s="1">
        <v>1512</v>
      </c>
      <c r="E526">
        <v>115.3</v>
      </c>
      <c r="F526">
        <v>8.3000000000000007</v>
      </c>
      <c r="G526">
        <v>187</v>
      </c>
      <c r="H526" s="2">
        <v>30850</v>
      </c>
      <c r="I526" t="s">
        <v>50</v>
      </c>
      <c r="J526">
        <v>5</v>
      </c>
      <c r="K526" t="s">
        <v>16</v>
      </c>
      <c r="L526">
        <v>4</v>
      </c>
      <c r="M526" t="s">
        <v>16</v>
      </c>
      <c r="N526">
        <v>6</v>
      </c>
    </row>
    <row r="527" spans="1:14" x14ac:dyDescent="0.3">
      <c r="A527" t="s">
        <v>556</v>
      </c>
      <c r="B527" t="str">
        <f>"25-1072"</f>
        <v>25-1072</v>
      </c>
      <c r="C527">
        <v>72.599999999999994</v>
      </c>
      <c r="D527">
        <v>88.9</v>
      </c>
      <c r="E527">
        <v>16.3</v>
      </c>
      <c r="F527">
        <v>22.4</v>
      </c>
      <c r="G527">
        <v>9</v>
      </c>
      <c r="H527" s="2">
        <v>75470</v>
      </c>
      <c r="I527" t="s">
        <v>28</v>
      </c>
      <c r="J527">
        <v>1</v>
      </c>
      <c r="K527" t="s">
        <v>32</v>
      </c>
      <c r="L527">
        <v>2</v>
      </c>
      <c r="M527" t="s">
        <v>16</v>
      </c>
      <c r="N527">
        <v>6</v>
      </c>
    </row>
    <row r="528" spans="1:14" x14ac:dyDescent="0.3">
      <c r="A528" t="s">
        <v>557</v>
      </c>
      <c r="B528" t="str">
        <f>"29-1218"</f>
        <v>29-1218</v>
      </c>
      <c r="C528">
        <v>20.7</v>
      </c>
      <c r="D528">
        <v>20.3</v>
      </c>
      <c r="E528">
        <v>-0.4</v>
      </c>
      <c r="F528">
        <v>-2.1</v>
      </c>
      <c r="G528">
        <v>0.5</v>
      </c>
      <c r="H528" s="2">
        <v>208000</v>
      </c>
      <c r="I528" t="s">
        <v>28</v>
      </c>
      <c r="J528">
        <v>1</v>
      </c>
      <c r="K528" t="s">
        <v>16</v>
      </c>
      <c r="L528">
        <v>4</v>
      </c>
      <c r="M528" t="s">
        <v>58</v>
      </c>
      <c r="N528">
        <v>1</v>
      </c>
    </row>
    <row r="529" spans="1:14" x14ac:dyDescent="0.3">
      <c r="A529" t="s">
        <v>558</v>
      </c>
      <c r="B529" t="str">
        <f>"19-5011"</f>
        <v>19-5011</v>
      </c>
      <c r="C529">
        <v>98</v>
      </c>
      <c r="D529">
        <v>104.8</v>
      </c>
      <c r="E529">
        <v>6.8</v>
      </c>
      <c r="F529">
        <v>7</v>
      </c>
      <c r="G529">
        <v>7.8</v>
      </c>
      <c r="H529" s="2">
        <v>76340</v>
      </c>
      <c r="I529" t="s">
        <v>15</v>
      </c>
      <c r="J529">
        <v>3</v>
      </c>
      <c r="K529" t="s">
        <v>16</v>
      </c>
      <c r="L529">
        <v>4</v>
      </c>
      <c r="M529" t="s">
        <v>16</v>
      </c>
      <c r="N529">
        <v>6</v>
      </c>
    </row>
    <row r="530" spans="1:14" x14ac:dyDescent="0.3">
      <c r="A530" t="s">
        <v>559</v>
      </c>
      <c r="B530" t="str">
        <f>"19-5012"</f>
        <v>19-5012</v>
      </c>
      <c r="C530">
        <v>21.3</v>
      </c>
      <c r="D530">
        <v>23.2</v>
      </c>
      <c r="E530">
        <v>1.9</v>
      </c>
      <c r="F530">
        <v>9</v>
      </c>
      <c r="G530">
        <v>1.8</v>
      </c>
      <c r="H530" s="2">
        <v>53340</v>
      </c>
      <c r="I530" t="s">
        <v>25</v>
      </c>
      <c r="J530">
        <v>7</v>
      </c>
      <c r="K530" t="s">
        <v>16</v>
      </c>
      <c r="L530">
        <v>4</v>
      </c>
      <c r="M530" t="s">
        <v>26</v>
      </c>
      <c r="N530">
        <v>4</v>
      </c>
    </row>
    <row r="531" spans="1:14" x14ac:dyDescent="0.3">
      <c r="A531" t="s">
        <v>560</v>
      </c>
      <c r="B531" t="str">
        <f>"29-1122"</f>
        <v>29-1122</v>
      </c>
      <c r="C531">
        <v>131.6</v>
      </c>
      <c r="D531">
        <v>154.6</v>
      </c>
      <c r="E531">
        <v>23</v>
      </c>
      <c r="F531">
        <v>17.5</v>
      </c>
      <c r="G531">
        <v>10.1</v>
      </c>
      <c r="H531" s="2">
        <v>86280</v>
      </c>
      <c r="I531" t="s">
        <v>23</v>
      </c>
      <c r="J531">
        <v>2</v>
      </c>
      <c r="K531" t="s">
        <v>16</v>
      </c>
      <c r="L531">
        <v>4</v>
      </c>
      <c r="M531" t="s">
        <v>16</v>
      </c>
      <c r="N531">
        <v>6</v>
      </c>
    </row>
    <row r="532" spans="1:14" x14ac:dyDescent="0.3">
      <c r="A532" t="s">
        <v>561</v>
      </c>
      <c r="B532" t="str">
        <f>"31-2012"</f>
        <v>31-2012</v>
      </c>
      <c r="C532">
        <v>5.8</v>
      </c>
      <c r="D532">
        <v>7</v>
      </c>
      <c r="E532">
        <v>1.2</v>
      </c>
      <c r="F532">
        <v>21.4</v>
      </c>
      <c r="G532">
        <v>0.9</v>
      </c>
      <c r="H532" s="2">
        <v>30180</v>
      </c>
      <c r="I532" t="s">
        <v>25</v>
      </c>
      <c r="J532">
        <v>7</v>
      </c>
      <c r="K532" t="s">
        <v>16</v>
      </c>
      <c r="L532">
        <v>4</v>
      </c>
      <c r="M532" t="s">
        <v>30</v>
      </c>
      <c r="N532">
        <v>5</v>
      </c>
    </row>
    <row r="533" spans="1:14" x14ac:dyDescent="0.3">
      <c r="A533" t="s">
        <v>562</v>
      </c>
      <c r="B533" t="str">
        <f>"31-2011"</f>
        <v>31-2011</v>
      </c>
      <c r="C533">
        <v>43.3</v>
      </c>
      <c r="D533">
        <v>58.9</v>
      </c>
      <c r="E533">
        <v>15.6</v>
      </c>
      <c r="F533">
        <v>36.1</v>
      </c>
      <c r="G533">
        <v>7.8</v>
      </c>
      <c r="H533" s="2">
        <v>62940</v>
      </c>
      <c r="I533" t="s">
        <v>37</v>
      </c>
      <c r="J533">
        <v>4</v>
      </c>
      <c r="K533" t="s">
        <v>16</v>
      </c>
      <c r="L533">
        <v>4</v>
      </c>
      <c r="M533" t="s">
        <v>16</v>
      </c>
      <c r="N533">
        <v>6</v>
      </c>
    </row>
    <row r="534" spans="1:14" x14ac:dyDescent="0.3">
      <c r="A534" t="s">
        <v>563</v>
      </c>
      <c r="B534" t="str">
        <f>"43-9199"</f>
        <v>43-9199</v>
      </c>
      <c r="C534">
        <v>201.9</v>
      </c>
      <c r="D534">
        <v>215.3</v>
      </c>
      <c r="E534">
        <v>13.4</v>
      </c>
      <c r="F534">
        <v>6.6</v>
      </c>
      <c r="G534">
        <v>24.4</v>
      </c>
      <c r="H534" s="2">
        <v>35890</v>
      </c>
      <c r="I534" t="s">
        <v>25</v>
      </c>
      <c r="J534">
        <v>7</v>
      </c>
      <c r="K534" t="s">
        <v>16</v>
      </c>
      <c r="L534">
        <v>4</v>
      </c>
      <c r="M534" t="s">
        <v>30</v>
      </c>
      <c r="N534">
        <v>5</v>
      </c>
    </row>
    <row r="535" spans="1:14" x14ac:dyDescent="0.3">
      <c r="A535" t="s">
        <v>564</v>
      </c>
      <c r="B535" t="str">
        <f>"43-9061"</f>
        <v>43-9061</v>
      </c>
      <c r="C535" s="1">
        <v>2933.9</v>
      </c>
      <c r="D535" s="1">
        <v>2873.6</v>
      </c>
      <c r="E535">
        <v>-60.4</v>
      </c>
      <c r="F535">
        <v>-2.1</v>
      </c>
      <c r="G535">
        <v>324.60000000000002</v>
      </c>
      <c r="H535" s="2">
        <v>35330</v>
      </c>
      <c r="I535" t="s">
        <v>25</v>
      </c>
      <c r="J535">
        <v>7</v>
      </c>
      <c r="K535" t="s">
        <v>16</v>
      </c>
      <c r="L535">
        <v>4</v>
      </c>
      <c r="M535" t="s">
        <v>30</v>
      </c>
      <c r="N535">
        <v>5</v>
      </c>
    </row>
    <row r="536" spans="1:14" x14ac:dyDescent="0.3">
      <c r="A536" t="s">
        <v>565</v>
      </c>
      <c r="B536" t="str">
        <f>"43-9071"</f>
        <v>43-9071</v>
      </c>
      <c r="C536">
        <v>41.7</v>
      </c>
      <c r="D536">
        <v>36.1</v>
      </c>
      <c r="E536">
        <v>-5.6</v>
      </c>
      <c r="F536">
        <v>-13.5</v>
      </c>
      <c r="G536">
        <v>3.8</v>
      </c>
      <c r="H536" s="2">
        <v>34730</v>
      </c>
      <c r="I536" t="s">
        <v>25</v>
      </c>
      <c r="J536">
        <v>7</v>
      </c>
      <c r="K536" t="s">
        <v>16</v>
      </c>
      <c r="L536">
        <v>4</v>
      </c>
      <c r="M536" t="s">
        <v>30</v>
      </c>
      <c r="N536">
        <v>5</v>
      </c>
    </row>
    <row r="537" spans="1:14" x14ac:dyDescent="0.3">
      <c r="A537" t="s">
        <v>566</v>
      </c>
      <c r="B537" t="str">
        <f>"47-2073"</f>
        <v>47-2073</v>
      </c>
      <c r="C537">
        <v>408.5</v>
      </c>
      <c r="D537">
        <v>430.7</v>
      </c>
      <c r="E537">
        <v>22.2</v>
      </c>
      <c r="F537">
        <v>5.4</v>
      </c>
      <c r="G537">
        <v>46</v>
      </c>
      <c r="H537" s="2">
        <v>49770</v>
      </c>
      <c r="I537" t="s">
        <v>25</v>
      </c>
      <c r="J537">
        <v>7</v>
      </c>
      <c r="K537" t="s">
        <v>16</v>
      </c>
      <c r="L537">
        <v>4</v>
      </c>
      <c r="M537" t="s">
        <v>26</v>
      </c>
      <c r="N537">
        <v>4</v>
      </c>
    </row>
    <row r="538" spans="1:14" x14ac:dyDescent="0.3">
      <c r="A538" t="s">
        <v>567</v>
      </c>
      <c r="B538" t="str">
        <f>"15-2031"</f>
        <v>15-2031</v>
      </c>
      <c r="C538">
        <v>104.1</v>
      </c>
      <c r="D538">
        <v>129.69999999999999</v>
      </c>
      <c r="E538">
        <v>25.6</v>
      </c>
      <c r="F538">
        <v>24.6</v>
      </c>
      <c r="G538">
        <v>10.199999999999999</v>
      </c>
      <c r="H538" s="2">
        <v>86200</v>
      </c>
      <c r="I538" t="s">
        <v>15</v>
      </c>
      <c r="J538">
        <v>3</v>
      </c>
      <c r="K538" t="s">
        <v>16</v>
      </c>
      <c r="L538">
        <v>4</v>
      </c>
      <c r="M538" t="s">
        <v>16</v>
      </c>
      <c r="N538">
        <v>6</v>
      </c>
    </row>
    <row r="539" spans="1:14" x14ac:dyDescent="0.3">
      <c r="A539" t="s">
        <v>568</v>
      </c>
      <c r="B539" t="str">
        <f>"51-9083"</f>
        <v>51-9083</v>
      </c>
      <c r="C539">
        <v>27.5</v>
      </c>
      <c r="D539">
        <v>30.6</v>
      </c>
      <c r="E539">
        <v>3.1</v>
      </c>
      <c r="F539">
        <v>11.2</v>
      </c>
      <c r="G539">
        <v>4</v>
      </c>
      <c r="H539" s="2">
        <v>34440</v>
      </c>
      <c r="I539" t="s">
        <v>25</v>
      </c>
      <c r="J539">
        <v>7</v>
      </c>
      <c r="K539" t="s">
        <v>16</v>
      </c>
      <c r="L539">
        <v>4</v>
      </c>
      <c r="M539" t="s">
        <v>26</v>
      </c>
      <c r="N539">
        <v>4</v>
      </c>
    </row>
    <row r="540" spans="1:14" x14ac:dyDescent="0.3">
      <c r="A540" t="s">
        <v>569</v>
      </c>
      <c r="B540" t="str">
        <f>"29-2057"</f>
        <v>29-2057</v>
      </c>
      <c r="C540">
        <v>60.9</v>
      </c>
      <c r="D540">
        <v>69.599999999999994</v>
      </c>
      <c r="E540">
        <v>8.6999999999999993</v>
      </c>
      <c r="F540">
        <v>14.3</v>
      </c>
      <c r="G540">
        <v>5.5</v>
      </c>
      <c r="H540" s="2">
        <v>37940</v>
      </c>
      <c r="I540" t="s">
        <v>50</v>
      </c>
      <c r="J540">
        <v>5</v>
      </c>
      <c r="K540" t="s">
        <v>16</v>
      </c>
      <c r="L540">
        <v>4</v>
      </c>
      <c r="M540" t="s">
        <v>16</v>
      </c>
      <c r="N540">
        <v>6</v>
      </c>
    </row>
    <row r="541" spans="1:14" x14ac:dyDescent="0.3">
      <c r="A541" t="s">
        <v>570</v>
      </c>
      <c r="B541" t="str">
        <f>"29-2081"</f>
        <v>29-2081</v>
      </c>
      <c r="C541">
        <v>69.8</v>
      </c>
      <c r="D541">
        <v>74.2</v>
      </c>
      <c r="E541">
        <v>4.3</v>
      </c>
      <c r="F541">
        <v>6.2</v>
      </c>
      <c r="G541">
        <v>5.9</v>
      </c>
      <c r="H541" s="2">
        <v>38530</v>
      </c>
      <c r="I541" t="s">
        <v>25</v>
      </c>
      <c r="J541">
        <v>7</v>
      </c>
      <c r="K541" t="s">
        <v>16</v>
      </c>
      <c r="L541">
        <v>4</v>
      </c>
      <c r="M541" t="s">
        <v>20</v>
      </c>
      <c r="N541">
        <v>3</v>
      </c>
    </row>
    <row r="542" spans="1:14" x14ac:dyDescent="0.3">
      <c r="A542" t="s">
        <v>571</v>
      </c>
      <c r="B542" t="str">
        <f>"29-1041"</f>
        <v>29-1041</v>
      </c>
      <c r="C542">
        <v>43.3</v>
      </c>
      <c r="D542">
        <v>47.2</v>
      </c>
      <c r="E542">
        <v>3.9</v>
      </c>
      <c r="F542">
        <v>9</v>
      </c>
      <c r="G542">
        <v>1.7</v>
      </c>
      <c r="H542" s="2">
        <v>118050</v>
      </c>
      <c r="I542" t="s">
        <v>28</v>
      </c>
      <c r="J542">
        <v>1</v>
      </c>
      <c r="K542" t="s">
        <v>16</v>
      </c>
      <c r="L542">
        <v>4</v>
      </c>
      <c r="M542" t="s">
        <v>16</v>
      </c>
      <c r="N542">
        <v>6</v>
      </c>
    </row>
    <row r="543" spans="1:14" x14ac:dyDescent="0.3">
      <c r="A543" t="s">
        <v>572</v>
      </c>
      <c r="B543" t="str">
        <f>"29-1022"</f>
        <v>29-1022</v>
      </c>
      <c r="C543">
        <v>5.2</v>
      </c>
      <c r="D543">
        <v>5.6</v>
      </c>
      <c r="E543">
        <v>0.4</v>
      </c>
      <c r="F543">
        <v>7.7</v>
      </c>
      <c r="G543">
        <v>0.2</v>
      </c>
      <c r="H543" s="2">
        <v>208000</v>
      </c>
      <c r="I543" t="s">
        <v>28</v>
      </c>
      <c r="J543">
        <v>1</v>
      </c>
      <c r="K543" t="s">
        <v>16</v>
      </c>
      <c r="L543">
        <v>4</v>
      </c>
      <c r="M543" t="s">
        <v>58</v>
      </c>
      <c r="N543">
        <v>1</v>
      </c>
    </row>
    <row r="544" spans="1:14" x14ac:dyDescent="0.3">
      <c r="A544" t="s">
        <v>573</v>
      </c>
      <c r="B544" t="str">
        <f>"43-4151"</f>
        <v>43-4151</v>
      </c>
      <c r="C544">
        <v>133.9</v>
      </c>
      <c r="D544">
        <v>109.5</v>
      </c>
      <c r="E544">
        <v>-24.4</v>
      </c>
      <c r="F544">
        <v>-18.2</v>
      </c>
      <c r="G544">
        <v>10.4</v>
      </c>
      <c r="H544" s="2">
        <v>35590</v>
      </c>
      <c r="I544" t="s">
        <v>19</v>
      </c>
      <c r="J544">
        <v>6</v>
      </c>
      <c r="K544" t="s">
        <v>16</v>
      </c>
      <c r="L544">
        <v>4</v>
      </c>
      <c r="M544" t="s">
        <v>30</v>
      </c>
      <c r="N544">
        <v>5</v>
      </c>
    </row>
    <row r="545" spans="1:14" x14ac:dyDescent="0.3">
      <c r="A545" t="s">
        <v>574</v>
      </c>
      <c r="B545" t="str">
        <f>"31-1132"</f>
        <v>31-1132</v>
      </c>
      <c r="C545">
        <v>44</v>
      </c>
      <c r="D545">
        <v>47.2</v>
      </c>
      <c r="E545">
        <v>3.2</v>
      </c>
      <c r="F545">
        <v>7.2</v>
      </c>
      <c r="G545">
        <v>5.8</v>
      </c>
      <c r="H545" s="2">
        <v>30030</v>
      </c>
      <c r="I545" t="s">
        <v>25</v>
      </c>
      <c r="J545">
        <v>7</v>
      </c>
      <c r="K545" t="s">
        <v>16</v>
      </c>
      <c r="L545">
        <v>4</v>
      </c>
      <c r="M545" t="s">
        <v>30</v>
      </c>
      <c r="N545">
        <v>5</v>
      </c>
    </row>
    <row r="546" spans="1:14" x14ac:dyDescent="0.3">
      <c r="A546" t="s">
        <v>575</v>
      </c>
      <c r="B546" t="str">
        <f>"29-1023"</f>
        <v>29-1023</v>
      </c>
      <c r="C546">
        <v>6.4</v>
      </c>
      <c r="D546">
        <v>6.9</v>
      </c>
      <c r="E546">
        <v>0.5</v>
      </c>
      <c r="F546">
        <v>8.1</v>
      </c>
      <c r="G546">
        <v>0.2</v>
      </c>
      <c r="H546" s="2">
        <v>208000</v>
      </c>
      <c r="I546" t="s">
        <v>28</v>
      </c>
      <c r="J546">
        <v>1</v>
      </c>
      <c r="K546" t="s">
        <v>16</v>
      </c>
      <c r="L546">
        <v>4</v>
      </c>
      <c r="M546" t="s">
        <v>58</v>
      </c>
      <c r="N546">
        <v>1</v>
      </c>
    </row>
    <row r="547" spans="1:14" x14ac:dyDescent="0.3">
      <c r="A547" t="s">
        <v>576</v>
      </c>
      <c r="B547" t="str">
        <f>"29-2091"</f>
        <v>29-2091</v>
      </c>
      <c r="C547">
        <v>10.1</v>
      </c>
      <c r="D547">
        <v>12</v>
      </c>
      <c r="E547">
        <v>1.9</v>
      </c>
      <c r="F547">
        <v>18.399999999999999</v>
      </c>
      <c r="G547">
        <v>1</v>
      </c>
      <c r="H547" s="2">
        <v>70190</v>
      </c>
      <c r="I547" t="s">
        <v>23</v>
      </c>
      <c r="J547">
        <v>2</v>
      </c>
      <c r="K547" t="s">
        <v>16</v>
      </c>
      <c r="L547">
        <v>4</v>
      </c>
      <c r="M547" t="s">
        <v>58</v>
      </c>
      <c r="N547">
        <v>1</v>
      </c>
    </row>
    <row r="548" spans="1:14" x14ac:dyDescent="0.3">
      <c r="A548" t="s">
        <v>577</v>
      </c>
      <c r="B548" t="str">
        <f>"49-3053"</f>
        <v>49-3053</v>
      </c>
      <c r="C548">
        <v>33.299999999999997</v>
      </c>
      <c r="D548">
        <v>35.5</v>
      </c>
      <c r="E548">
        <v>2.2000000000000002</v>
      </c>
      <c r="F548">
        <v>6.7</v>
      </c>
      <c r="G548">
        <v>4</v>
      </c>
      <c r="H548" s="2">
        <v>37530</v>
      </c>
      <c r="I548" t="s">
        <v>25</v>
      </c>
      <c r="J548">
        <v>7</v>
      </c>
      <c r="K548" t="s">
        <v>16</v>
      </c>
      <c r="L548">
        <v>4</v>
      </c>
      <c r="M548" t="s">
        <v>26</v>
      </c>
      <c r="N548">
        <v>4</v>
      </c>
    </row>
    <row r="549" spans="1:14" x14ac:dyDescent="0.3">
      <c r="A549" t="s">
        <v>578</v>
      </c>
      <c r="B549" t="str">
        <f>"51-9111"</f>
        <v>51-9111</v>
      </c>
      <c r="C549">
        <v>371.8</v>
      </c>
      <c r="D549">
        <v>392</v>
      </c>
      <c r="E549">
        <v>20.2</v>
      </c>
      <c r="F549">
        <v>5.4</v>
      </c>
      <c r="G549">
        <v>43.1</v>
      </c>
      <c r="H549" s="2">
        <v>32640</v>
      </c>
      <c r="I549" t="s">
        <v>25</v>
      </c>
      <c r="J549">
        <v>7</v>
      </c>
      <c r="K549" t="s">
        <v>16</v>
      </c>
      <c r="L549">
        <v>4</v>
      </c>
      <c r="M549" t="s">
        <v>26</v>
      </c>
      <c r="N549">
        <v>4</v>
      </c>
    </row>
    <row r="550" spans="1:14" x14ac:dyDescent="0.3">
      <c r="A550" t="s">
        <v>579</v>
      </c>
      <c r="B550" t="str">
        <f>"53-7064"</f>
        <v>53-7064</v>
      </c>
      <c r="C550">
        <v>599.70000000000005</v>
      </c>
      <c r="D550">
        <v>600.6</v>
      </c>
      <c r="E550">
        <v>1</v>
      </c>
      <c r="F550">
        <v>0.2</v>
      </c>
      <c r="G550">
        <v>82.9</v>
      </c>
      <c r="H550" s="2">
        <v>28050</v>
      </c>
      <c r="I550" t="s">
        <v>43</v>
      </c>
      <c r="J550">
        <v>8</v>
      </c>
      <c r="K550" t="s">
        <v>16</v>
      </c>
      <c r="L550">
        <v>4</v>
      </c>
      <c r="M550" t="s">
        <v>30</v>
      </c>
      <c r="N550">
        <v>5</v>
      </c>
    </row>
    <row r="551" spans="1:14" x14ac:dyDescent="0.3">
      <c r="A551" t="s">
        <v>580</v>
      </c>
      <c r="B551" t="str">
        <f>"47-2141"</f>
        <v>47-2141</v>
      </c>
      <c r="C551">
        <v>350.8</v>
      </c>
      <c r="D551">
        <v>369.1</v>
      </c>
      <c r="E551">
        <v>18.3</v>
      </c>
      <c r="F551">
        <v>5.2</v>
      </c>
      <c r="G551">
        <v>32.700000000000003</v>
      </c>
      <c r="H551" s="2">
        <v>42130</v>
      </c>
      <c r="I551" t="s">
        <v>43</v>
      </c>
      <c r="J551">
        <v>8</v>
      </c>
      <c r="K551" t="s">
        <v>16</v>
      </c>
      <c r="L551">
        <v>4</v>
      </c>
      <c r="M551" t="s">
        <v>26</v>
      </c>
      <c r="N551">
        <v>4</v>
      </c>
    </row>
    <row r="552" spans="1:14" x14ac:dyDescent="0.3">
      <c r="A552" t="s">
        <v>581</v>
      </c>
      <c r="B552" t="str">
        <f>"51-9123"</f>
        <v>51-9123</v>
      </c>
      <c r="C552">
        <v>12.4</v>
      </c>
      <c r="D552">
        <v>13.2</v>
      </c>
      <c r="E552">
        <v>0.8</v>
      </c>
      <c r="F552">
        <v>6.3</v>
      </c>
      <c r="G552">
        <v>1.3</v>
      </c>
      <c r="H552" s="2">
        <v>34780</v>
      </c>
      <c r="I552" t="s">
        <v>43</v>
      </c>
      <c r="J552">
        <v>8</v>
      </c>
      <c r="K552" t="s">
        <v>16</v>
      </c>
      <c r="L552">
        <v>4</v>
      </c>
      <c r="M552" t="s">
        <v>26</v>
      </c>
      <c r="N552">
        <v>4</v>
      </c>
    </row>
    <row r="553" spans="1:14" x14ac:dyDescent="0.3">
      <c r="A553" t="s">
        <v>582</v>
      </c>
      <c r="B553" t="str">
        <f>"51-9196"</f>
        <v>51-9196</v>
      </c>
      <c r="C553">
        <v>102.3</v>
      </c>
      <c r="D553">
        <v>94.9</v>
      </c>
      <c r="E553">
        <v>-7.4</v>
      </c>
      <c r="F553">
        <v>-7.3</v>
      </c>
      <c r="G553">
        <v>10.199999999999999</v>
      </c>
      <c r="H553" s="2">
        <v>39820</v>
      </c>
      <c r="I553" t="s">
        <v>25</v>
      </c>
      <c r="J553">
        <v>7</v>
      </c>
      <c r="K553" t="s">
        <v>16</v>
      </c>
      <c r="L553">
        <v>4</v>
      </c>
      <c r="M553" t="s">
        <v>26</v>
      </c>
      <c r="N553">
        <v>4</v>
      </c>
    </row>
    <row r="554" spans="1:14" x14ac:dyDescent="0.3">
      <c r="A554" t="s">
        <v>583</v>
      </c>
      <c r="B554" t="str">
        <f>"47-2142"</f>
        <v>47-2142</v>
      </c>
      <c r="C554">
        <v>4.5999999999999996</v>
      </c>
      <c r="D554">
        <v>4.9000000000000004</v>
      </c>
      <c r="E554">
        <v>0.3</v>
      </c>
      <c r="F554">
        <v>6.4</v>
      </c>
      <c r="G554">
        <v>0.4</v>
      </c>
      <c r="H554" s="2">
        <v>43560</v>
      </c>
      <c r="I554" t="s">
        <v>43</v>
      </c>
      <c r="J554">
        <v>8</v>
      </c>
      <c r="K554" t="s">
        <v>16</v>
      </c>
      <c r="L554">
        <v>4</v>
      </c>
      <c r="M554" t="s">
        <v>20</v>
      </c>
      <c r="N554">
        <v>3</v>
      </c>
    </row>
    <row r="555" spans="1:14" x14ac:dyDescent="0.3">
      <c r="A555" t="s">
        <v>584</v>
      </c>
      <c r="B555" t="str">
        <f>"23-2011"</f>
        <v>23-2011</v>
      </c>
      <c r="C555">
        <v>345.6</v>
      </c>
      <c r="D555">
        <v>387</v>
      </c>
      <c r="E555">
        <v>41.4</v>
      </c>
      <c r="F555">
        <v>12</v>
      </c>
      <c r="G555">
        <v>43</v>
      </c>
      <c r="H555" s="2">
        <v>52920</v>
      </c>
      <c r="I555" t="s">
        <v>37</v>
      </c>
      <c r="J555">
        <v>4</v>
      </c>
      <c r="K555" t="s">
        <v>16</v>
      </c>
      <c r="L555">
        <v>4</v>
      </c>
      <c r="M555" t="s">
        <v>16</v>
      </c>
      <c r="N555">
        <v>6</v>
      </c>
    </row>
    <row r="556" spans="1:14" x14ac:dyDescent="0.3">
      <c r="A556" t="s">
        <v>585</v>
      </c>
      <c r="B556" t="str">
        <f>"53-6021"</f>
        <v>53-6021</v>
      </c>
      <c r="C556">
        <v>123.8</v>
      </c>
      <c r="D556">
        <v>141.30000000000001</v>
      </c>
      <c r="E556">
        <v>17.5</v>
      </c>
      <c r="F556">
        <v>14.2</v>
      </c>
      <c r="G556">
        <v>21.9</v>
      </c>
      <c r="H556" s="2">
        <v>27080</v>
      </c>
      <c r="I556" t="s">
        <v>43</v>
      </c>
      <c r="J556">
        <v>8</v>
      </c>
      <c r="K556" t="s">
        <v>16</v>
      </c>
      <c r="L556">
        <v>4</v>
      </c>
      <c r="M556" t="s">
        <v>30</v>
      </c>
      <c r="N556">
        <v>5</v>
      </c>
    </row>
    <row r="557" spans="1:14" x14ac:dyDescent="0.3">
      <c r="A557" t="s">
        <v>586</v>
      </c>
      <c r="B557" t="str">
        <f>"33-3041"</f>
        <v>33-3041</v>
      </c>
      <c r="C557">
        <v>7.9</v>
      </c>
      <c r="D557">
        <v>5.0999999999999996</v>
      </c>
      <c r="E557">
        <v>-2.8</v>
      </c>
      <c r="F557">
        <v>-35</v>
      </c>
      <c r="G557">
        <v>0.4</v>
      </c>
      <c r="H557" s="2">
        <v>42070</v>
      </c>
      <c r="I557" t="s">
        <v>25</v>
      </c>
      <c r="J557">
        <v>7</v>
      </c>
      <c r="K557" t="s">
        <v>16</v>
      </c>
      <c r="L557">
        <v>4</v>
      </c>
      <c r="M557" t="s">
        <v>30</v>
      </c>
      <c r="N557">
        <v>5</v>
      </c>
    </row>
    <row r="558" spans="1:14" x14ac:dyDescent="0.3">
      <c r="A558" t="s">
        <v>587</v>
      </c>
      <c r="B558" t="str">
        <f>"41-2022"</f>
        <v>41-2022</v>
      </c>
      <c r="C558">
        <v>257.8</v>
      </c>
      <c r="D558">
        <v>270.39999999999998</v>
      </c>
      <c r="E558">
        <v>12.6</v>
      </c>
      <c r="F558">
        <v>4.9000000000000004</v>
      </c>
      <c r="G558">
        <v>32.6</v>
      </c>
      <c r="H558" s="2">
        <v>32460</v>
      </c>
      <c r="I558" t="s">
        <v>43</v>
      </c>
      <c r="J558">
        <v>8</v>
      </c>
      <c r="K558" t="s">
        <v>16</v>
      </c>
      <c r="L558">
        <v>4</v>
      </c>
      <c r="M558" t="s">
        <v>26</v>
      </c>
      <c r="N558">
        <v>4</v>
      </c>
    </row>
    <row r="559" spans="1:14" x14ac:dyDescent="0.3">
      <c r="A559" t="s">
        <v>588</v>
      </c>
      <c r="B559" t="str">
        <f>"53-6061"</f>
        <v>53-6061</v>
      </c>
      <c r="C559">
        <v>23.2</v>
      </c>
      <c r="D559">
        <v>27.2</v>
      </c>
      <c r="E559">
        <v>4.0999999999999996</v>
      </c>
      <c r="F559">
        <v>17.5</v>
      </c>
      <c r="G559">
        <v>4</v>
      </c>
      <c r="H559" s="2">
        <v>28770</v>
      </c>
      <c r="I559" t="s">
        <v>25</v>
      </c>
      <c r="J559">
        <v>7</v>
      </c>
      <c r="K559" t="s">
        <v>16</v>
      </c>
      <c r="L559">
        <v>4</v>
      </c>
      <c r="M559" t="s">
        <v>30</v>
      </c>
      <c r="N559">
        <v>5</v>
      </c>
    </row>
    <row r="560" spans="1:14" x14ac:dyDescent="0.3">
      <c r="A560" t="s">
        <v>589</v>
      </c>
      <c r="B560" t="str">
        <f>"53-3058"</f>
        <v>53-3058</v>
      </c>
      <c r="C560">
        <v>707.4</v>
      </c>
      <c r="D560">
        <v>887.9</v>
      </c>
      <c r="E560">
        <v>180.6</v>
      </c>
      <c r="F560">
        <v>25.5</v>
      </c>
      <c r="G560">
        <v>110.2</v>
      </c>
      <c r="H560" s="2">
        <v>32320</v>
      </c>
      <c r="I560" t="s">
        <v>43</v>
      </c>
      <c r="J560">
        <v>8</v>
      </c>
      <c r="K560" t="s">
        <v>16</v>
      </c>
      <c r="L560">
        <v>4</v>
      </c>
      <c r="M560" t="s">
        <v>30</v>
      </c>
      <c r="N560">
        <v>5</v>
      </c>
    </row>
    <row r="561" spans="1:14" x14ac:dyDescent="0.3">
      <c r="A561" t="s">
        <v>590</v>
      </c>
      <c r="B561" t="str">
        <f>"51-4062"</f>
        <v>51-4062</v>
      </c>
      <c r="C561">
        <v>2.4</v>
      </c>
      <c r="D561">
        <v>2.2999999999999998</v>
      </c>
      <c r="E561">
        <v>-0.1</v>
      </c>
      <c r="F561">
        <v>-3.2</v>
      </c>
      <c r="G561">
        <v>0.2</v>
      </c>
      <c r="H561" s="2">
        <v>48160</v>
      </c>
      <c r="I561" t="s">
        <v>25</v>
      </c>
      <c r="J561">
        <v>7</v>
      </c>
      <c r="K561" t="s">
        <v>16</v>
      </c>
      <c r="L561">
        <v>4</v>
      </c>
      <c r="M561" t="s">
        <v>26</v>
      </c>
      <c r="N561">
        <v>4</v>
      </c>
    </row>
    <row r="562" spans="1:14" x14ac:dyDescent="0.3">
      <c r="A562" t="s">
        <v>591</v>
      </c>
      <c r="B562" t="str">
        <f>"51-7032"</f>
        <v>51-7032</v>
      </c>
      <c r="C562">
        <v>0.2</v>
      </c>
      <c r="D562">
        <v>0.3</v>
      </c>
      <c r="E562">
        <v>0.1</v>
      </c>
      <c r="F562">
        <v>24.7</v>
      </c>
      <c r="G562">
        <v>0</v>
      </c>
      <c r="H562" s="2">
        <v>65120</v>
      </c>
      <c r="I562" t="s">
        <v>25</v>
      </c>
      <c r="J562">
        <v>7</v>
      </c>
      <c r="K562" t="s">
        <v>16</v>
      </c>
      <c r="L562">
        <v>4</v>
      </c>
      <c r="M562" t="s">
        <v>26</v>
      </c>
      <c r="N562">
        <v>4</v>
      </c>
    </row>
    <row r="563" spans="1:14" x14ac:dyDescent="0.3">
      <c r="A563" t="s">
        <v>592</v>
      </c>
      <c r="B563" t="str">
        <f>"47-2071"</f>
        <v>47-2071</v>
      </c>
      <c r="C563">
        <v>44.8</v>
      </c>
      <c r="D563">
        <v>47.4</v>
      </c>
      <c r="E563">
        <v>2.5</v>
      </c>
      <c r="F563">
        <v>5.6</v>
      </c>
      <c r="G563">
        <v>5.0999999999999996</v>
      </c>
      <c r="H563" s="2">
        <v>41540</v>
      </c>
      <c r="I563" t="s">
        <v>25</v>
      </c>
      <c r="J563">
        <v>7</v>
      </c>
      <c r="K563" t="s">
        <v>16</v>
      </c>
      <c r="L563">
        <v>4</v>
      </c>
      <c r="M563" t="s">
        <v>26</v>
      </c>
      <c r="N563">
        <v>4</v>
      </c>
    </row>
    <row r="564" spans="1:14" x14ac:dyDescent="0.3">
      <c r="A564" t="s">
        <v>593</v>
      </c>
      <c r="B564" t="str">
        <f>"43-3051"</f>
        <v>43-3051</v>
      </c>
      <c r="C564">
        <v>137.30000000000001</v>
      </c>
      <c r="D564">
        <v>119.7</v>
      </c>
      <c r="E564">
        <v>-17.7</v>
      </c>
      <c r="F564">
        <v>-12.9</v>
      </c>
      <c r="G564">
        <v>11.4</v>
      </c>
      <c r="H564" s="2">
        <v>47020</v>
      </c>
      <c r="I564" t="s">
        <v>25</v>
      </c>
      <c r="J564">
        <v>7</v>
      </c>
      <c r="K564" t="s">
        <v>16</v>
      </c>
      <c r="L564">
        <v>4</v>
      </c>
      <c r="M564" t="s">
        <v>26</v>
      </c>
      <c r="N564">
        <v>4</v>
      </c>
    </row>
    <row r="565" spans="1:14" x14ac:dyDescent="0.3">
      <c r="A565" t="s">
        <v>594</v>
      </c>
      <c r="B565" t="str">
        <f>"29-1221"</f>
        <v>29-1221</v>
      </c>
      <c r="C565">
        <v>30.2</v>
      </c>
      <c r="D565">
        <v>29.6</v>
      </c>
      <c r="E565">
        <v>-0.5</v>
      </c>
      <c r="F565">
        <v>-1.8</v>
      </c>
      <c r="G565">
        <v>0.8</v>
      </c>
      <c r="H565" s="2">
        <v>177130</v>
      </c>
      <c r="I565" t="s">
        <v>28</v>
      </c>
      <c r="J565">
        <v>1</v>
      </c>
      <c r="K565" t="s">
        <v>16</v>
      </c>
      <c r="L565">
        <v>4</v>
      </c>
      <c r="M565" t="s">
        <v>58</v>
      </c>
      <c r="N565">
        <v>1</v>
      </c>
    </row>
    <row r="566" spans="1:14" x14ac:dyDescent="0.3">
      <c r="A566" t="s">
        <v>595</v>
      </c>
      <c r="B566" t="str">
        <f>"13-2052"</f>
        <v>13-2052</v>
      </c>
      <c r="C566">
        <v>275.2</v>
      </c>
      <c r="D566">
        <v>287.8</v>
      </c>
      <c r="E566">
        <v>12.6</v>
      </c>
      <c r="F566">
        <v>4.5999999999999996</v>
      </c>
      <c r="G566">
        <v>21.5</v>
      </c>
      <c r="H566" s="2">
        <v>89330</v>
      </c>
      <c r="I566" t="s">
        <v>15</v>
      </c>
      <c r="J566">
        <v>3</v>
      </c>
      <c r="K566" t="s">
        <v>16</v>
      </c>
      <c r="L566">
        <v>4</v>
      </c>
      <c r="M566" t="s">
        <v>20</v>
      </c>
      <c r="N566">
        <v>3</v>
      </c>
    </row>
    <row r="567" spans="1:14" x14ac:dyDescent="0.3">
      <c r="A567" t="s">
        <v>596</v>
      </c>
      <c r="B567" t="str">
        <f>"11-9198"</f>
        <v>11-9198</v>
      </c>
      <c r="C567">
        <v>573</v>
      </c>
      <c r="D567">
        <v>615.29999999999995</v>
      </c>
      <c r="E567">
        <v>42.2</v>
      </c>
      <c r="F567">
        <v>7.4</v>
      </c>
      <c r="G567">
        <v>47.1</v>
      </c>
      <c r="H567" s="2">
        <v>116350</v>
      </c>
      <c r="I567" t="s">
        <v>15</v>
      </c>
      <c r="J567">
        <v>3</v>
      </c>
      <c r="K567" t="s">
        <v>32</v>
      </c>
      <c r="L567">
        <v>2</v>
      </c>
      <c r="M567" t="s">
        <v>16</v>
      </c>
      <c r="N567">
        <v>6</v>
      </c>
    </row>
    <row r="568" spans="1:14" x14ac:dyDescent="0.3">
      <c r="A568" t="s">
        <v>597</v>
      </c>
      <c r="B568" t="str">
        <f>"37-2021"</f>
        <v>37-2021</v>
      </c>
      <c r="C568">
        <v>86.8</v>
      </c>
      <c r="D568">
        <v>95</v>
      </c>
      <c r="E568">
        <v>8.1999999999999993</v>
      </c>
      <c r="F568">
        <v>9.5</v>
      </c>
      <c r="G568">
        <v>12.8</v>
      </c>
      <c r="H568" s="2">
        <v>37820</v>
      </c>
      <c r="I568" t="s">
        <v>25</v>
      </c>
      <c r="J568">
        <v>7</v>
      </c>
      <c r="K568" t="s">
        <v>16</v>
      </c>
      <c r="L568">
        <v>4</v>
      </c>
      <c r="M568" t="s">
        <v>26</v>
      </c>
      <c r="N568">
        <v>4</v>
      </c>
    </row>
    <row r="569" spans="1:14" x14ac:dyDescent="0.3">
      <c r="A569" t="s">
        <v>598</v>
      </c>
      <c r="B569" t="str">
        <f>"37-3012"</f>
        <v>37-3012</v>
      </c>
      <c r="C569">
        <v>27.3</v>
      </c>
      <c r="D569">
        <v>29.6</v>
      </c>
      <c r="E569">
        <v>2.2999999999999998</v>
      </c>
      <c r="F569">
        <v>8.3000000000000007</v>
      </c>
      <c r="G569">
        <v>3.9</v>
      </c>
      <c r="H569" s="2">
        <v>36630</v>
      </c>
      <c r="I569" t="s">
        <v>25</v>
      </c>
      <c r="J569">
        <v>7</v>
      </c>
      <c r="K569" t="s">
        <v>16</v>
      </c>
      <c r="L569">
        <v>4</v>
      </c>
      <c r="M569" t="s">
        <v>26</v>
      </c>
      <c r="N569">
        <v>4</v>
      </c>
    </row>
    <row r="570" spans="1:14" x14ac:dyDescent="0.3">
      <c r="A570" t="s">
        <v>599</v>
      </c>
      <c r="B570" t="str">
        <f>"17-2171"</f>
        <v>17-2171</v>
      </c>
      <c r="C570">
        <v>28.5</v>
      </c>
      <c r="D570">
        <v>30.7</v>
      </c>
      <c r="E570">
        <v>2.2000000000000002</v>
      </c>
      <c r="F570">
        <v>7.6</v>
      </c>
      <c r="G570">
        <v>2.1</v>
      </c>
      <c r="H570" s="2">
        <v>137330</v>
      </c>
      <c r="I570" t="s">
        <v>15</v>
      </c>
      <c r="J570">
        <v>3</v>
      </c>
      <c r="K570" t="s">
        <v>16</v>
      </c>
      <c r="L570">
        <v>4</v>
      </c>
      <c r="M570" t="s">
        <v>16</v>
      </c>
      <c r="N570">
        <v>6</v>
      </c>
    </row>
    <row r="571" spans="1:14" x14ac:dyDescent="0.3">
      <c r="A571" t="s">
        <v>600</v>
      </c>
      <c r="B571" t="str">
        <f>"51-8093"</f>
        <v>51-8093</v>
      </c>
      <c r="C571">
        <v>40.6</v>
      </c>
      <c r="D571">
        <v>42.8</v>
      </c>
      <c r="E571">
        <v>2.2999999999999998</v>
      </c>
      <c r="F571">
        <v>5.6</v>
      </c>
      <c r="G571">
        <v>4.4000000000000004</v>
      </c>
      <c r="H571" s="2">
        <v>78840</v>
      </c>
      <c r="I571" t="s">
        <v>25</v>
      </c>
      <c r="J571">
        <v>7</v>
      </c>
      <c r="K571" t="s">
        <v>16</v>
      </c>
      <c r="L571">
        <v>4</v>
      </c>
      <c r="M571" t="s">
        <v>26</v>
      </c>
      <c r="N571">
        <v>4</v>
      </c>
    </row>
    <row r="572" spans="1:14" x14ac:dyDescent="0.3">
      <c r="A572" t="s">
        <v>601</v>
      </c>
      <c r="B572" t="str">
        <f>"29-1051"</f>
        <v>29-1051</v>
      </c>
      <c r="C572">
        <v>322.2</v>
      </c>
      <c r="D572">
        <v>315.3</v>
      </c>
      <c r="E572">
        <v>-7</v>
      </c>
      <c r="F572">
        <v>-2.2000000000000002</v>
      </c>
      <c r="G572">
        <v>11.3</v>
      </c>
      <c r="H572" s="2">
        <v>128710</v>
      </c>
      <c r="I572" t="s">
        <v>28</v>
      </c>
      <c r="J572">
        <v>1</v>
      </c>
      <c r="K572" t="s">
        <v>16</v>
      </c>
      <c r="L572">
        <v>4</v>
      </c>
      <c r="M572" t="s">
        <v>16</v>
      </c>
      <c r="N572">
        <v>6</v>
      </c>
    </row>
    <row r="573" spans="1:14" x14ac:dyDescent="0.3">
      <c r="A573" t="s">
        <v>602</v>
      </c>
      <c r="B573" t="str">
        <f>"31-9095"</f>
        <v>31-9095</v>
      </c>
      <c r="C573">
        <v>38.9</v>
      </c>
      <c r="D573">
        <v>33.200000000000003</v>
      </c>
      <c r="E573">
        <v>-5.7</v>
      </c>
      <c r="F573">
        <v>-14.7</v>
      </c>
      <c r="G573">
        <v>4.0999999999999996</v>
      </c>
      <c r="H573" s="2">
        <v>29280</v>
      </c>
      <c r="I573" t="s">
        <v>25</v>
      </c>
      <c r="J573">
        <v>7</v>
      </c>
      <c r="K573" t="s">
        <v>16</v>
      </c>
      <c r="L573">
        <v>4</v>
      </c>
      <c r="M573" t="s">
        <v>30</v>
      </c>
      <c r="N573">
        <v>5</v>
      </c>
    </row>
    <row r="574" spans="1:14" x14ac:dyDescent="0.3">
      <c r="A574" t="s">
        <v>603</v>
      </c>
      <c r="B574" t="str">
        <f>"29-2052"</f>
        <v>29-2052</v>
      </c>
      <c r="C574">
        <v>419.3</v>
      </c>
      <c r="D574">
        <v>435.9</v>
      </c>
      <c r="E574">
        <v>16.600000000000001</v>
      </c>
      <c r="F574">
        <v>4</v>
      </c>
      <c r="G574">
        <v>31.7</v>
      </c>
      <c r="H574" s="2">
        <v>35100</v>
      </c>
      <c r="I574" t="s">
        <v>25</v>
      </c>
      <c r="J574">
        <v>7</v>
      </c>
      <c r="K574" t="s">
        <v>16</v>
      </c>
      <c r="L574">
        <v>4</v>
      </c>
      <c r="M574" t="s">
        <v>26</v>
      </c>
      <c r="N574">
        <v>4</v>
      </c>
    </row>
    <row r="575" spans="1:14" x14ac:dyDescent="0.3">
      <c r="A575" t="s">
        <v>604</v>
      </c>
      <c r="B575" t="str">
        <f>"25-1126"</f>
        <v>25-1126</v>
      </c>
      <c r="C575">
        <v>29</v>
      </c>
      <c r="D575">
        <v>32.200000000000003</v>
      </c>
      <c r="E575">
        <v>3.2</v>
      </c>
      <c r="F575">
        <v>11</v>
      </c>
      <c r="G575">
        <v>3.1</v>
      </c>
      <c r="H575" s="2">
        <v>76160</v>
      </c>
      <c r="I575" t="s">
        <v>28</v>
      </c>
      <c r="J575">
        <v>1</v>
      </c>
      <c r="K575" t="s">
        <v>16</v>
      </c>
      <c r="L575">
        <v>4</v>
      </c>
      <c r="M575" t="s">
        <v>16</v>
      </c>
      <c r="N575">
        <v>6</v>
      </c>
    </row>
    <row r="576" spans="1:14" x14ac:dyDescent="0.3">
      <c r="A576" t="s">
        <v>605</v>
      </c>
      <c r="B576" t="str">
        <f>"31-9097"</f>
        <v>31-9097</v>
      </c>
      <c r="C576">
        <v>129.6</v>
      </c>
      <c r="D576">
        <v>158.4</v>
      </c>
      <c r="E576">
        <v>28.8</v>
      </c>
      <c r="F576">
        <v>22.2</v>
      </c>
      <c r="G576">
        <v>19.5</v>
      </c>
      <c r="H576" s="2">
        <v>36320</v>
      </c>
      <c r="I576" t="s">
        <v>50</v>
      </c>
      <c r="J576">
        <v>5</v>
      </c>
      <c r="K576" t="s">
        <v>16</v>
      </c>
      <c r="L576">
        <v>4</v>
      </c>
      <c r="M576" t="s">
        <v>16</v>
      </c>
      <c r="N576">
        <v>6</v>
      </c>
    </row>
    <row r="577" spans="1:14" x14ac:dyDescent="0.3">
      <c r="A577" t="s">
        <v>606</v>
      </c>
      <c r="B577" t="str">
        <f>"27-4021"</f>
        <v>27-4021</v>
      </c>
      <c r="C577">
        <v>110.5</v>
      </c>
      <c r="D577">
        <v>129.4</v>
      </c>
      <c r="E577">
        <v>18.899999999999999</v>
      </c>
      <c r="F577">
        <v>17.100000000000001</v>
      </c>
      <c r="G577">
        <v>12.7</v>
      </c>
      <c r="H577" s="2">
        <v>41280</v>
      </c>
      <c r="I577" t="s">
        <v>25</v>
      </c>
      <c r="J577">
        <v>7</v>
      </c>
      <c r="K577" t="s">
        <v>16</v>
      </c>
      <c r="L577">
        <v>4</v>
      </c>
      <c r="M577" t="s">
        <v>26</v>
      </c>
      <c r="N577">
        <v>4</v>
      </c>
    </row>
    <row r="578" spans="1:14" x14ac:dyDescent="0.3">
      <c r="A578" t="s">
        <v>607</v>
      </c>
      <c r="B578" t="str">
        <f>"51-9151"</f>
        <v>51-9151</v>
      </c>
      <c r="C578">
        <v>9.3000000000000007</v>
      </c>
      <c r="D578">
        <v>8.5</v>
      </c>
      <c r="E578">
        <v>-0.8</v>
      </c>
      <c r="F578">
        <v>-8.6999999999999993</v>
      </c>
      <c r="G578">
        <v>1.3</v>
      </c>
      <c r="H578" s="2">
        <v>34720</v>
      </c>
      <c r="I578" t="s">
        <v>25</v>
      </c>
      <c r="J578">
        <v>7</v>
      </c>
      <c r="K578" t="s">
        <v>16</v>
      </c>
      <c r="L578">
        <v>4</v>
      </c>
      <c r="M578" t="s">
        <v>30</v>
      </c>
      <c r="N578">
        <v>5</v>
      </c>
    </row>
    <row r="579" spans="1:14" x14ac:dyDescent="0.3">
      <c r="A579" t="s">
        <v>608</v>
      </c>
      <c r="B579" t="str">
        <f>"19-2099"</f>
        <v>19-2099</v>
      </c>
      <c r="C579">
        <v>23.9</v>
      </c>
      <c r="D579">
        <v>24.2</v>
      </c>
      <c r="E579">
        <v>0.2</v>
      </c>
      <c r="F579">
        <v>1</v>
      </c>
      <c r="G579">
        <v>1.8</v>
      </c>
      <c r="H579" s="2">
        <v>107210</v>
      </c>
      <c r="I579" t="s">
        <v>15</v>
      </c>
      <c r="J579">
        <v>3</v>
      </c>
      <c r="K579" t="s">
        <v>16</v>
      </c>
      <c r="L579">
        <v>4</v>
      </c>
      <c r="M579" t="s">
        <v>16</v>
      </c>
      <c r="N579">
        <v>6</v>
      </c>
    </row>
    <row r="580" spans="1:14" x14ac:dyDescent="0.3">
      <c r="A580" t="s">
        <v>609</v>
      </c>
      <c r="B580" t="str">
        <f>"31-2022"</f>
        <v>31-2022</v>
      </c>
      <c r="C580">
        <v>46.7</v>
      </c>
      <c r="D580">
        <v>58.5</v>
      </c>
      <c r="E580">
        <v>11.8</v>
      </c>
      <c r="F580">
        <v>25.3</v>
      </c>
      <c r="G580">
        <v>7.4</v>
      </c>
      <c r="H580" s="2">
        <v>28450</v>
      </c>
      <c r="I580" t="s">
        <v>25</v>
      </c>
      <c r="J580">
        <v>7</v>
      </c>
      <c r="K580" t="s">
        <v>16</v>
      </c>
      <c r="L580">
        <v>4</v>
      </c>
      <c r="M580" t="s">
        <v>30</v>
      </c>
      <c r="N580">
        <v>5</v>
      </c>
    </row>
    <row r="581" spans="1:14" x14ac:dyDescent="0.3">
      <c r="A581" t="s">
        <v>610</v>
      </c>
      <c r="B581" t="str">
        <f>"31-2021"</f>
        <v>31-2021</v>
      </c>
      <c r="C581">
        <v>93.8</v>
      </c>
      <c r="D581">
        <v>126.9</v>
      </c>
      <c r="E581">
        <v>33.200000000000003</v>
      </c>
      <c r="F581">
        <v>35.4</v>
      </c>
      <c r="G581">
        <v>16.399999999999999</v>
      </c>
      <c r="H581" s="2">
        <v>59770</v>
      </c>
      <c r="I581" t="s">
        <v>37</v>
      </c>
      <c r="J581">
        <v>4</v>
      </c>
      <c r="K581" t="s">
        <v>16</v>
      </c>
      <c r="L581">
        <v>4</v>
      </c>
      <c r="M581" t="s">
        <v>16</v>
      </c>
      <c r="N581">
        <v>6</v>
      </c>
    </row>
    <row r="582" spans="1:14" x14ac:dyDescent="0.3">
      <c r="A582" t="s">
        <v>611</v>
      </c>
      <c r="B582" t="str">
        <f>"29-1123"</f>
        <v>29-1123</v>
      </c>
      <c r="C582">
        <v>239.2</v>
      </c>
      <c r="D582">
        <v>288.3</v>
      </c>
      <c r="E582">
        <v>49.1</v>
      </c>
      <c r="F582">
        <v>20.5</v>
      </c>
      <c r="G582">
        <v>15.6</v>
      </c>
      <c r="H582" s="2">
        <v>91010</v>
      </c>
      <c r="I582" t="s">
        <v>28</v>
      </c>
      <c r="J582">
        <v>1</v>
      </c>
      <c r="K582" t="s">
        <v>16</v>
      </c>
      <c r="L582">
        <v>4</v>
      </c>
      <c r="M582" t="s">
        <v>16</v>
      </c>
      <c r="N582">
        <v>6</v>
      </c>
    </row>
    <row r="583" spans="1:14" x14ac:dyDescent="0.3">
      <c r="A583" t="s">
        <v>612</v>
      </c>
      <c r="B583" t="str">
        <f>"29-1071"</f>
        <v>29-1071</v>
      </c>
      <c r="C583">
        <v>129.4</v>
      </c>
      <c r="D583">
        <v>169.5</v>
      </c>
      <c r="E583">
        <v>40.1</v>
      </c>
      <c r="F583">
        <v>31</v>
      </c>
      <c r="G583">
        <v>12.2</v>
      </c>
      <c r="H583" s="2">
        <v>115390</v>
      </c>
      <c r="I583" t="s">
        <v>23</v>
      </c>
      <c r="J583">
        <v>2</v>
      </c>
      <c r="K583" t="s">
        <v>16</v>
      </c>
      <c r="L583">
        <v>4</v>
      </c>
      <c r="M583" t="s">
        <v>16</v>
      </c>
      <c r="N583">
        <v>6</v>
      </c>
    </row>
    <row r="584" spans="1:14" x14ac:dyDescent="0.3">
      <c r="A584" t="s">
        <v>613</v>
      </c>
      <c r="B584" t="str">
        <f>"29-1228"</f>
        <v>29-1228</v>
      </c>
      <c r="C584">
        <v>412.1</v>
      </c>
      <c r="D584">
        <v>430.8</v>
      </c>
      <c r="E584">
        <v>18.7</v>
      </c>
      <c r="F584">
        <v>4.5</v>
      </c>
      <c r="G584">
        <v>13.4</v>
      </c>
      <c r="H584" s="2">
        <v>208000</v>
      </c>
      <c r="I584" t="s">
        <v>28</v>
      </c>
      <c r="J584">
        <v>1</v>
      </c>
      <c r="K584" t="s">
        <v>16</v>
      </c>
      <c r="L584">
        <v>4</v>
      </c>
      <c r="M584" t="s">
        <v>58</v>
      </c>
      <c r="N584">
        <v>1</v>
      </c>
    </row>
    <row r="585" spans="1:14" x14ac:dyDescent="0.3">
      <c r="A585" t="s">
        <v>614</v>
      </c>
      <c r="B585" t="str">
        <f>"19-2012"</f>
        <v>19-2012</v>
      </c>
      <c r="C585">
        <v>17.399999999999999</v>
      </c>
      <c r="D585">
        <v>18.899999999999999</v>
      </c>
      <c r="E585">
        <v>1.5</v>
      </c>
      <c r="F585">
        <v>8.8000000000000007</v>
      </c>
      <c r="G585">
        <v>1.3</v>
      </c>
      <c r="H585" s="2">
        <v>129850</v>
      </c>
      <c r="I585" t="s">
        <v>28</v>
      </c>
      <c r="J585">
        <v>1</v>
      </c>
      <c r="K585" t="s">
        <v>16</v>
      </c>
      <c r="L585">
        <v>4</v>
      </c>
      <c r="M585" t="s">
        <v>16</v>
      </c>
      <c r="N585">
        <v>6</v>
      </c>
    </row>
    <row r="586" spans="1:14" x14ac:dyDescent="0.3">
      <c r="A586" t="s">
        <v>615</v>
      </c>
      <c r="B586" t="str">
        <f>"25-1054"</f>
        <v>25-1054</v>
      </c>
      <c r="C586">
        <v>16.5</v>
      </c>
      <c r="D586">
        <v>17.8</v>
      </c>
      <c r="E586">
        <v>1.3</v>
      </c>
      <c r="F586">
        <v>8.1</v>
      </c>
      <c r="G586">
        <v>1.7</v>
      </c>
      <c r="H586" s="2">
        <v>90400</v>
      </c>
      <c r="I586" t="s">
        <v>28</v>
      </c>
      <c r="J586">
        <v>1</v>
      </c>
      <c r="K586" t="s">
        <v>16</v>
      </c>
      <c r="L586">
        <v>4</v>
      </c>
      <c r="M586" t="s">
        <v>16</v>
      </c>
      <c r="N586">
        <v>6</v>
      </c>
    </row>
    <row r="587" spans="1:14" x14ac:dyDescent="0.3">
      <c r="A587" t="s">
        <v>616</v>
      </c>
      <c r="B587" t="str">
        <f>"47-2072"</f>
        <v>47-2072</v>
      </c>
      <c r="C587">
        <v>3.9</v>
      </c>
      <c r="D587">
        <v>4.0999999999999996</v>
      </c>
      <c r="E587">
        <v>0.2</v>
      </c>
      <c r="F587">
        <v>4.8</v>
      </c>
      <c r="G587">
        <v>0.4</v>
      </c>
      <c r="H587" s="2">
        <v>63370</v>
      </c>
      <c r="I587" t="s">
        <v>25</v>
      </c>
      <c r="J587">
        <v>7</v>
      </c>
      <c r="K587" t="s">
        <v>16</v>
      </c>
      <c r="L587">
        <v>4</v>
      </c>
      <c r="M587" t="s">
        <v>26</v>
      </c>
      <c r="N587">
        <v>4</v>
      </c>
    </row>
    <row r="588" spans="1:14" x14ac:dyDescent="0.3">
      <c r="A588" t="s">
        <v>617</v>
      </c>
      <c r="B588" t="str">
        <f>"47-2151"</f>
        <v>47-2151</v>
      </c>
      <c r="C588">
        <v>35.1</v>
      </c>
      <c r="D588">
        <v>34.5</v>
      </c>
      <c r="E588">
        <v>-0.5</v>
      </c>
      <c r="F588">
        <v>-1.5</v>
      </c>
      <c r="G588">
        <v>3.5</v>
      </c>
      <c r="H588" s="2">
        <v>40480</v>
      </c>
      <c r="I588" t="s">
        <v>43</v>
      </c>
      <c r="J588">
        <v>8</v>
      </c>
      <c r="K588" t="s">
        <v>16</v>
      </c>
      <c r="L588">
        <v>4</v>
      </c>
      <c r="M588" t="s">
        <v>30</v>
      </c>
      <c r="N588">
        <v>5</v>
      </c>
    </row>
    <row r="589" spans="1:14" x14ac:dyDescent="0.3">
      <c r="A589" t="s">
        <v>618</v>
      </c>
      <c r="B589" t="str">
        <f>"51-8099"</f>
        <v>51-8099</v>
      </c>
      <c r="C589">
        <v>14.9</v>
      </c>
      <c r="D589">
        <v>15.4</v>
      </c>
      <c r="E589">
        <v>0.5</v>
      </c>
      <c r="F589">
        <v>3.1</v>
      </c>
      <c r="G589">
        <v>1.6</v>
      </c>
      <c r="H589" s="2">
        <v>58960</v>
      </c>
      <c r="I589" t="s">
        <v>25</v>
      </c>
      <c r="J589">
        <v>7</v>
      </c>
      <c r="K589" t="s">
        <v>16</v>
      </c>
      <c r="L589">
        <v>4</v>
      </c>
      <c r="M589" t="s">
        <v>26</v>
      </c>
      <c r="N589">
        <v>4</v>
      </c>
    </row>
    <row r="590" spans="1:14" x14ac:dyDescent="0.3">
      <c r="A590" t="s">
        <v>619</v>
      </c>
      <c r="B590" t="str">
        <f>"47-2161"</f>
        <v>47-2161</v>
      </c>
      <c r="C590">
        <v>26.1</v>
      </c>
      <c r="D590">
        <v>27.8</v>
      </c>
      <c r="E590">
        <v>1.8</v>
      </c>
      <c r="F590">
        <v>6.8</v>
      </c>
      <c r="G590">
        <v>2.4</v>
      </c>
      <c r="H590" s="2">
        <v>47020</v>
      </c>
      <c r="I590" t="s">
        <v>43</v>
      </c>
      <c r="J590">
        <v>8</v>
      </c>
      <c r="K590" t="s">
        <v>16</v>
      </c>
      <c r="L590">
        <v>4</v>
      </c>
      <c r="M590" t="s">
        <v>20</v>
      </c>
      <c r="N590">
        <v>3</v>
      </c>
    </row>
    <row r="591" spans="1:14" x14ac:dyDescent="0.3">
      <c r="A591" t="s">
        <v>620</v>
      </c>
      <c r="B591" t="str">
        <f>"51-4193"</f>
        <v>51-4193</v>
      </c>
      <c r="C591">
        <v>39.299999999999997</v>
      </c>
      <c r="D591">
        <v>38.200000000000003</v>
      </c>
      <c r="E591">
        <v>-1.1000000000000001</v>
      </c>
      <c r="F591">
        <v>-2.7</v>
      </c>
      <c r="G591">
        <v>3.8</v>
      </c>
      <c r="H591" s="2">
        <v>34850</v>
      </c>
      <c r="I591" t="s">
        <v>25</v>
      </c>
      <c r="J591">
        <v>7</v>
      </c>
      <c r="K591" t="s">
        <v>16</v>
      </c>
      <c r="L591">
        <v>4</v>
      </c>
      <c r="M591" t="s">
        <v>26</v>
      </c>
      <c r="N591">
        <v>4</v>
      </c>
    </row>
    <row r="592" spans="1:14" x14ac:dyDescent="0.3">
      <c r="A592" t="s">
        <v>621</v>
      </c>
      <c r="B592" t="str">
        <f>"47-2152"</f>
        <v>47-2152</v>
      </c>
      <c r="C592">
        <v>469.9</v>
      </c>
      <c r="D592">
        <v>493.2</v>
      </c>
      <c r="E592">
        <v>23.4</v>
      </c>
      <c r="F592">
        <v>5</v>
      </c>
      <c r="G592">
        <v>51</v>
      </c>
      <c r="H592" s="2">
        <v>56330</v>
      </c>
      <c r="I592" t="s">
        <v>25</v>
      </c>
      <c r="J592">
        <v>7</v>
      </c>
      <c r="K592" t="s">
        <v>16</v>
      </c>
      <c r="L592">
        <v>4</v>
      </c>
      <c r="M592" t="s">
        <v>103</v>
      </c>
      <c r="N592">
        <v>2</v>
      </c>
    </row>
    <row r="593" spans="1:14" x14ac:dyDescent="0.3">
      <c r="A593" t="s">
        <v>622</v>
      </c>
      <c r="B593" t="str">
        <f>"29-1081"</f>
        <v>29-1081</v>
      </c>
      <c r="C593">
        <v>12.1</v>
      </c>
      <c r="D593">
        <v>12.3</v>
      </c>
      <c r="E593">
        <v>0.2</v>
      </c>
      <c r="F593">
        <v>1.8</v>
      </c>
      <c r="G593">
        <v>0.9</v>
      </c>
      <c r="H593" s="2">
        <v>134300</v>
      </c>
      <c r="I593" t="s">
        <v>28</v>
      </c>
      <c r="J593">
        <v>1</v>
      </c>
      <c r="K593" t="s">
        <v>16</v>
      </c>
      <c r="L593">
        <v>4</v>
      </c>
      <c r="M593" t="s">
        <v>58</v>
      </c>
      <c r="N593">
        <v>1</v>
      </c>
    </row>
    <row r="594" spans="1:14" x14ac:dyDescent="0.3">
      <c r="A594" t="s">
        <v>623</v>
      </c>
      <c r="B594" t="str">
        <f>"33-3051"</f>
        <v>33-3051</v>
      </c>
      <c r="C594">
        <v>671.2</v>
      </c>
      <c r="D594">
        <v>719.8</v>
      </c>
      <c r="E594">
        <v>48.6</v>
      </c>
      <c r="F594">
        <v>7.2</v>
      </c>
      <c r="G594">
        <v>57.6</v>
      </c>
      <c r="H594" s="2">
        <v>65540</v>
      </c>
      <c r="I594" t="s">
        <v>25</v>
      </c>
      <c r="J594">
        <v>7</v>
      </c>
      <c r="K594" t="s">
        <v>16</v>
      </c>
      <c r="L594">
        <v>4</v>
      </c>
      <c r="M594" t="s">
        <v>26</v>
      </c>
      <c r="N594">
        <v>4</v>
      </c>
    </row>
    <row r="595" spans="1:14" x14ac:dyDescent="0.3">
      <c r="A595" t="s">
        <v>624</v>
      </c>
      <c r="B595" t="str">
        <f>"25-1065"</f>
        <v>25-1065</v>
      </c>
      <c r="C595">
        <v>18.399999999999999</v>
      </c>
      <c r="D595">
        <v>20</v>
      </c>
      <c r="E595">
        <v>1.6</v>
      </c>
      <c r="F595">
        <v>8.6999999999999993</v>
      </c>
      <c r="G595">
        <v>1.9</v>
      </c>
      <c r="H595" s="2">
        <v>85760</v>
      </c>
      <c r="I595" t="s">
        <v>28</v>
      </c>
      <c r="J595">
        <v>1</v>
      </c>
      <c r="K595" t="s">
        <v>16</v>
      </c>
      <c r="L595">
        <v>4</v>
      </c>
      <c r="M595" t="s">
        <v>16</v>
      </c>
      <c r="N595">
        <v>6</v>
      </c>
    </row>
    <row r="596" spans="1:14" x14ac:dyDescent="0.3">
      <c r="A596" t="s">
        <v>625</v>
      </c>
      <c r="B596" t="str">
        <f>"19-3094"</f>
        <v>19-3094</v>
      </c>
      <c r="C596">
        <v>7</v>
      </c>
      <c r="D596">
        <v>7.6</v>
      </c>
      <c r="E596">
        <v>0.6</v>
      </c>
      <c r="F596">
        <v>8.6</v>
      </c>
      <c r="G596">
        <v>0.7</v>
      </c>
      <c r="H596" s="2">
        <v>125350</v>
      </c>
      <c r="I596" t="s">
        <v>23</v>
      </c>
      <c r="J596">
        <v>2</v>
      </c>
      <c r="K596" t="s">
        <v>16</v>
      </c>
      <c r="L596">
        <v>4</v>
      </c>
      <c r="M596" t="s">
        <v>16</v>
      </c>
      <c r="N596">
        <v>6</v>
      </c>
    </row>
    <row r="597" spans="1:14" x14ac:dyDescent="0.3">
      <c r="A597" t="s">
        <v>626</v>
      </c>
      <c r="B597" t="str">
        <f>"43-5051"</f>
        <v>43-5051</v>
      </c>
      <c r="C597">
        <v>82.8</v>
      </c>
      <c r="D597">
        <v>76.400000000000006</v>
      </c>
      <c r="E597">
        <v>-6.4</v>
      </c>
      <c r="F597">
        <v>-7.8</v>
      </c>
      <c r="G597">
        <v>5.8</v>
      </c>
      <c r="H597" s="2">
        <v>50150</v>
      </c>
      <c r="I597" t="s">
        <v>25</v>
      </c>
      <c r="J597">
        <v>7</v>
      </c>
      <c r="K597" t="s">
        <v>16</v>
      </c>
      <c r="L597">
        <v>4</v>
      </c>
      <c r="M597" t="s">
        <v>30</v>
      </c>
      <c r="N597">
        <v>5</v>
      </c>
    </row>
    <row r="598" spans="1:14" x14ac:dyDescent="0.3">
      <c r="A598" t="s">
        <v>627</v>
      </c>
      <c r="B598" t="str">
        <f>"43-5052"</f>
        <v>43-5052</v>
      </c>
      <c r="C598">
        <v>317.7</v>
      </c>
      <c r="D598">
        <v>293.10000000000002</v>
      </c>
      <c r="E598">
        <v>-24.7</v>
      </c>
      <c r="F598">
        <v>-7.8</v>
      </c>
      <c r="G598">
        <v>19.100000000000001</v>
      </c>
      <c r="H598" s="2">
        <v>51080</v>
      </c>
      <c r="I598" t="s">
        <v>25</v>
      </c>
      <c r="J598">
        <v>7</v>
      </c>
      <c r="K598" t="s">
        <v>16</v>
      </c>
      <c r="L598">
        <v>4</v>
      </c>
      <c r="M598" t="s">
        <v>30</v>
      </c>
      <c r="N598">
        <v>5</v>
      </c>
    </row>
    <row r="599" spans="1:14" x14ac:dyDescent="0.3">
      <c r="A599" t="s">
        <v>628</v>
      </c>
      <c r="B599" t="str">
        <f>"43-5053"</f>
        <v>43-5053</v>
      </c>
      <c r="C599">
        <v>100.4</v>
      </c>
      <c r="D599">
        <v>88.2</v>
      </c>
      <c r="E599">
        <v>-12.2</v>
      </c>
      <c r="F599">
        <v>-12.2</v>
      </c>
      <c r="G599">
        <v>7</v>
      </c>
      <c r="H599" s="2">
        <v>53140</v>
      </c>
      <c r="I599" t="s">
        <v>25</v>
      </c>
      <c r="J599">
        <v>7</v>
      </c>
      <c r="K599" t="s">
        <v>16</v>
      </c>
      <c r="L599">
        <v>4</v>
      </c>
      <c r="M599" t="s">
        <v>30</v>
      </c>
      <c r="N599">
        <v>5</v>
      </c>
    </row>
    <row r="600" spans="1:14" x14ac:dyDescent="0.3">
      <c r="A600" t="s">
        <v>629</v>
      </c>
      <c r="B600" t="str">
        <f>"11-9131"</f>
        <v>11-9131</v>
      </c>
      <c r="C600">
        <v>13.2</v>
      </c>
      <c r="D600">
        <v>12.2</v>
      </c>
      <c r="E600">
        <v>-1</v>
      </c>
      <c r="F600">
        <v>-7.7</v>
      </c>
      <c r="G600">
        <v>0.8</v>
      </c>
      <c r="H600" s="2">
        <v>78060</v>
      </c>
      <c r="I600" t="s">
        <v>25</v>
      </c>
      <c r="J600">
        <v>7</v>
      </c>
      <c r="K600" t="s">
        <v>32</v>
      </c>
      <c r="L600">
        <v>2</v>
      </c>
      <c r="M600" t="s">
        <v>26</v>
      </c>
      <c r="N600">
        <v>4</v>
      </c>
    </row>
    <row r="601" spans="1:14" x14ac:dyDescent="0.3">
      <c r="A601" t="s">
        <v>630</v>
      </c>
      <c r="B601" t="str">
        <f>"25-1199"</f>
        <v>25-1199</v>
      </c>
      <c r="C601">
        <v>230.3</v>
      </c>
      <c r="D601">
        <v>243.9</v>
      </c>
      <c r="E601">
        <v>13.6</v>
      </c>
      <c r="F601">
        <v>5.9</v>
      </c>
      <c r="G601">
        <v>23</v>
      </c>
      <c r="H601" s="2">
        <v>71950</v>
      </c>
      <c r="I601" t="s">
        <v>28</v>
      </c>
      <c r="J601">
        <v>1</v>
      </c>
      <c r="K601" t="s">
        <v>16</v>
      </c>
      <c r="L601">
        <v>4</v>
      </c>
      <c r="M601" t="s">
        <v>16</v>
      </c>
      <c r="N601">
        <v>6</v>
      </c>
    </row>
    <row r="602" spans="1:14" x14ac:dyDescent="0.3">
      <c r="A602" t="s">
        <v>631</v>
      </c>
      <c r="B602" t="str">
        <f>"51-4052"</f>
        <v>51-4052</v>
      </c>
      <c r="C602">
        <v>7.1</v>
      </c>
      <c r="D602">
        <v>6.7</v>
      </c>
      <c r="E602">
        <v>-0.4</v>
      </c>
      <c r="F602">
        <v>-5.0999999999999996</v>
      </c>
      <c r="G602">
        <v>0.6</v>
      </c>
      <c r="H602" s="2">
        <v>40170</v>
      </c>
      <c r="I602" t="s">
        <v>25</v>
      </c>
      <c r="J602">
        <v>7</v>
      </c>
      <c r="K602" t="s">
        <v>16</v>
      </c>
      <c r="L602">
        <v>4</v>
      </c>
      <c r="M602" t="s">
        <v>26</v>
      </c>
      <c r="N602">
        <v>4</v>
      </c>
    </row>
    <row r="603" spans="1:14" x14ac:dyDescent="0.3">
      <c r="A603" t="s">
        <v>632</v>
      </c>
      <c r="B603" t="str">
        <f>"51-8012"</f>
        <v>51-8012</v>
      </c>
      <c r="C603">
        <v>10</v>
      </c>
      <c r="D603">
        <v>9.3000000000000007</v>
      </c>
      <c r="E603">
        <v>-0.7</v>
      </c>
      <c r="F603">
        <v>-7.3</v>
      </c>
      <c r="G603">
        <v>0.8</v>
      </c>
      <c r="H603" s="2">
        <v>95100</v>
      </c>
      <c r="I603" t="s">
        <v>25</v>
      </c>
      <c r="J603">
        <v>7</v>
      </c>
      <c r="K603" t="s">
        <v>16</v>
      </c>
      <c r="L603">
        <v>4</v>
      </c>
      <c r="M603" t="s">
        <v>20</v>
      </c>
      <c r="N603">
        <v>3</v>
      </c>
    </row>
    <row r="604" spans="1:14" x14ac:dyDescent="0.3">
      <c r="A604" t="s">
        <v>633</v>
      </c>
      <c r="B604" t="str">
        <f>"51-8013"</f>
        <v>51-8013</v>
      </c>
      <c r="C604">
        <v>33.6</v>
      </c>
      <c r="D604">
        <v>29</v>
      </c>
      <c r="E604">
        <v>-4.5999999999999996</v>
      </c>
      <c r="F604">
        <v>-13.6</v>
      </c>
      <c r="G604">
        <v>2.5</v>
      </c>
      <c r="H604" s="2">
        <v>84650</v>
      </c>
      <c r="I604" t="s">
        <v>25</v>
      </c>
      <c r="J604">
        <v>7</v>
      </c>
      <c r="K604" t="s">
        <v>16</v>
      </c>
      <c r="L604">
        <v>4</v>
      </c>
      <c r="M604" t="s">
        <v>20</v>
      </c>
      <c r="N604">
        <v>3</v>
      </c>
    </row>
    <row r="605" spans="1:14" x14ac:dyDescent="0.3">
      <c r="A605" t="s">
        <v>634</v>
      </c>
      <c r="B605" t="str">
        <f>"49-9069"</f>
        <v>49-9069</v>
      </c>
      <c r="C605">
        <v>11.4</v>
      </c>
      <c r="D605">
        <v>12</v>
      </c>
      <c r="E605">
        <v>0.6</v>
      </c>
      <c r="F605">
        <v>5.6</v>
      </c>
      <c r="G605">
        <v>1.3</v>
      </c>
      <c r="H605" s="2">
        <v>61420</v>
      </c>
      <c r="I605" t="s">
        <v>25</v>
      </c>
      <c r="J605">
        <v>7</v>
      </c>
      <c r="K605" t="s">
        <v>16</v>
      </c>
      <c r="L605">
        <v>4</v>
      </c>
      <c r="M605" t="s">
        <v>20</v>
      </c>
      <c r="N605">
        <v>3</v>
      </c>
    </row>
    <row r="606" spans="1:14" x14ac:dyDescent="0.3">
      <c r="A606" t="s">
        <v>635</v>
      </c>
      <c r="B606" t="str">
        <f>"51-5111"</f>
        <v>51-5111</v>
      </c>
      <c r="C606">
        <v>28.2</v>
      </c>
      <c r="D606">
        <v>23.3</v>
      </c>
      <c r="E606">
        <v>-4.8</v>
      </c>
      <c r="F606">
        <v>-17.100000000000001</v>
      </c>
      <c r="G606">
        <v>3</v>
      </c>
      <c r="H606" s="2">
        <v>41410</v>
      </c>
      <c r="I606" t="s">
        <v>50</v>
      </c>
      <c r="J606">
        <v>5</v>
      </c>
      <c r="K606" t="s">
        <v>16</v>
      </c>
      <c r="L606">
        <v>4</v>
      </c>
      <c r="M606" t="s">
        <v>16</v>
      </c>
      <c r="N606">
        <v>6</v>
      </c>
    </row>
    <row r="607" spans="1:14" x14ac:dyDescent="0.3">
      <c r="A607" t="s">
        <v>636</v>
      </c>
      <c r="B607" t="str">
        <f>"25-2011"</f>
        <v>25-2011</v>
      </c>
      <c r="C607">
        <v>469.6</v>
      </c>
      <c r="D607">
        <v>556</v>
      </c>
      <c r="E607">
        <v>86.4</v>
      </c>
      <c r="F607">
        <v>18.399999999999999</v>
      </c>
      <c r="G607">
        <v>59.6</v>
      </c>
      <c r="H607" s="2">
        <v>31930</v>
      </c>
      <c r="I607" t="s">
        <v>37</v>
      </c>
      <c r="J607">
        <v>4</v>
      </c>
      <c r="K607" t="s">
        <v>16</v>
      </c>
      <c r="L607">
        <v>4</v>
      </c>
      <c r="M607" t="s">
        <v>16</v>
      </c>
      <c r="N607">
        <v>6</v>
      </c>
    </row>
    <row r="608" spans="1:14" x14ac:dyDescent="0.3">
      <c r="A608" t="s">
        <v>637</v>
      </c>
      <c r="B608" t="str">
        <f>"51-6021"</f>
        <v>51-6021</v>
      </c>
      <c r="C608">
        <v>30.3</v>
      </c>
      <c r="D608">
        <v>27</v>
      </c>
      <c r="E608">
        <v>-3.3</v>
      </c>
      <c r="F608">
        <v>-10.8</v>
      </c>
      <c r="G608">
        <v>2.6</v>
      </c>
      <c r="H608" s="2">
        <v>25580</v>
      </c>
      <c r="I608" t="s">
        <v>43</v>
      </c>
      <c r="J608">
        <v>8</v>
      </c>
      <c r="K608" t="s">
        <v>16</v>
      </c>
      <c r="L608">
        <v>4</v>
      </c>
      <c r="M608" t="s">
        <v>30</v>
      </c>
      <c r="N608">
        <v>5</v>
      </c>
    </row>
    <row r="609" spans="1:14" x14ac:dyDescent="0.3">
      <c r="A609" t="s">
        <v>638</v>
      </c>
      <c r="B609" t="str">
        <f>"51-5113"</f>
        <v>51-5113</v>
      </c>
      <c r="C609">
        <v>41.6</v>
      </c>
      <c r="D609">
        <v>34.4</v>
      </c>
      <c r="E609">
        <v>-7.3</v>
      </c>
      <c r="F609">
        <v>-17.5</v>
      </c>
      <c r="G609">
        <v>3.5</v>
      </c>
      <c r="H609" s="2">
        <v>34260</v>
      </c>
      <c r="I609" t="s">
        <v>25</v>
      </c>
      <c r="J609">
        <v>7</v>
      </c>
      <c r="K609" t="s">
        <v>16</v>
      </c>
      <c r="L609">
        <v>4</v>
      </c>
      <c r="M609" t="s">
        <v>26</v>
      </c>
      <c r="N609">
        <v>4</v>
      </c>
    </row>
    <row r="610" spans="1:14" x14ac:dyDescent="0.3">
      <c r="A610" t="s">
        <v>639</v>
      </c>
      <c r="B610" t="str">
        <f>"51-5112"</f>
        <v>51-5112</v>
      </c>
      <c r="C610">
        <v>160.9</v>
      </c>
      <c r="D610">
        <v>144.9</v>
      </c>
      <c r="E610">
        <v>-15.9</v>
      </c>
      <c r="F610">
        <v>-9.9</v>
      </c>
      <c r="G610">
        <v>14.7</v>
      </c>
      <c r="H610" s="2">
        <v>37880</v>
      </c>
      <c r="I610" t="s">
        <v>25</v>
      </c>
      <c r="J610">
        <v>7</v>
      </c>
      <c r="K610" t="s">
        <v>16</v>
      </c>
      <c r="L610">
        <v>4</v>
      </c>
      <c r="M610" t="s">
        <v>26</v>
      </c>
      <c r="N610">
        <v>4</v>
      </c>
    </row>
    <row r="611" spans="1:14" x14ac:dyDescent="0.3">
      <c r="A611" t="s">
        <v>640</v>
      </c>
      <c r="B611" t="str">
        <f>"33-9021"</f>
        <v>33-9021</v>
      </c>
      <c r="C611">
        <v>33.700000000000003</v>
      </c>
      <c r="D611">
        <v>38.1</v>
      </c>
      <c r="E611">
        <v>4.4000000000000004</v>
      </c>
      <c r="F611">
        <v>13.2</v>
      </c>
      <c r="G611">
        <v>3.5</v>
      </c>
      <c r="H611" s="2">
        <v>53320</v>
      </c>
      <c r="I611" t="s">
        <v>25</v>
      </c>
      <c r="J611">
        <v>7</v>
      </c>
      <c r="K611" t="s">
        <v>32</v>
      </c>
      <c r="L611">
        <v>2</v>
      </c>
      <c r="M611" t="s">
        <v>26</v>
      </c>
      <c r="N611">
        <v>4</v>
      </c>
    </row>
    <row r="612" spans="1:14" x14ac:dyDescent="0.3">
      <c r="A612" t="s">
        <v>641</v>
      </c>
      <c r="B612" t="str">
        <f>"21-1092"</f>
        <v>21-1092</v>
      </c>
      <c r="C612">
        <v>92.7</v>
      </c>
      <c r="D612">
        <v>96.2</v>
      </c>
      <c r="E612">
        <v>3.5</v>
      </c>
      <c r="F612">
        <v>3.8</v>
      </c>
      <c r="G612">
        <v>8.1</v>
      </c>
      <c r="H612" s="2">
        <v>55690</v>
      </c>
      <c r="I612" t="s">
        <v>15</v>
      </c>
      <c r="J612">
        <v>3</v>
      </c>
      <c r="K612" t="s">
        <v>16</v>
      </c>
      <c r="L612">
        <v>4</v>
      </c>
      <c r="M612" t="s">
        <v>30</v>
      </c>
      <c r="N612">
        <v>5</v>
      </c>
    </row>
    <row r="613" spans="1:14" x14ac:dyDescent="0.3">
      <c r="A613" t="s">
        <v>642</v>
      </c>
      <c r="B613" t="str">
        <f>"43-3061"</f>
        <v>43-3061</v>
      </c>
      <c r="C613">
        <v>63</v>
      </c>
      <c r="D613">
        <v>59.8</v>
      </c>
      <c r="E613">
        <v>-3.2</v>
      </c>
      <c r="F613">
        <v>-5.0999999999999996</v>
      </c>
      <c r="G613">
        <v>5.2</v>
      </c>
      <c r="H613" s="2">
        <v>44740</v>
      </c>
      <c r="I613" t="s">
        <v>25</v>
      </c>
      <c r="J613">
        <v>7</v>
      </c>
      <c r="K613" t="s">
        <v>16</v>
      </c>
      <c r="L613">
        <v>4</v>
      </c>
      <c r="M613" t="s">
        <v>26</v>
      </c>
      <c r="N613">
        <v>4</v>
      </c>
    </row>
    <row r="614" spans="1:14" x14ac:dyDescent="0.3">
      <c r="A614" t="s">
        <v>643</v>
      </c>
      <c r="B614" t="str">
        <f>"27-2012"</f>
        <v>27-2012</v>
      </c>
      <c r="C614">
        <v>131</v>
      </c>
      <c r="D614">
        <v>162.5</v>
      </c>
      <c r="E614">
        <v>31.6</v>
      </c>
      <c r="F614">
        <v>24.1</v>
      </c>
      <c r="G614">
        <v>15.6</v>
      </c>
      <c r="H614" s="2">
        <v>76400</v>
      </c>
      <c r="I614" t="s">
        <v>15</v>
      </c>
      <c r="J614">
        <v>3</v>
      </c>
      <c r="K614" t="s">
        <v>32</v>
      </c>
      <c r="L614">
        <v>2</v>
      </c>
      <c r="M614" t="s">
        <v>16</v>
      </c>
      <c r="N614">
        <v>6</v>
      </c>
    </row>
    <row r="615" spans="1:14" x14ac:dyDescent="0.3">
      <c r="A615" t="s">
        <v>644</v>
      </c>
      <c r="B615" t="str">
        <f>"51-9199"</f>
        <v>51-9199</v>
      </c>
      <c r="C615">
        <v>203.6</v>
      </c>
      <c r="D615">
        <v>220.3</v>
      </c>
      <c r="E615">
        <v>16.7</v>
      </c>
      <c r="F615">
        <v>8.1999999999999993</v>
      </c>
      <c r="G615">
        <v>24.6</v>
      </c>
      <c r="H615" s="2">
        <v>31420</v>
      </c>
      <c r="I615" t="s">
        <v>25</v>
      </c>
      <c r="J615">
        <v>7</v>
      </c>
      <c r="K615" t="s">
        <v>16</v>
      </c>
      <c r="L615">
        <v>4</v>
      </c>
      <c r="M615" t="s">
        <v>26</v>
      </c>
      <c r="N615">
        <v>4</v>
      </c>
    </row>
    <row r="616" spans="1:14" x14ac:dyDescent="0.3">
      <c r="A616" t="s">
        <v>645</v>
      </c>
      <c r="B616" t="str">
        <f>"43-5061"</f>
        <v>43-5061</v>
      </c>
      <c r="C616">
        <v>365.7</v>
      </c>
      <c r="D616">
        <v>393.6</v>
      </c>
      <c r="E616">
        <v>27.9</v>
      </c>
      <c r="F616">
        <v>7.6</v>
      </c>
      <c r="G616">
        <v>41</v>
      </c>
      <c r="H616" s="2">
        <v>49640</v>
      </c>
      <c r="I616" t="s">
        <v>25</v>
      </c>
      <c r="J616">
        <v>7</v>
      </c>
      <c r="K616" t="s">
        <v>16</v>
      </c>
      <c r="L616">
        <v>4</v>
      </c>
      <c r="M616" t="s">
        <v>26</v>
      </c>
      <c r="N616">
        <v>4</v>
      </c>
    </row>
    <row r="617" spans="1:14" x14ac:dyDescent="0.3">
      <c r="A617" t="s">
        <v>646</v>
      </c>
      <c r="B617" t="str">
        <f>"13-1198"</f>
        <v>13-1198</v>
      </c>
      <c r="C617" s="1">
        <v>1777.3</v>
      </c>
      <c r="D617" s="1">
        <v>1876.5</v>
      </c>
      <c r="E617">
        <v>99.2</v>
      </c>
      <c r="F617">
        <v>5.6</v>
      </c>
      <c r="G617">
        <v>141.9</v>
      </c>
      <c r="H617" s="2">
        <v>77420</v>
      </c>
      <c r="I617" t="s">
        <v>15</v>
      </c>
      <c r="J617">
        <v>3</v>
      </c>
      <c r="K617" t="s">
        <v>16</v>
      </c>
      <c r="L617">
        <v>4</v>
      </c>
      <c r="M617" t="s">
        <v>16</v>
      </c>
      <c r="N617">
        <v>6</v>
      </c>
    </row>
    <row r="618" spans="1:14" x14ac:dyDescent="0.3">
      <c r="A618" t="s">
        <v>647</v>
      </c>
      <c r="B618" t="str">
        <f>"43-9081"</f>
        <v>43-9081</v>
      </c>
      <c r="C618">
        <v>7.9</v>
      </c>
      <c r="D618">
        <v>8.3000000000000007</v>
      </c>
      <c r="E618">
        <v>0.4</v>
      </c>
      <c r="F618">
        <v>5.3</v>
      </c>
      <c r="G618">
        <v>1.1000000000000001</v>
      </c>
      <c r="H618" s="2">
        <v>41140</v>
      </c>
      <c r="I618" t="s">
        <v>15</v>
      </c>
      <c r="J618">
        <v>3</v>
      </c>
      <c r="K618" t="s">
        <v>16</v>
      </c>
      <c r="L618">
        <v>4</v>
      </c>
      <c r="M618" t="s">
        <v>16</v>
      </c>
      <c r="N618">
        <v>6</v>
      </c>
    </row>
    <row r="619" spans="1:14" x14ac:dyDescent="0.3">
      <c r="A619" t="s">
        <v>648</v>
      </c>
      <c r="B619" t="str">
        <f>"13-2020"</f>
        <v>13-2020</v>
      </c>
      <c r="C619">
        <v>78.7</v>
      </c>
      <c r="D619">
        <v>82.1</v>
      </c>
      <c r="E619">
        <v>3.4</v>
      </c>
      <c r="F619">
        <v>4.4000000000000004</v>
      </c>
      <c r="G619">
        <v>6.3</v>
      </c>
      <c r="H619" s="2">
        <v>58650</v>
      </c>
      <c r="I619" t="s">
        <v>15</v>
      </c>
      <c r="J619">
        <v>3</v>
      </c>
      <c r="K619" t="s">
        <v>16</v>
      </c>
      <c r="L619">
        <v>4</v>
      </c>
      <c r="M619" t="s">
        <v>20</v>
      </c>
      <c r="N619">
        <v>3</v>
      </c>
    </row>
    <row r="620" spans="1:14" x14ac:dyDescent="0.3">
      <c r="A620" t="s">
        <v>649</v>
      </c>
      <c r="B620" t="str">
        <f>"11-9141"</f>
        <v>11-9141</v>
      </c>
      <c r="C620">
        <v>364.1</v>
      </c>
      <c r="D620">
        <v>375.5</v>
      </c>
      <c r="E620">
        <v>11.4</v>
      </c>
      <c r="F620">
        <v>3.1</v>
      </c>
      <c r="G620">
        <v>29.1</v>
      </c>
      <c r="H620" s="2">
        <v>59660</v>
      </c>
      <c r="I620" t="s">
        <v>25</v>
      </c>
      <c r="J620">
        <v>7</v>
      </c>
      <c r="K620" t="s">
        <v>32</v>
      </c>
      <c r="L620">
        <v>2</v>
      </c>
      <c r="M620" t="s">
        <v>16</v>
      </c>
      <c r="N620">
        <v>6</v>
      </c>
    </row>
    <row r="621" spans="1:14" x14ac:dyDescent="0.3">
      <c r="A621" t="s">
        <v>650</v>
      </c>
      <c r="B621" t="str">
        <f>"29-1024"</f>
        <v>29-1024</v>
      </c>
      <c r="C621">
        <v>0.7</v>
      </c>
      <c r="D621">
        <v>0.7</v>
      </c>
      <c r="E621">
        <v>0.1</v>
      </c>
      <c r="F621">
        <v>8.5</v>
      </c>
      <c r="G621">
        <v>0</v>
      </c>
      <c r="H621" s="2">
        <v>208000</v>
      </c>
      <c r="I621" t="s">
        <v>28</v>
      </c>
      <c r="J621">
        <v>1</v>
      </c>
      <c r="K621" t="s">
        <v>16</v>
      </c>
      <c r="L621">
        <v>4</v>
      </c>
      <c r="M621" t="s">
        <v>58</v>
      </c>
      <c r="N621">
        <v>1</v>
      </c>
    </row>
    <row r="622" spans="1:14" x14ac:dyDescent="0.3">
      <c r="A622" t="s">
        <v>651</v>
      </c>
      <c r="B622" t="str">
        <f>"31-1133"</f>
        <v>31-1133</v>
      </c>
      <c r="C622">
        <v>54.1</v>
      </c>
      <c r="D622">
        <v>58.1</v>
      </c>
      <c r="E622">
        <v>4</v>
      </c>
      <c r="F622">
        <v>7.4</v>
      </c>
      <c r="G622">
        <v>7.2</v>
      </c>
      <c r="H622" s="2">
        <v>31570</v>
      </c>
      <c r="I622" t="s">
        <v>25</v>
      </c>
      <c r="J622">
        <v>7</v>
      </c>
      <c r="K622" t="s">
        <v>16</v>
      </c>
      <c r="L622">
        <v>4</v>
      </c>
      <c r="M622" t="s">
        <v>30</v>
      </c>
      <c r="N622">
        <v>5</v>
      </c>
    </row>
    <row r="623" spans="1:14" x14ac:dyDescent="0.3">
      <c r="A623" t="s">
        <v>652</v>
      </c>
      <c r="B623" t="str">
        <f>"29-2053"</f>
        <v>29-2053</v>
      </c>
      <c r="C623">
        <v>91.6</v>
      </c>
      <c r="D623">
        <v>103.3</v>
      </c>
      <c r="E623">
        <v>11.7</v>
      </c>
      <c r="F623">
        <v>12.8</v>
      </c>
      <c r="G623">
        <v>8</v>
      </c>
      <c r="H623" s="2">
        <v>35030</v>
      </c>
      <c r="I623" t="s">
        <v>50</v>
      </c>
      <c r="J623">
        <v>5</v>
      </c>
      <c r="K623" t="s">
        <v>32</v>
      </c>
      <c r="L623">
        <v>2</v>
      </c>
      <c r="M623" t="s">
        <v>30</v>
      </c>
      <c r="N623">
        <v>5</v>
      </c>
    </row>
    <row r="624" spans="1:14" x14ac:dyDescent="0.3">
      <c r="A624" t="s">
        <v>653</v>
      </c>
      <c r="B624" t="str">
        <f>"29-1223"</f>
        <v>29-1223</v>
      </c>
      <c r="C624">
        <v>28.1</v>
      </c>
      <c r="D624">
        <v>31.6</v>
      </c>
      <c r="E624">
        <v>3.5</v>
      </c>
      <c r="F624">
        <v>12.5</v>
      </c>
      <c r="G624">
        <v>1.2</v>
      </c>
      <c r="H624" s="2">
        <v>208000</v>
      </c>
      <c r="I624" t="s">
        <v>28</v>
      </c>
      <c r="J624">
        <v>1</v>
      </c>
      <c r="K624" t="s">
        <v>16</v>
      </c>
      <c r="L624">
        <v>4</v>
      </c>
      <c r="M624" t="s">
        <v>58</v>
      </c>
      <c r="N624">
        <v>1</v>
      </c>
    </row>
    <row r="625" spans="1:14" x14ac:dyDescent="0.3">
      <c r="A625" t="s">
        <v>654</v>
      </c>
      <c r="B625" t="str">
        <f>"19-3039"</f>
        <v>19-3039</v>
      </c>
      <c r="C625">
        <v>55.2</v>
      </c>
      <c r="D625">
        <v>56.3</v>
      </c>
      <c r="E625">
        <v>1.1000000000000001</v>
      </c>
      <c r="F625">
        <v>2</v>
      </c>
      <c r="G625">
        <v>3.7</v>
      </c>
      <c r="H625" s="2">
        <v>105780</v>
      </c>
      <c r="I625" t="s">
        <v>23</v>
      </c>
      <c r="J625">
        <v>2</v>
      </c>
      <c r="K625" t="s">
        <v>16</v>
      </c>
      <c r="L625">
        <v>4</v>
      </c>
      <c r="M625" t="s">
        <v>58</v>
      </c>
      <c r="N625">
        <v>1</v>
      </c>
    </row>
    <row r="626" spans="1:14" x14ac:dyDescent="0.3">
      <c r="A626" t="s">
        <v>655</v>
      </c>
      <c r="B626" t="str">
        <f>"25-1066"</f>
        <v>25-1066</v>
      </c>
      <c r="C626">
        <v>44.1</v>
      </c>
      <c r="D626">
        <v>48.6</v>
      </c>
      <c r="E626">
        <v>4.5</v>
      </c>
      <c r="F626">
        <v>10.3</v>
      </c>
      <c r="G626">
        <v>4.7</v>
      </c>
      <c r="H626" s="2">
        <v>78180</v>
      </c>
      <c r="I626" t="s">
        <v>28</v>
      </c>
      <c r="J626">
        <v>1</v>
      </c>
      <c r="K626" t="s">
        <v>16</v>
      </c>
      <c r="L626">
        <v>4</v>
      </c>
      <c r="M626" t="s">
        <v>16</v>
      </c>
      <c r="N626">
        <v>6</v>
      </c>
    </row>
    <row r="627" spans="1:14" x14ac:dyDescent="0.3">
      <c r="A627" t="s">
        <v>656</v>
      </c>
      <c r="B627" t="str">
        <f>"11-2030"</f>
        <v>11-2030</v>
      </c>
      <c r="C627">
        <v>89</v>
      </c>
      <c r="D627">
        <v>100.3</v>
      </c>
      <c r="E627">
        <v>11.3</v>
      </c>
      <c r="F627">
        <v>12.6</v>
      </c>
      <c r="G627">
        <v>8.9</v>
      </c>
      <c r="H627" s="2">
        <v>118430</v>
      </c>
      <c r="I627" t="s">
        <v>15</v>
      </c>
      <c r="J627">
        <v>3</v>
      </c>
      <c r="K627" t="s">
        <v>29</v>
      </c>
      <c r="L627">
        <v>1</v>
      </c>
      <c r="M627" t="s">
        <v>16</v>
      </c>
      <c r="N627">
        <v>6</v>
      </c>
    </row>
    <row r="628" spans="1:14" x14ac:dyDescent="0.3">
      <c r="A628" t="s">
        <v>657</v>
      </c>
      <c r="B628" t="str">
        <f>"27-3031"</f>
        <v>27-3031</v>
      </c>
      <c r="C628">
        <v>272.3</v>
      </c>
      <c r="D628">
        <v>303.39999999999998</v>
      </c>
      <c r="E628">
        <v>31.2</v>
      </c>
      <c r="F628">
        <v>11.4</v>
      </c>
      <c r="G628">
        <v>29.2</v>
      </c>
      <c r="H628" s="2">
        <v>62810</v>
      </c>
      <c r="I628" t="s">
        <v>15</v>
      </c>
      <c r="J628">
        <v>3</v>
      </c>
      <c r="K628" t="s">
        <v>16</v>
      </c>
      <c r="L628">
        <v>4</v>
      </c>
      <c r="M628" t="s">
        <v>16</v>
      </c>
      <c r="N628">
        <v>6</v>
      </c>
    </row>
    <row r="629" spans="1:14" x14ac:dyDescent="0.3">
      <c r="A629" t="s">
        <v>658</v>
      </c>
      <c r="B629" t="str">
        <f>"43-5031"</f>
        <v>43-5031</v>
      </c>
      <c r="C629">
        <v>95.4</v>
      </c>
      <c r="D629">
        <v>103.2</v>
      </c>
      <c r="E629">
        <v>7.8</v>
      </c>
      <c r="F629">
        <v>8.1999999999999993</v>
      </c>
      <c r="G629">
        <v>9.8000000000000007</v>
      </c>
      <c r="H629" s="2">
        <v>43290</v>
      </c>
      <c r="I629" t="s">
        <v>25</v>
      </c>
      <c r="J629">
        <v>7</v>
      </c>
      <c r="K629" t="s">
        <v>16</v>
      </c>
      <c r="L629">
        <v>4</v>
      </c>
      <c r="M629" t="s">
        <v>26</v>
      </c>
      <c r="N629">
        <v>4</v>
      </c>
    </row>
    <row r="630" spans="1:14" x14ac:dyDescent="0.3">
      <c r="A630" t="s">
        <v>659</v>
      </c>
      <c r="B630" t="str">
        <f>"53-7072"</f>
        <v>53-7072</v>
      </c>
      <c r="C630">
        <v>11.1</v>
      </c>
      <c r="D630">
        <v>12.5</v>
      </c>
      <c r="E630">
        <v>1.4</v>
      </c>
      <c r="F630">
        <v>12.6</v>
      </c>
      <c r="G630">
        <v>1.4</v>
      </c>
      <c r="H630" s="2">
        <v>48090</v>
      </c>
      <c r="I630" t="s">
        <v>25</v>
      </c>
      <c r="J630">
        <v>7</v>
      </c>
      <c r="K630" t="s">
        <v>16</v>
      </c>
      <c r="L630">
        <v>4</v>
      </c>
      <c r="M630" t="s">
        <v>26</v>
      </c>
      <c r="N630">
        <v>4</v>
      </c>
    </row>
    <row r="631" spans="1:14" x14ac:dyDescent="0.3">
      <c r="A631" t="s">
        <v>660</v>
      </c>
      <c r="B631" t="str">
        <f>"11-3061"</f>
        <v>11-3061</v>
      </c>
      <c r="C631">
        <v>74.400000000000006</v>
      </c>
      <c r="D631">
        <v>79</v>
      </c>
      <c r="E631">
        <v>4.5999999999999996</v>
      </c>
      <c r="F631">
        <v>6.1</v>
      </c>
      <c r="G631">
        <v>6.3</v>
      </c>
      <c r="H631" s="2">
        <v>125940</v>
      </c>
      <c r="I631" t="s">
        <v>15</v>
      </c>
      <c r="J631">
        <v>3</v>
      </c>
      <c r="K631" t="s">
        <v>29</v>
      </c>
      <c r="L631">
        <v>1</v>
      </c>
      <c r="M631" t="s">
        <v>16</v>
      </c>
      <c r="N631">
        <v>6</v>
      </c>
    </row>
    <row r="632" spans="1:14" x14ac:dyDescent="0.3">
      <c r="A632" t="s">
        <v>661</v>
      </c>
      <c r="B632" t="str">
        <f>"29-1124"</f>
        <v>29-1124</v>
      </c>
      <c r="C632">
        <v>17.7</v>
      </c>
      <c r="D632">
        <v>19.3</v>
      </c>
      <c r="E632">
        <v>1.6</v>
      </c>
      <c r="F632">
        <v>9.1</v>
      </c>
      <c r="G632">
        <v>1.1000000000000001</v>
      </c>
      <c r="H632" s="2">
        <v>86850</v>
      </c>
      <c r="I632" t="s">
        <v>37</v>
      </c>
      <c r="J632">
        <v>4</v>
      </c>
      <c r="K632" t="s">
        <v>16</v>
      </c>
      <c r="L632">
        <v>4</v>
      </c>
      <c r="M632" t="s">
        <v>16</v>
      </c>
      <c r="N632">
        <v>6</v>
      </c>
    </row>
    <row r="633" spans="1:14" x14ac:dyDescent="0.3">
      <c r="A633" t="s">
        <v>662</v>
      </c>
      <c r="B633" t="str">
        <f>"49-2021"</f>
        <v>49-2021</v>
      </c>
      <c r="C633">
        <v>13.5</v>
      </c>
      <c r="D633">
        <v>14.1</v>
      </c>
      <c r="E633">
        <v>0.5</v>
      </c>
      <c r="F633">
        <v>3.9</v>
      </c>
      <c r="G633">
        <v>1.6</v>
      </c>
      <c r="H633" s="2">
        <v>57720</v>
      </c>
      <c r="I633" t="s">
        <v>37</v>
      </c>
      <c r="J633">
        <v>4</v>
      </c>
      <c r="K633" t="s">
        <v>16</v>
      </c>
      <c r="L633">
        <v>4</v>
      </c>
      <c r="M633" t="s">
        <v>26</v>
      </c>
      <c r="N633">
        <v>4</v>
      </c>
    </row>
    <row r="634" spans="1:14" x14ac:dyDescent="0.3">
      <c r="A634" t="s">
        <v>663</v>
      </c>
      <c r="B634" t="str">
        <f>"29-2034"</f>
        <v>29-2034</v>
      </c>
      <c r="C634">
        <v>212.1</v>
      </c>
      <c r="D634">
        <v>230.3</v>
      </c>
      <c r="E634">
        <v>18.3</v>
      </c>
      <c r="F634">
        <v>8.6</v>
      </c>
      <c r="G634">
        <v>17.399999999999999</v>
      </c>
      <c r="H634" s="2">
        <v>61900</v>
      </c>
      <c r="I634" t="s">
        <v>37</v>
      </c>
      <c r="J634">
        <v>4</v>
      </c>
      <c r="K634" t="s">
        <v>16</v>
      </c>
      <c r="L634">
        <v>4</v>
      </c>
      <c r="M634" t="s">
        <v>16</v>
      </c>
      <c r="N634">
        <v>6</v>
      </c>
    </row>
    <row r="635" spans="1:14" x14ac:dyDescent="0.3">
      <c r="A635" t="s">
        <v>664</v>
      </c>
      <c r="B635" t="str">
        <f>"49-3043"</f>
        <v>49-3043</v>
      </c>
      <c r="C635">
        <v>21.1</v>
      </c>
      <c r="D635">
        <v>22.2</v>
      </c>
      <c r="E635">
        <v>1.1000000000000001</v>
      </c>
      <c r="F635">
        <v>5.2</v>
      </c>
      <c r="G635">
        <v>2.2000000000000002</v>
      </c>
      <c r="H635" s="2">
        <v>57710</v>
      </c>
      <c r="I635" t="s">
        <v>25</v>
      </c>
      <c r="J635">
        <v>7</v>
      </c>
      <c r="K635" t="s">
        <v>16</v>
      </c>
      <c r="L635">
        <v>4</v>
      </c>
      <c r="M635" t="s">
        <v>20</v>
      </c>
      <c r="N635">
        <v>3</v>
      </c>
    </row>
    <row r="636" spans="1:14" x14ac:dyDescent="0.3">
      <c r="A636" t="s">
        <v>665</v>
      </c>
      <c r="B636" t="str">
        <f>"53-4099"</f>
        <v>53-4099</v>
      </c>
      <c r="C636">
        <v>1.7</v>
      </c>
      <c r="D636">
        <v>1.7</v>
      </c>
      <c r="E636">
        <v>0</v>
      </c>
      <c r="F636">
        <v>2.6</v>
      </c>
      <c r="G636">
        <v>0.2</v>
      </c>
      <c r="H636" s="2">
        <v>47970</v>
      </c>
      <c r="I636" t="s">
        <v>25</v>
      </c>
      <c r="J636">
        <v>7</v>
      </c>
      <c r="K636" t="s">
        <v>16</v>
      </c>
      <c r="L636">
        <v>4</v>
      </c>
      <c r="M636" t="s">
        <v>26</v>
      </c>
      <c r="N636">
        <v>4</v>
      </c>
    </row>
    <row r="637" spans="1:14" x14ac:dyDescent="0.3">
      <c r="A637" t="s">
        <v>666</v>
      </c>
      <c r="B637" t="str">
        <f>"53-4013"</f>
        <v>53-4013</v>
      </c>
      <c r="C637">
        <v>4.2</v>
      </c>
      <c r="D637">
        <v>4.3</v>
      </c>
      <c r="E637">
        <v>0</v>
      </c>
      <c r="F637">
        <v>0.8</v>
      </c>
      <c r="G637">
        <v>0.4</v>
      </c>
      <c r="H637" s="2">
        <v>51720</v>
      </c>
      <c r="I637" t="s">
        <v>25</v>
      </c>
      <c r="J637">
        <v>7</v>
      </c>
      <c r="K637" t="s">
        <v>16</v>
      </c>
      <c r="L637">
        <v>4</v>
      </c>
      <c r="M637" t="s">
        <v>26</v>
      </c>
      <c r="N637">
        <v>4</v>
      </c>
    </row>
    <row r="638" spans="1:14" x14ac:dyDescent="0.3">
      <c r="A638" t="s">
        <v>667</v>
      </c>
      <c r="B638" t="str">
        <f>"47-4061"</f>
        <v>47-4061</v>
      </c>
      <c r="C638">
        <v>15.7</v>
      </c>
      <c r="D638">
        <v>16.5</v>
      </c>
      <c r="E638">
        <v>0.8</v>
      </c>
      <c r="F638">
        <v>5.3</v>
      </c>
      <c r="G638">
        <v>1.5</v>
      </c>
      <c r="H638" s="2">
        <v>56370</v>
      </c>
      <c r="I638" t="s">
        <v>25</v>
      </c>
      <c r="J638">
        <v>7</v>
      </c>
      <c r="K638" t="s">
        <v>16</v>
      </c>
      <c r="L638">
        <v>4</v>
      </c>
      <c r="M638" t="s">
        <v>26</v>
      </c>
      <c r="N638">
        <v>4</v>
      </c>
    </row>
    <row r="639" spans="1:14" x14ac:dyDescent="0.3">
      <c r="A639" t="s">
        <v>668</v>
      </c>
      <c r="B639" t="str">
        <f>"53-4022"</f>
        <v>53-4022</v>
      </c>
      <c r="C639">
        <v>11</v>
      </c>
      <c r="D639">
        <v>11.3</v>
      </c>
      <c r="E639">
        <v>0.2</v>
      </c>
      <c r="F639">
        <v>2</v>
      </c>
      <c r="G639">
        <v>1</v>
      </c>
      <c r="H639" s="2">
        <v>57870</v>
      </c>
      <c r="I639" t="s">
        <v>25</v>
      </c>
      <c r="J639">
        <v>7</v>
      </c>
      <c r="K639" t="s">
        <v>16</v>
      </c>
      <c r="L639">
        <v>4</v>
      </c>
      <c r="M639" t="s">
        <v>26</v>
      </c>
      <c r="N639">
        <v>4</v>
      </c>
    </row>
    <row r="640" spans="1:14" x14ac:dyDescent="0.3">
      <c r="A640" t="s">
        <v>669</v>
      </c>
      <c r="B640" t="str">
        <f>"53-4031"</f>
        <v>53-4031</v>
      </c>
      <c r="C640">
        <v>32.9</v>
      </c>
      <c r="D640">
        <v>34.700000000000003</v>
      </c>
      <c r="E640">
        <v>1.8</v>
      </c>
      <c r="F640">
        <v>5.5</v>
      </c>
      <c r="G640">
        <v>3.1</v>
      </c>
      <c r="H640" s="2">
        <v>64030</v>
      </c>
      <c r="I640" t="s">
        <v>25</v>
      </c>
      <c r="J640">
        <v>7</v>
      </c>
      <c r="K640" t="s">
        <v>16</v>
      </c>
      <c r="L640">
        <v>4</v>
      </c>
      <c r="M640" t="s">
        <v>26</v>
      </c>
      <c r="N640">
        <v>4</v>
      </c>
    </row>
    <row r="641" spans="1:14" x14ac:dyDescent="0.3">
      <c r="A641" t="s">
        <v>670</v>
      </c>
      <c r="B641" t="str">
        <f>"41-9021"</f>
        <v>41-9021</v>
      </c>
      <c r="C641">
        <v>109.9</v>
      </c>
      <c r="D641">
        <v>114.8</v>
      </c>
      <c r="E641">
        <v>4.9000000000000004</v>
      </c>
      <c r="F641">
        <v>4.5</v>
      </c>
      <c r="G641">
        <v>10.1</v>
      </c>
      <c r="H641" s="2">
        <v>60370</v>
      </c>
      <c r="I641" t="s">
        <v>25</v>
      </c>
      <c r="J641">
        <v>7</v>
      </c>
      <c r="K641" t="s">
        <v>32</v>
      </c>
      <c r="L641">
        <v>2</v>
      </c>
      <c r="M641" t="s">
        <v>16</v>
      </c>
      <c r="N641">
        <v>6</v>
      </c>
    </row>
    <row r="642" spans="1:14" x14ac:dyDescent="0.3">
      <c r="A642" t="s">
        <v>671</v>
      </c>
      <c r="B642" t="str">
        <f>"41-9022"</f>
        <v>41-9022</v>
      </c>
      <c r="C642">
        <v>408.9</v>
      </c>
      <c r="D642">
        <v>425.8</v>
      </c>
      <c r="E642">
        <v>16.899999999999999</v>
      </c>
      <c r="F642">
        <v>4.0999999999999996</v>
      </c>
      <c r="G642">
        <v>37.4</v>
      </c>
      <c r="H642" s="2">
        <v>49040</v>
      </c>
      <c r="I642" t="s">
        <v>25</v>
      </c>
      <c r="J642">
        <v>7</v>
      </c>
      <c r="K642" t="s">
        <v>16</v>
      </c>
      <c r="L642">
        <v>4</v>
      </c>
      <c r="M642" t="s">
        <v>26</v>
      </c>
      <c r="N642">
        <v>4</v>
      </c>
    </row>
    <row r="643" spans="1:14" x14ac:dyDescent="0.3">
      <c r="A643" t="s">
        <v>672</v>
      </c>
      <c r="B643" t="str">
        <f>"43-4171"</f>
        <v>43-4171</v>
      </c>
      <c r="C643" s="1">
        <v>1016.2</v>
      </c>
      <c r="D643" s="1">
        <v>1060</v>
      </c>
      <c r="E643">
        <v>43.8</v>
      </c>
      <c r="F643">
        <v>4.3</v>
      </c>
      <c r="G643">
        <v>134</v>
      </c>
      <c r="H643" s="2">
        <v>31110</v>
      </c>
      <c r="I643" t="s">
        <v>25</v>
      </c>
      <c r="J643">
        <v>7</v>
      </c>
      <c r="K643" t="s">
        <v>16</v>
      </c>
      <c r="L643">
        <v>4</v>
      </c>
      <c r="M643" t="s">
        <v>30</v>
      </c>
      <c r="N643">
        <v>5</v>
      </c>
    </row>
    <row r="644" spans="1:14" x14ac:dyDescent="0.3">
      <c r="A644" t="s">
        <v>673</v>
      </c>
      <c r="B644" t="str">
        <f>"25-1193"</f>
        <v>25-1193</v>
      </c>
      <c r="C644">
        <v>17</v>
      </c>
      <c r="D644">
        <v>18.2</v>
      </c>
      <c r="E644">
        <v>1.2</v>
      </c>
      <c r="F644">
        <v>6.8</v>
      </c>
      <c r="G644">
        <v>1.7</v>
      </c>
      <c r="H644" s="2">
        <v>66290</v>
      </c>
      <c r="I644" t="s">
        <v>28</v>
      </c>
      <c r="J644">
        <v>1</v>
      </c>
      <c r="K644" t="s">
        <v>16</v>
      </c>
      <c r="L644">
        <v>4</v>
      </c>
      <c r="M644" t="s">
        <v>16</v>
      </c>
      <c r="N644">
        <v>6</v>
      </c>
    </row>
    <row r="645" spans="1:14" x14ac:dyDescent="0.3">
      <c r="A645" t="s">
        <v>674</v>
      </c>
      <c r="B645" t="str">
        <f>"39-9032"</f>
        <v>39-9032</v>
      </c>
      <c r="C645">
        <v>354.1</v>
      </c>
      <c r="D645">
        <v>411.9</v>
      </c>
      <c r="E645">
        <v>57.8</v>
      </c>
      <c r="F645">
        <v>16.3</v>
      </c>
      <c r="G645">
        <v>64.599999999999994</v>
      </c>
      <c r="H645" s="2">
        <v>28440</v>
      </c>
      <c r="I645" t="s">
        <v>25</v>
      </c>
      <c r="J645">
        <v>7</v>
      </c>
      <c r="K645" t="s">
        <v>16</v>
      </c>
      <c r="L645">
        <v>4</v>
      </c>
      <c r="M645" t="s">
        <v>30</v>
      </c>
      <c r="N645">
        <v>5</v>
      </c>
    </row>
    <row r="646" spans="1:14" x14ac:dyDescent="0.3">
      <c r="A646" t="s">
        <v>675</v>
      </c>
      <c r="B646" t="str">
        <f>"29-1125"</f>
        <v>29-1125</v>
      </c>
      <c r="C646">
        <v>20.8</v>
      </c>
      <c r="D646">
        <v>23</v>
      </c>
      <c r="E646">
        <v>2.2000000000000002</v>
      </c>
      <c r="F646">
        <v>10.4</v>
      </c>
      <c r="G646">
        <v>1.9</v>
      </c>
      <c r="H646" s="2">
        <v>47710</v>
      </c>
      <c r="I646" t="s">
        <v>15</v>
      </c>
      <c r="J646">
        <v>3</v>
      </c>
      <c r="K646" t="s">
        <v>16</v>
      </c>
      <c r="L646">
        <v>4</v>
      </c>
      <c r="M646" t="s">
        <v>16</v>
      </c>
      <c r="N646">
        <v>6</v>
      </c>
    </row>
    <row r="647" spans="1:14" x14ac:dyDescent="0.3">
      <c r="A647" t="s">
        <v>676</v>
      </c>
      <c r="B647" t="str">
        <f>"49-3092"</f>
        <v>49-3092</v>
      </c>
      <c r="C647">
        <v>15.4</v>
      </c>
      <c r="D647">
        <v>18.100000000000001</v>
      </c>
      <c r="E647">
        <v>2.7</v>
      </c>
      <c r="F647">
        <v>17.2</v>
      </c>
      <c r="G647">
        <v>2.2000000000000002</v>
      </c>
      <c r="H647" s="2">
        <v>40520</v>
      </c>
      <c r="I647" t="s">
        <v>25</v>
      </c>
      <c r="J647">
        <v>7</v>
      </c>
      <c r="K647" t="s">
        <v>16</v>
      </c>
      <c r="L647">
        <v>4</v>
      </c>
      <c r="M647" t="s">
        <v>20</v>
      </c>
      <c r="N647">
        <v>3</v>
      </c>
    </row>
    <row r="648" spans="1:14" x14ac:dyDescent="0.3">
      <c r="A648" t="s">
        <v>677</v>
      </c>
      <c r="B648" t="str">
        <f>"49-9045"</f>
        <v>49-9045</v>
      </c>
      <c r="C648">
        <v>0.8</v>
      </c>
      <c r="D648">
        <v>0.6</v>
      </c>
      <c r="E648">
        <v>-0.1</v>
      </c>
      <c r="F648">
        <v>-14.5</v>
      </c>
      <c r="G648">
        <v>0</v>
      </c>
      <c r="H648" s="2">
        <v>54610</v>
      </c>
      <c r="I648" t="s">
        <v>25</v>
      </c>
      <c r="J648">
        <v>7</v>
      </c>
      <c r="K648" t="s">
        <v>16</v>
      </c>
      <c r="L648">
        <v>4</v>
      </c>
      <c r="M648" t="s">
        <v>26</v>
      </c>
      <c r="N648">
        <v>4</v>
      </c>
    </row>
    <row r="649" spans="1:14" x14ac:dyDescent="0.3">
      <c r="A649" t="s">
        <v>678</v>
      </c>
      <c r="B649" t="str">
        <f>"53-7081"</f>
        <v>53-7081</v>
      </c>
      <c r="C649">
        <v>140.5</v>
      </c>
      <c r="D649">
        <v>157.19999999999999</v>
      </c>
      <c r="E649">
        <v>16.7</v>
      </c>
      <c r="F649">
        <v>11.9</v>
      </c>
      <c r="G649">
        <v>21.4</v>
      </c>
      <c r="H649" s="2">
        <v>39100</v>
      </c>
      <c r="I649" t="s">
        <v>43</v>
      </c>
      <c r="J649">
        <v>8</v>
      </c>
      <c r="K649" t="s">
        <v>16</v>
      </c>
      <c r="L649">
        <v>4</v>
      </c>
      <c r="M649" t="s">
        <v>30</v>
      </c>
      <c r="N649">
        <v>5</v>
      </c>
    </row>
    <row r="650" spans="1:14" x14ac:dyDescent="0.3">
      <c r="A650" t="s">
        <v>679</v>
      </c>
      <c r="B650" t="str">
        <f>"29-1141"</f>
        <v>29-1141</v>
      </c>
      <c r="C650" s="1">
        <v>3080.1</v>
      </c>
      <c r="D650" s="1">
        <v>3356.8</v>
      </c>
      <c r="E650">
        <v>276.8</v>
      </c>
      <c r="F650">
        <v>9</v>
      </c>
      <c r="G650">
        <v>194.5</v>
      </c>
      <c r="H650" s="2">
        <v>75330</v>
      </c>
      <c r="I650" t="s">
        <v>15</v>
      </c>
      <c r="J650">
        <v>3</v>
      </c>
      <c r="K650" t="s">
        <v>16</v>
      </c>
      <c r="L650">
        <v>4</v>
      </c>
      <c r="M650" t="s">
        <v>16</v>
      </c>
      <c r="N650">
        <v>6</v>
      </c>
    </row>
    <row r="651" spans="1:14" x14ac:dyDescent="0.3">
      <c r="A651" t="s">
        <v>680</v>
      </c>
      <c r="B651" t="str">
        <f>"21-1015"</f>
        <v>21-1015</v>
      </c>
      <c r="C651">
        <v>104.5</v>
      </c>
      <c r="D651">
        <v>115.4</v>
      </c>
      <c r="E651">
        <v>10.8</v>
      </c>
      <c r="F651">
        <v>10.4</v>
      </c>
      <c r="G651">
        <v>11.2</v>
      </c>
      <c r="H651" s="2">
        <v>37530</v>
      </c>
      <c r="I651" t="s">
        <v>23</v>
      </c>
      <c r="J651">
        <v>2</v>
      </c>
      <c r="K651" t="s">
        <v>16</v>
      </c>
      <c r="L651">
        <v>4</v>
      </c>
      <c r="M651" t="s">
        <v>16</v>
      </c>
      <c r="N651">
        <v>6</v>
      </c>
    </row>
    <row r="652" spans="1:14" x14ac:dyDescent="0.3">
      <c r="A652" t="s">
        <v>681</v>
      </c>
      <c r="B652" t="str">
        <f>"47-2171"</f>
        <v>47-2171</v>
      </c>
      <c r="C652">
        <v>22.1</v>
      </c>
      <c r="D652">
        <v>23.2</v>
      </c>
      <c r="E652">
        <v>1.2</v>
      </c>
      <c r="F652">
        <v>5.3</v>
      </c>
      <c r="G652">
        <v>2.2000000000000002</v>
      </c>
      <c r="H652" s="2">
        <v>49390</v>
      </c>
      <c r="I652" t="s">
        <v>25</v>
      </c>
      <c r="J652">
        <v>7</v>
      </c>
      <c r="K652" t="s">
        <v>16</v>
      </c>
      <c r="L652">
        <v>4</v>
      </c>
      <c r="M652" t="s">
        <v>103</v>
      </c>
      <c r="N652">
        <v>2</v>
      </c>
    </row>
    <row r="653" spans="1:14" x14ac:dyDescent="0.3">
      <c r="A653" t="s">
        <v>682</v>
      </c>
      <c r="B653" t="str">
        <f>"21-2099"</f>
        <v>21-2099</v>
      </c>
      <c r="C653">
        <v>66.3</v>
      </c>
      <c r="D653">
        <v>67.599999999999994</v>
      </c>
      <c r="E653">
        <v>1.3</v>
      </c>
      <c r="F653">
        <v>2</v>
      </c>
      <c r="G653">
        <v>8.8000000000000007</v>
      </c>
      <c r="H653" s="2">
        <v>33530</v>
      </c>
      <c r="I653" t="s">
        <v>15</v>
      </c>
      <c r="J653">
        <v>3</v>
      </c>
      <c r="K653" t="s">
        <v>16</v>
      </c>
      <c r="L653">
        <v>4</v>
      </c>
      <c r="M653" t="s">
        <v>16</v>
      </c>
      <c r="N653">
        <v>6</v>
      </c>
    </row>
    <row r="654" spans="1:14" x14ac:dyDescent="0.3">
      <c r="A654" t="s">
        <v>683</v>
      </c>
      <c r="B654" t="str">
        <f>"43-4181"</f>
        <v>43-4181</v>
      </c>
      <c r="C654">
        <v>101.6</v>
      </c>
      <c r="D654">
        <v>114.7</v>
      </c>
      <c r="E654">
        <v>13.1</v>
      </c>
      <c r="F654">
        <v>12.9</v>
      </c>
      <c r="G654">
        <v>13.1</v>
      </c>
      <c r="H654" s="2">
        <v>39430</v>
      </c>
      <c r="I654" t="s">
        <v>25</v>
      </c>
      <c r="J654">
        <v>7</v>
      </c>
      <c r="K654" t="s">
        <v>16</v>
      </c>
      <c r="L654">
        <v>4</v>
      </c>
      <c r="M654" t="s">
        <v>30</v>
      </c>
      <c r="N654">
        <v>5</v>
      </c>
    </row>
    <row r="655" spans="1:14" x14ac:dyDescent="0.3">
      <c r="A655" t="s">
        <v>684</v>
      </c>
      <c r="B655" t="str">
        <f>"39-9041"</f>
        <v>39-9041</v>
      </c>
      <c r="C655">
        <v>108.2</v>
      </c>
      <c r="D655">
        <v>121.6</v>
      </c>
      <c r="E655">
        <v>13.4</v>
      </c>
      <c r="F655">
        <v>12.4</v>
      </c>
      <c r="G655">
        <v>17.5</v>
      </c>
      <c r="H655" s="2">
        <v>31190</v>
      </c>
      <c r="I655" t="s">
        <v>25</v>
      </c>
      <c r="J655">
        <v>7</v>
      </c>
      <c r="K655" t="s">
        <v>16</v>
      </c>
      <c r="L655">
        <v>4</v>
      </c>
      <c r="M655" t="s">
        <v>30</v>
      </c>
      <c r="N655">
        <v>5</v>
      </c>
    </row>
    <row r="656" spans="1:14" x14ac:dyDescent="0.3">
      <c r="A656" t="s">
        <v>685</v>
      </c>
      <c r="B656" t="str">
        <f>"29-1126"</f>
        <v>29-1126</v>
      </c>
      <c r="C656">
        <v>135.1</v>
      </c>
      <c r="D656">
        <v>166.2</v>
      </c>
      <c r="E656">
        <v>31.1</v>
      </c>
      <c r="F656">
        <v>23</v>
      </c>
      <c r="G656">
        <v>10.1</v>
      </c>
      <c r="H656" s="2">
        <v>62810</v>
      </c>
      <c r="I656" t="s">
        <v>37</v>
      </c>
      <c r="J656">
        <v>4</v>
      </c>
      <c r="K656" t="s">
        <v>16</v>
      </c>
      <c r="L656">
        <v>4</v>
      </c>
      <c r="M656" t="s">
        <v>16</v>
      </c>
      <c r="N656">
        <v>6</v>
      </c>
    </row>
    <row r="657" spans="1:14" x14ac:dyDescent="0.3">
      <c r="A657" t="s">
        <v>686</v>
      </c>
      <c r="B657" t="str">
        <f>"41-2031"</f>
        <v>41-2031</v>
      </c>
      <c r="C657" s="1">
        <v>3835</v>
      </c>
      <c r="D657" s="1">
        <v>3795.7</v>
      </c>
      <c r="E657">
        <v>-39.299999999999997</v>
      </c>
      <c r="F657">
        <v>-1</v>
      </c>
      <c r="G657">
        <v>524.5</v>
      </c>
      <c r="H657" s="2">
        <v>27080</v>
      </c>
      <c r="I657" t="s">
        <v>43</v>
      </c>
      <c r="J657">
        <v>8</v>
      </c>
      <c r="K657" t="s">
        <v>16</v>
      </c>
      <c r="L657">
        <v>4</v>
      </c>
      <c r="M657" t="s">
        <v>30</v>
      </c>
      <c r="N657">
        <v>5</v>
      </c>
    </row>
    <row r="658" spans="1:14" x14ac:dyDescent="0.3">
      <c r="A658" t="s">
        <v>687</v>
      </c>
      <c r="B658" t="str">
        <f>"49-9096"</f>
        <v>49-9096</v>
      </c>
      <c r="C658">
        <v>21.3</v>
      </c>
      <c r="D658">
        <v>23.9</v>
      </c>
      <c r="E658">
        <v>2.6</v>
      </c>
      <c r="F658">
        <v>12.1</v>
      </c>
      <c r="G658">
        <v>2.5</v>
      </c>
      <c r="H658" s="2">
        <v>50850</v>
      </c>
      <c r="I658" t="s">
        <v>25</v>
      </c>
      <c r="J658">
        <v>7</v>
      </c>
      <c r="K658" t="s">
        <v>16</v>
      </c>
      <c r="L658">
        <v>4</v>
      </c>
      <c r="M658" t="s">
        <v>26</v>
      </c>
      <c r="N658">
        <v>4</v>
      </c>
    </row>
    <row r="659" spans="1:14" x14ac:dyDescent="0.3">
      <c r="A659" t="s">
        <v>688</v>
      </c>
      <c r="B659" t="str">
        <f>"47-5051"</f>
        <v>47-5051</v>
      </c>
      <c r="C659">
        <v>4.5999999999999996</v>
      </c>
      <c r="D659">
        <v>4.9000000000000004</v>
      </c>
      <c r="E659">
        <v>0.3</v>
      </c>
      <c r="F659">
        <v>6</v>
      </c>
      <c r="G659">
        <v>0.6</v>
      </c>
      <c r="H659" s="2">
        <v>37130</v>
      </c>
      <c r="I659" t="s">
        <v>43</v>
      </c>
      <c r="J659">
        <v>8</v>
      </c>
      <c r="K659" t="s">
        <v>16</v>
      </c>
      <c r="L659">
        <v>4</v>
      </c>
      <c r="M659" t="s">
        <v>30</v>
      </c>
      <c r="N659">
        <v>5</v>
      </c>
    </row>
    <row r="660" spans="1:14" x14ac:dyDescent="0.3">
      <c r="A660" t="s">
        <v>689</v>
      </c>
      <c r="B660" t="str">
        <f>"51-4023"</f>
        <v>51-4023</v>
      </c>
      <c r="C660">
        <v>34.5</v>
      </c>
      <c r="D660">
        <v>32.4</v>
      </c>
      <c r="E660">
        <v>-2.1</v>
      </c>
      <c r="F660">
        <v>-6.1</v>
      </c>
      <c r="G660">
        <v>3</v>
      </c>
      <c r="H660" s="2">
        <v>43600</v>
      </c>
      <c r="I660" t="s">
        <v>25</v>
      </c>
      <c r="J660">
        <v>7</v>
      </c>
      <c r="K660" t="s">
        <v>16</v>
      </c>
      <c r="L660">
        <v>4</v>
      </c>
      <c r="M660" t="s">
        <v>26</v>
      </c>
      <c r="N660">
        <v>4</v>
      </c>
    </row>
    <row r="661" spans="1:14" x14ac:dyDescent="0.3">
      <c r="A661" t="s">
        <v>690</v>
      </c>
      <c r="B661" t="str">
        <f>"47-5043"</f>
        <v>47-5043</v>
      </c>
      <c r="C661">
        <v>2.1</v>
      </c>
      <c r="D661">
        <v>1.9</v>
      </c>
      <c r="E661">
        <v>-0.1</v>
      </c>
      <c r="F661">
        <v>-6.9</v>
      </c>
      <c r="G661">
        <v>0.2</v>
      </c>
      <c r="H661" s="2">
        <v>61190</v>
      </c>
      <c r="I661" t="s">
        <v>25</v>
      </c>
      <c r="J661">
        <v>7</v>
      </c>
      <c r="K661" t="s">
        <v>16</v>
      </c>
      <c r="L661">
        <v>4</v>
      </c>
      <c r="M661" t="s">
        <v>26</v>
      </c>
      <c r="N661">
        <v>4</v>
      </c>
    </row>
    <row r="662" spans="1:14" x14ac:dyDescent="0.3">
      <c r="A662" t="s">
        <v>691</v>
      </c>
      <c r="B662" t="str">
        <f>"47-2181"</f>
        <v>47-2181</v>
      </c>
      <c r="C662">
        <v>153.69999999999999</v>
      </c>
      <c r="D662">
        <v>160.80000000000001</v>
      </c>
      <c r="E662">
        <v>7.1</v>
      </c>
      <c r="F662">
        <v>4.5999999999999996</v>
      </c>
      <c r="G662">
        <v>15.6</v>
      </c>
      <c r="H662" s="2">
        <v>43580</v>
      </c>
      <c r="I662" t="s">
        <v>43</v>
      </c>
      <c r="J662">
        <v>8</v>
      </c>
      <c r="K662" t="s">
        <v>16</v>
      </c>
      <c r="L662">
        <v>4</v>
      </c>
      <c r="M662" t="s">
        <v>26</v>
      </c>
      <c r="N662">
        <v>4</v>
      </c>
    </row>
    <row r="663" spans="1:14" x14ac:dyDescent="0.3">
      <c r="A663" t="s">
        <v>692</v>
      </c>
      <c r="B663" t="str">
        <f>"47-5012"</f>
        <v>47-5012</v>
      </c>
      <c r="C663">
        <v>15.2</v>
      </c>
      <c r="D663">
        <v>19.2</v>
      </c>
      <c r="E663">
        <v>4</v>
      </c>
      <c r="F663">
        <v>26.4</v>
      </c>
      <c r="G663">
        <v>2.4</v>
      </c>
      <c r="H663" s="2">
        <v>53820</v>
      </c>
      <c r="I663" t="s">
        <v>43</v>
      </c>
      <c r="J663">
        <v>8</v>
      </c>
      <c r="K663" t="s">
        <v>16</v>
      </c>
      <c r="L663">
        <v>4</v>
      </c>
      <c r="M663" t="s">
        <v>26</v>
      </c>
      <c r="N663">
        <v>4</v>
      </c>
    </row>
    <row r="664" spans="1:14" x14ac:dyDescent="0.3">
      <c r="A664" t="s">
        <v>693</v>
      </c>
      <c r="B664" t="str">
        <f>"47-5071"</f>
        <v>47-5071</v>
      </c>
      <c r="C664">
        <v>43.5</v>
      </c>
      <c r="D664">
        <v>56.4</v>
      </c>
      <c r="E664">
        <v>12.9</v>
      </c>
      <c r="F664">
        <v>29.5</v>
      </c>
      <c r="G664">
        <v>7.2</v>
      </c>
      <c r="H664" s="2">
        <v>39420</v>
      </c>
      <c r="I664" t="s">
        <v>43</v>
      </c>
      <c r="J664">
        <v>8</v>
      </c>
      <c r="K664" t="s">
        <v>16</v>
      </c>
      <c r="L664">
        <v>4</v>
      </c>
      <c r="M664" t="s">
        <v>26</v>
      </c>
      <c r="N664">
        <v>4</v>
      </c>
    </row>
    <row r="665" spans="1:14" x14ac:dyDescent="0.3">
      <c r="A665" t="s">
        <v>694</v>
      </c>
      <c r="B665" t="str">
        <f>"53-5011"</f>
        <v>53-5011</v>
      </c>
      <c r="C665">
        <v>26.4</v>
      </c>
      <c r="D665">
        <v>29.2</v>
      </c>
      <c r="E665">
        <v>2.7</v>
      </c>
      <c r="F665">
        <v>10.4</v>
      </c>
      <c r="G665">
        <v>3.5</v>
      </c>
      <c r="H665" s="2">
        <v>44920</v>
      </c>
      <c r="I665" t="s">
        <v>43</v>
      </c>
      <c r="J665">
        <v>8</v>
      </c>
      <c r="K665" t="s">
        <v>16</v>
      </c>
      <c r="L665">
        <v>4</v>
      </c>
      <c r="M665" t="s">
        <v>26</v>
      </c>
      <c r="N665">
        <v>4</v>
      </c>
    </row>
    <row r="666" spans="1:14" x14ac:dyDescent="0.3">
      <c r="A666" t="s">
        <v>695</v>
      </c>
      <c r="B666" t="str">
        <f>"41-9099"</f>
        <v>41-9099</v>
      </c>
      <c r="C666">
        <v>172.6</v>
      </c>
      <c r="D666">
        <v>175.5</v>
      </c>
      <c r="E666">
        <v>2.9</v>
      </c>
      <c r="F666">
        <v>1.7</v>
      </c>
      <c r="G666">
        <v>22.5</v>
      </c>
      <c r="H666" s="2">
        <v>30550</v>
      </c>
      <c r="I666" t="s">
        <v>25</v>
      </c>
      <c r="J666">
        <v>7</v>
      </c>
      <c r="K666" t="s">
        <v>16</v>
      </c>
      <c r="L666">
        <v>4</v>
      </c>
      <c r="M666" t="s">
        <v>16</v>
      </c>
      <c r="N666">
        <v>6</v>
      </c>
    </row>
    <row r="667" spans="1:14" x14ac:dyDescent="0.3">
      <c r="A667" t="s">
        <v>696</v>
      </c>
      <c r="B667" t="str">
        <f>"41-9031"</f>
        <v>41-9031</v>
      </c>
      <c r="C667">
        <v>63.8</v>
      </c>
      <c r="D667">
        <v>68.8</v>
      </c>
      <c r="E667">
        <v>5</v>
      </c>
      <c r="F667">
        <v>7.9</v>
      </c>
      <c r="G667">
        <v>7.3</v>
      </c>
      <c r="H667" s="2">
        <v>108830</v>
      </c>
      <c r="I667" t="s">
        <v>15</v>
      </c>
      <c r="J667">
        <v>3</v>
      </c>
      <c r="K667" t="s">
        <v>16</v>
      </c>
      <c r="L667">
        <v>4</v>
      </c>
      <c r="M667" t="s">
        <v>26</v>
      </c>
      <c r="N667">
        <v>4</v>
      </c>
    </row>
    <row r="668" spans="1:14" x14ac:dyDescent="0.3">
      <c r="A668" t="s">
        <v>697</v>
      </c>
      <c r="B668" t="str">
        <f>"11-2022"</f>
        <v>11-2022</v>
      </c>
      <c r="C668">
        <v>397.9</v>
      </c>
      <c r="D668">
        <v>425.8</v>
      </c>
      <c r="E668">
        <v>27.9</v>
      </c>
      <c r="F668">
        <v>7</v>
      </c>
      <c r="G668">
        <v>37</v>
      </c>
      <c r="H668" s="2">
        <v>132290</v>
      </c>
      <c r="I668" t="s">
        <v>15</v>
      </c>
      <c r="J668">
        <v>3</v>
      </c>
      <c r="K668" t="s">
        <v>32</v>
      </c>
      <c r="L668">
        <v>2</v>
      </c>
      <c r="M668" t="s">
        <v>16</v>
      </c>
      <c r="N668">
        <v>6</v>
      </c>
    </row>
    <row r="669" spans="1:14" x14ac:dyDescent="0.3">
      <c r="A669" t="s">
        <v>698</v>
      </c>
      <c r="B669" t="str">
        <f>"41-3091"</f>
        <v>41-3091</v>
      </c>
      <c r="C669">
        <v>985.2</v>
      </c>
      <c r="D669" s="1">
        <v>1082.0999999999999</v>
      </c>
      <c r="E669">
        <v>97</v>
      </c>
      <c r="F669">
        <v>9.8000000000000007</v>
      </c>
      <c r="G669">
        <v>126.5</v>
      </c>
      <c r="H669" s="2">
        <v>58770</v>
      </c>
      <c r="I669" t="s">
        <v>25</v>
      </c>
      <c r="J669">
        <v>7</v>
      </c>
      <c r="K669" t="s">
        <v>16</v>
      </c>
      <c r="L669">
        <v>4</v>
      </c>
      <c r="M669" t="s">
        <v>26</v>
      </c>
      <c r="N669">
        <v>4</v>
      </c>
    </row>
    <row r="670" spans="1:14" x14ac:dyDescent="0.3">
      <c r="A670" t="s">
        <v>699</v>
      </c>
      <c r="B670" t="str">
        <f>"41-4012"</f>
        <v>41-4012</v>
      </c>
      <c r="C670" s="1">
        <v>1327.5</v>
      </c>
      <c r="D670" s="1">
        <v>1386.8</v>
      </c>
      <c r="E670">
        <v>59.4</v>
      </c>
      <c r="F670">
        <v>4.5</v>
      </c>
      <c r="G670">
        <v>137.80000000000001</v>
      </c>
      <c r="H670" s="2">
        <v>62070</v>
      </c>
      <c r="I670" t="s">
        <v>25</v>
      </c>
      <c r="J670">
        <v>7</v>
      </c>
      <c r="K670" t="s">
        <v>16</v>
      </c>
      <c r="L670">
        <v>4</v>
      </c>
      <c r="M670" t="s">
        <v>26</v>
      </c>
      <c r="N670">
        <v>4</v>
      </c>
    </row>
    <row r="671" spans="1:14" x14ac:dyDescent="0.3">
      <c r="A671" t="s">
        <v>700</v>
      </c>
      <c r="B671" t="str">
        <f>"41-4011"</f>
        <v>41-4011</v>
      </c>
      <c r="C671">
        <v>298.2</v>
      </c>
      <c r="D671">
        <v>316.5</v>
      </c>
      <c r="E671">
        <v>18.2</v>
      </c>
      <c r="F671">
        <v>6.1</v>
      </c>
      <c r="G671">
        <v>31.7</v>
      </c>
      <c r="H671" s="2">
        <v>86650</v>
      </c>
      <c r="I671" t="s">
        <v>15</v>
      </c>
      <c r="J671">
        <v>3</v>
      </c>
      <c r="K671" t="s">
        <v>16</v>
      </c>
      <c r="L671">
        <v>4</v>
      </c>
      <c r="M671" t="s">
        <v>26</v>
      </c>
      <c r="N671">
        <v>4</v>
      </c>
    </row>
    <row r="672" spans="1:14" x14ac:dyDescent="0.3">
      <c r="A672" t="s">
        <v>701</v>
      </c>
      <c r="B672" t="str">
        <f>"51-7041"</f>
        <v>51-7041</v>
      </c>
      <c r="C672">
        <v>50.5</v>
      </c>
      <c r="D672">
        <v>53.9</v>
      </c>
      <c r="E672">
        <v>3.4</v>
      </c>
      <c r="F672">
        <v>6.7</v>
      </c>
      <c r="G672">
        <v>6.2</v>
      </c>
      <c r="H672" s="2">
        <v>31560</v>
      </c>
      <c r="I672" t="s">
        <v>25</v>
      </c>
      <c r="J672">
        <v>7</v>
      </c>
      <c r="K672" t="s">
        <v>16</v>
      </c>
      <c r="L672">
        <v>4</v>
      </c>
      <c r="M672" t="s">
        <v>26</v>
      </c>
      <c r="N672">
        <v>4</v>
      </c>
    </row>
    <row r="673" spans="1:14" x14ac:dyDescent="0.3">
      <c r="A673" t="s">
        <v>702</v>
      </c>
      <c r="B673" t="str">
        <f>"33-9098"</f>
        <v>33-9098</v>
      </c>
      <c r="C673">
        <v>141.6</v>
      </c>
      <c r="D673">
        <v>157.4</v>
      </c>
      <c r="E673">
        <v>15.8</v>
      </c>
      <c r="F673">
        <v>11.2</v>
      </c>
      <c r="G673">
        <v>38.799999999999997</v>
      </c>
      <c r="H673" s="2">
        <v>31960</v>
      </c>
      <c r="I673" t="s">
        <v>25</v>
      </c>
      <c r="J673">
        <v>7</v>
      </c>
      <c r="K673" t="s">
        <v>16</v>
      </c>
      <c r="L673">
        <v>4</v>
      </c>
      <c r="M673" t="s">
        <v>30</v>
      </c>
      <c r="N673">
        <v>5</v>
      </c>
    </row>
    <row r="674" spans="1:14" x14ac:dyDescent="0.3">
      <c r="A674" t="s">
        <v>703</v>
      </c>
      <c r="B674" t="str">
        <f>"25-2031"</f>
        <v>25-2031</v>
      </c>
      <c r="C674">
        <v>998.8</v>
      </c>
      <c r="D674" s="1">
        <v>1077</v>
      </c>
      <c r="E674">
        <v>78.2</v>
      </c>
      <c r="F674">
        <v>7.8</v>
      </c>
      <c r="G674">
        <v>77.400000000000006</v>
      </c>
      <c r="H674" s="2">
        <v>62870</v>
      </c>
      <c r="I674" t="s">
        <v>15</v>
      </c>
      <c r="J674">
        <v>3</v>
      </c>
      <c r="K674" t="s">
        <v>16</v>
      </c>
      <c r="L674">
        <v>4</v>
      </c>
      <c r="M674" t="s">
        <v>16</v>
      </c>
      <c r="N674">
        <v>6</v>
      </c>
    </row>
    <row r="675" spans="1:14" x14ac:dyDescent="0.3">
      <c r="A675" t="s">
        <v>704</v>
      </c>
      <c r="B675" t="str">
        <f>"43-6014"</f>
        <v>43-6014</v>
      </c>
      <c r="C675" s="1">
        <v>2053.5</v>
      </c>
      <c r="D675" s="1">
        <v>1896.7</v>
      </c>
      <c r="E675">
        <v>-156.9</v>
      </c>
      <c r="F675">
        <v>-7.6</v>
      </c>
      <c r="G675">
        <v>195.1</v>
      </c>
      <c r="H675" s="2">
        <v>38850</v>
      </c>
      <c r="I675" t="s">
        <v>25</v>
      </c>
      <c r="J675">
        <v>7</v>
      </c>
      <c r="K675" t="s">
        <v>16</v>
      </c>
      <c r="L675">
        <v>4</v>
      </c>
      <c r="M675" t="s">
        <v>30</v>
      </c>
      <c r="N675">
        <v>5</v>
      </c>
    </row>
    <row r="676" spans="1:14" x14ac:dyDescent="0.3">
      <c r="A676" t="s">
        <v>705</v>
      </c>
      <c r="B676" t="str">
        <f>"41-3031"</f>
        <v>41-3031</v>
      </c>
      <c r="C676">
        <v>466.3</v>
      </c>
      <c r="D676">
        <v>485.8</v>
      </c>
      <c r="E676">
        <v>19.5</v>
      </c>
      <c r="F676">
        <v>4.2</v>
      </c>
      <c r="G676">
        <v>42.5</v>
      </c>
      <c r="H676" s="2">
        <v>64770</v>
      </c>
      <c r="I676" t="s">
        <v>15</v>
      </c>
      <c r="J676">
        <v>3</v>
      </c>
      <c r="K676" t="s">
        <v>16</v>
      </c>
      <c r="L676">
        <v>4</v>
      </c>
      <c r="M676" t="s">
        <v>26</v>
      </c>
      <c r="N676">
        <v>4</v>
      </c>
    </row>
    <row r="677" spans="1:14" x14ac:dyDescent="0.3">
      <c r="A677" t="s">
        <v>706</v>
      </c>
      <c r="B677" t="str">
        <f>"49-2098"</f>
        <v>49-2098</v>
      </c>
      <c r="C677">
        <v>73.400000000000006</v>
      </c>
      <c r="D677">
        <v>85.5</v>
      </c>
      <c r="E677">
        <v>12.1</v>
      </c>
      <c r="F677">
        <v>16.399999999999999</v>
      </c>
      <c r="G677">
        <v>9.1999999999999993</v>
      </c>
      <c r="H677" s="2">
        <v>50940</v>
      </c>
      <c r="I677" t="s">
        <v>25</v>
      </c>
      <c r="J677">
        <v>7</v>
      </c>
      <c r="K677" t="s">
        <v>16</v>
      </c>
      <c r="L677">
        <v>4</v>
      </c>
      <c r="M677" t="s">
        <v>26</v>
      </c>
      <c r="N677">
        <v>4</v>
      </c>
    </row>
    <row r="678" spans="1:14" x14ac:dyDescent="0.3">
      <c r="A678" t="s">
        <v>707</v>
      </c>
      <c r="B678" t="str">
        <f>"33-9032"</f>
        <v>33-9032</v>
      </c>
      <c r="C678" s="1">
        <v>1059</v>
      </c>
      <c r="D678" s="1">
        <v>1213.2</v>
      </c>
      <c r="E678">
        <v>154.19999999999999</v>
      </c>
      <c r="F678">
        <v>14.6</v>
      </c>
      <c r="G678">
        <v>163.6</v>
      </c>
      <c r="H678" s="2">
        <v>31050</v>
      </c>
      <c r="I678" t="s">
        <v>25</v>
      </c>
      <c r="J678">
        <v>7</v>
      </c>
      <c r="K678" t="s">
        <v>16</v>
      </c>
      <c r="L678">
        <v>4</v>
      </c>
      <c r="M678" t="s">
        <v>30</v>
      </c>
      <c r="N678">
        <v>5</v>
      </c>
    </row>
    <row r="679" spans="1:14" x14ac:dyDescent="0.3">
      <c r="A679" t="s">
        <v>708</v>
      </c>
      <c r="B679" t="str">
        <f>"25-3021"</f>
        <v>25-3021</v>
      </c>
      <c r="C679">
        <v>336.7</v>
      </c>
      <c r="D679">
        <v>415.9</v>
      </c>
      <c r="E679">
        <v>79.2</v>
      </c>
      <c r="F679">
        <v>23.5</v>
      </c>
      <c r="G679">
        <v>50.5</v>
      </c>
      <c r="H679" s="2">
        <v>39960</v>
      </c>
      <c r="I679" t="s">
        <v>25</v>
      </c>
      <c r="J679">
        <v>7</v>
      </c>
      <c r="K679" t="s">
        <v>32</v>
      </c>
      <c r="L679">
        <v>2</v>
      </c>
      <c r="M679" t="s">
        <v>16</v>
      </c>
      <c r="N679">
        <v>6</v>
      </c>
    </row>
    <row r="680" spans="1:14" x14ac:dyDescent="0.3">
      <c r="A680" t="s">
        <v>709</v>
      </c>
      <c r="B680" t="str">
        <f>"51-9141"</f>
        <v>51-9141</v>
      </c>
      <c r="C680">
        <v>33.200000000000003</v>
      </c>
      <c r="D680">
        <v>32.6</v>
      </c>
      <c r="E680">
        <v>-0.6</v>
      </c>
      <c r="F680">
        <v>-1.7</v>
      </c>
      <c r="G680">
        <v>3.5</v>
      </c>
      <c r="H680" s="2">
        <v>40500</v>
      </c>
      <c r="I680" t="s">
        <v>25</v>
      </c>
      <c r="J680">
        <v>7</v>
      </c>
      <c r="K680" t="s">
        <v>16</v>
      </c>
      <c r="L680">
        <v>4</v>
      </c>
      <c r="M680" t="s">
        <v>26</v>
      </c>
      <c r="N680">
        <v>4</v>
      </c>
    </row>
    <row r="681" spans="1:14" x14ac:dyDescent="0.3">
      <c r="A681" t="s">
        <v>710</v>
      </c>
      <c r="B681" t="str">
        <f>"51-9012"</f>
        <v>51-9012</v>
      </c>
      <c r="C681">
        <v>49.6</v>
      </c>
      <c r="D681">
        <v>52.1</v>
      </c>
      <c r="E681">
        <v>2.5</v>
      </c>
      <c r="F681">
        <v>5</v>
      </c>
      <c r="G681">
        <v>5.3</v>
      </c>
      <c r="H681" s="2">
        <v>43100</v>
      </c>
      <c r="I681" t="s">
        <v>25</v>
      </c>
      <c r="J681">
        <v>7</v>
      </c>
      <c r="K681" t="s">
        <v>16</v>
      </c>
      <c r="L681">
        <v>4</v>
      </c>
      <c r="M681" t="s">
        <v>26</v>
      </c>
      <c r="N681">
        <v>4</v>
      </c>
    </row>
    <row r="682" spans="1:14" x14ac:dyDescent="0.3">
      <c r="A682" t="s">
        <v>711</v>
      </c>
      <c r="B682" t="str">
        <f>"47-4071"</f>
        <v>47-4071</v>
      </c>
      <c r="C682">
        <v>30.4</v>
      </c>
      <c r="D682">
        <v>34.799999999999997</v>
      </c>
      <c r="E682">
        <v>4.4000000000000004</v>
      </c>
      <c r="F682">
        <v>14.3</v>
      </c>
      <c r="G682">
        <v>4.2</v>
      </c>
      <c r="H682" s="2">
        <v>41120</v>
      </c>
      <c r="I682" t="s">
        <v>25</v>
      </c>
      <c r="J682">
        <v>7</v>
      </c>
      <c r="K682" t="s">
        <v>16</v>
      </c>
      <c r="L682">
        <v>4</v>
      </c>
      <c r="M682" t="s">
        <v>26</v>
      </c>
      <c r="N682">
        <v>4</v>
      </c>
    </row>
    <row r="683" spans="1:14" x14ac:dyDescent="0.3">
      <c r="A683" t="s">
        <v>712</v>
      </c>
      <c r="B683" t="str">
        <f>"47-5013"</f>
        <v>47-5013</v>
      </c>
      <c r="C683">
        <v>43.1</v>
      </c>
      <c r="D683">
        <v>52.9</v>
      </c>
      <c r="E683">
        <v>9.8000000000000007</v>
      </c>
      <c r="F683">
        <v>22.9</v>
      </c>
      <c r="G683">
        <v>6.6</v>
      </c>
      <c r="H683" s="2">
        <v>47380</v>
      </c>
      <c r="I683" t="s">
        <v>43</v>
      </c>
      <c r="J683">
        <v>8</v>
      </c>
      <c r="K683" t="s">
        <v>16</v>
      </c>
      <c r="L683">
        <v>4</v>
      </c>
      <c r="M683" t="s">
        <v>26</v>
      </c>
      <c r="N683">
        <v>4</v>
      </c>
    </row>
    <row r="684" spans="1:14" x14ac:dyDescent="0.3">
      <c r="A684" t="s">
        <v>713</v>
      </c>
      <c r="B684" t="str">
        <f>"27-1027"</f>
        <v>27-1027</v>
      </c>
      <c r="C684">
        <v>29.7</v>
      </c>
      <c r="D684">
        <v>32.4</v>
      </c>
      <c r="E684">
        <v>2.7</v>
      </c>
      <c r="F684">
        <v>9.1</v>
      </c>
      <c r="G684">
        <v>3.1</v>
      </c>
      <c r="H684" s="2">
        <v>58180</v>
      </c>
      <c r="I684" t="s">
        <v>15</v>
      </c>
      <c r="J684">
        <v>3</v>
      </c>
      <c r="K684" t="s">
        <v>16</v>
      </c>
      <c r="L684">
        <v>4</v>
      </c>
      <c r="M684" t="s">
        <v>16</v>
      </c>
      <c r="N684">
        <v>6</v>
      </c>
    </row>
    <row r="685" spans="1:14" x14ac:dyDescent="0.3">
      <c r="A685" t="s">
        <v>714</v>
      </c>
      <c r="B685" t="str">
        <f>"51-6051"</f>
        <v>51-6051</v>
      </c>
      <c r="C685">
        <v>6.9</v>
      </c>
      <c r="D685">
        <v>6.2</v>
      </c>
      <c r="E685">
        <v>-0.7</v>
      </c>
      <c r="F685">
        <v>-9.5</v>
      </c>
      <c r="G685">
        <v>0.8</v>
      </c>
      <c r="H685" s="2">
        <v>30000</v>
      </c>
      <c r="I685" t="s">
        <v>43</v>
      </c>
      <c r="J685">
        <v>8</v>
      </c>
      <c r="K685" t="s">
        <v>16</v>
      </c>
      <c r="L685">
        <v>4</v>
      </c>
      <c r="M685" t="s">
        <v>26</v>
      </c>
      <c r="N685">
        <v>4</v>
      </c>
    </row>
    <row r="686" spans="1:14" x14ac:dyDescent="0.3">
      <c r="A686" t="s">
        <v>715</v>
      </c>
      <c r="B686" t="str">
        <f>"51-6031"</f>
        <v>51-6031</v>
      </c>
      <c r="C686">
        <v>133.5</v>
      </c>
      <c r="D686">
        <v>114.8</v>
      </c>
      <c r="E686">
        <v>-18.600000000000001</v>
      </c>
      <c r="F686">
        <v>-14</v>
      </c>
      <c r="G686">
        <v>12.2</v>
      </c>
      <c r="H686" s="2">
        <v>28230</v>
      </c>
      <c r="I686" t="s">
        <v>43</v>
      </c>
      <c r="J686">
        <v>8</v>
      </c>
      <c r="K686" t="s">
        <v>16</v>
      </c>
      <c r="L686">
        <v>4</v>
      </c>
      <c r="M686" t="s">
        <v>30</v>
      </c>
      <c r="N686">
        <v>5</v>
      </c>
    </row>
    <row r="687" spans="1:14" x14ac:dyDescent="0.3">
      <c r="A687" t="s">
        <v>716</v>
      </c>
      <c r="B687" t="str">
        <f>"39-5093"</f>
        <v>39-5093</v>
      </c>
      <c r="C687">
        <v>10.8</v>
      </c>
      <c r="D687">
        <v>14.1</v>
      </c>
      <c r="E687">
        <v>3.2</v>
      </c>
      <c r="F687">
        <v>29.8</v>
      </c>
      <c r="G687">
        <v>1.6</v>
      </c>
      <c r="H687" s="2">
        <v>24190</v>
      </c>
      <c r="I687" t="s">
        <v>43</v>
      </c>
      <c r="J687">
        <v>8</v>
      </c>
      <c r="K687" t="s">
        <v>16</v>
      </c>
      <c r="L687">
        <v>4</v>
      </c>
      <c r="M687" t="s">
        <v>30</v>
      </c>
      <c r="N687">
        <v>5</v>
      </c>
    </row>
    <row r="688" spans="1:14" x14ac:dyDescent="0.3">
      <c r="A688" t="s">
        <v>717</v>
      </c>
      <c r="B688" t="str">
        <f>"47-2211"</f>
        <v>47-2211</v>
      </c>
      <c r="C688">
        <v>135.4</v>
      </c>
      <c r="D688">
        <v>140.19999999999999</v>
      </c>
      <c r="E688">
        <v>4.8</v>
      </c>
      <c r="F688">
        <v>3.6</v>
      </c>
      <c r="G688">
        <v>13.1</v>
      </c>
      <c r="H688" s="2">
        <v>51370</v>
      </c>
      <c r="I688" t="s">
        <v>25</v>
      </c>
      <c r="J688">
        <v>7</v>
      </c>
      <c r="K688" t="s">
        <v>16</v>
      </c>
      <c r="L688">
        <v>4</v>
      </c>
      <c r="M688" t="s">
        <v>103</v>
      </c>
      <c r="N688">
        <v>2</v>
      </c>
    </row>
    <row r="689" spans="1:14" x14ac:dyDescent="0.3">
      <c r="A689" t="s">
        <v>718</v>
      </c>
      <c r="B689" t="str">
        <f>"53-5031"</f>
        <v>53-5031</v>
      </c>
      <c r="C689">
        <v>7.8</v>
      </c>
      <c r="D689">
        <v>8.4</v>
      </c>
      <c r="E689">
        <v>0.6</v>
      </c>
      <c r="F689">
        <v>8.1999999999999993</v>
      </c>
      <c r="G689">
        <v>1</v>
      </c>
      <c r="H689" s="2">
        <v>75990</v>
      </c>
      <c r="I689" t="s">
        <v>50</v>
      </c>
      <c r="J689">
        <v>5</v>
      </c>
      <c r="K689" t="s">
        <v>32</v>
      </c>
      <c r="L689">
        <v>2</v>
      </c>
      <c r="M689" t="s">
        <v>16</v>
      </c>
      <c r="N689">
        <v>6</v>
      </c>
    </row>
    <row r="690" spans="1:14" x14ac:dyDescent="0.3">
      <c r="A690" t="s">
        <v>719</v>
      </c>
      <c r="B690" t="str">
        <f>"43-5071"</f>
        <v>43-5071</v>
      </c>
      <c r="C690">
        <v>734.9</v>
      </c>
      <c r="D690">
        <v>694.3</v>
      </c>
      <c r="E690">
        <v>-40.6</v>
      </c>
      <c r="F690">
        <v>-5.5</v>
      </c>
      <c r="G690">
        <v>64</v>
      </c>
      <c r="H690" s="2">
        <v>35260</v>
      </c>
      <c r="I690" t="s">
        <v>25</v>
      </c>
      <c r="J690">
        <v>7</v>
      </c>
      <c r="K690" t="s">
        <v>16</v>
      </c>
      <c r="L690">
        <v>4</v>
      </c>
      <c r="M690" t="s">
        <v>30</v>
      </c>
      <c r="N690">
        <v>5</v>
      </c>
    </row>
    <row r="691" spans="1:14" x14ac:dyDescent="0.3">
      <c r="A691" t="s">
        <v>720</v>
      </c>
      <c r="B691" t="str">
        <f>"51-6041"</f>
        <v>51-6041</v>
      </c>
      <c r="C691">
        <v>8.6999999999999993</v>
      </c>
      <c r="D691">
        <v>7.5</v>
      </c>
      <c r="E691">
        <v>-1.2</v>
      </c>
      <c r="F691">
        <v>-14</v>
      </c>
      <c r="G691">
        <v>0.8</v>
      </c>
      <c r="H691" s="2">
        <v>30550</v>
      </c>
      <c r="I691" t="s">
        <v>25</v>
      </c>
      <c r="J691">
        <v>7</v>
      </c>
      <c r="K691" t="s">
        <v>16</v>
      </c>
      <c r="L691">
        <v>4</v>
      </c>
      <c r="M691" t="s">
        <v>26</v>
      </c>
      <c r="N691">
        <v>4</v>
      </c>
    </row>
    <row r="692" spans="1:14" x14ac:dyDescent="0.3">
      <c r="A692" t="s">
        <v>721</v>
      </c>
      <c r="B692" t="str">
        <f>"51-6042"</f>
        <v>51-6042</v>
      </c>
      <c r="C692">
        <v>5</v>
      </c>
      <c r="D692">
        <v>3.9</v>
      </c>
      <c r="E692">
        <v>-1.1000000000000001</v>
      </c>
      <c r="F692">
        <v>-21.6</v>
      </c>
      <c r="G692">
        <v>0.4</v>
      </c>
      <c r="H692" s="2">
        <v>30630</v>
      </c>
      <c r="I692" t="s">
        <v>25</v>
      </c>
      <c r="J692">
        <v>7</v>
      </c>
      <c r="K692" t="s">
        <v>16</v>
      </c>
      <c r="L692">
        <v>4</v>
      </c>
      <c r="M692" t="s">
        <v>30</v>
      </c>
      <c r="N692">
        <v>5</v>
      </c>
    </row>
    <row r="693" spans="1:14" x14ac:dyDescent="0.3">
      <c r="A693" t="s">
        <v>722</v>
      </c>
      <c r="B693" t="str">
        <f>"49-9097"</f>
        <v>49-9097</v>
      </c>
      <c r="C693">
        <v>6.6</v>
      </c>
      <c r="D693">
        <v>7</v>
      </c>
      <c r="E693">
        <v>0.4</v>
      </c>
      <c r="F693">
        <v>5.6</v>
      </c>
      <c r="G693">
        <v>0.7</v>
      </c>
      <c r="H693" s="2">
        <v>76210</v>
      </c>
      <c r="I693" t="s">
        <v>25</v>
      </c>
      <c r="J693">
        <v>7</v>
      </c>
      <c r="K693" t="s">
        <v>16</v>
      </c>
      <c r="L693">
        <v>4</v>
      </c>
      <c r="M693" t="s">
        <v>26</v>
      </c>
      <c r="N693">
        <v>4</v>
      </c>
    </row>
    <row r="694" spans="1:14" x14ac:dyDescent="0.3">
      <c r="A694" t="s">
        <v>723</v>
      </c>
      <c r="B694" t="str">
        <f>"39-5094"</f>
        <v>39-5094</v>
      </c>
      <c r="C694">
        <v>68.7</v>
      </c>
      <c r="D694">
        <v>88.4</v>
      </c>
      <c r="E694">
        <v>19.8</v>
      </c>
      <c r="F694">
        <v>28.8</v>
      </c>
      <c r="G694">
        <v>10.1</v>
      </c>
      <c r="H694" s="2">
        <v>36510</v>
      </c>
      <c r="I694" t="s">
        <v>50</v>
      </c>
      <c r="J694">
        <v>5</v>
      </c>
      <c r="K694" t="s">
        <v>16</v>
      </c>
      <c r="L694">
        <v>4</v>
      </c>
      <c r="M694" t="s">
        <v>16</v>
      </c>
      <c r="N694">
        <v>6</v>
      </c>
    </row>
    <row r="695" spans="1:14" x14ac:dyDescent="0.3">
      <c r="A695" t="s">
        <v>724</v>
      </c>
      <c r="B695" t="str">
        <f>"51-3023"</f>
        <v>51-3023</v>
      </c>
      <c r="C695">
        <v>79.7</v>
      </c>
      <c r="D695">
        <v>83.1</v>
      </c>
      <c r="E695">
        <v>3.4</v>
      </c>
      <c r="F695">
        <v>4.3</v>
      </c>
      <c r="G695">
        <v>9.6999999999999993</v>
      </c>
      <c r="H695" s="2">
        <v>30710</v>
      </c>
      <c r="I695" t="s">
        <v>43</v>
      </c>
      <c r="J695">
        <v>8</v>
      </c>
      <c r="K695" t="s">
        <v>16</v>
      </c>
      <c r="L695">
        <v>4</v>
      </c>
      <c r="M695" t="s">
        <v>30</v>
      </c>
      <c r="N695">
        <v>5</v>
      </c>
    </row>
    <row r="696" spans="1:14" x14ac:dyDescent="0.3">
      <c r="A696" t="s">
        <v>725</v>
      </c>
      <c r="B696" t="str">
        <f>"11-9151"</f>
        <v>11-9151</v>
      </c>
      <c r="C696">
        <v>174.2</v>
      </c>
      <c r="D696">
        <v>200.7</v>
      </c>
      <c r="E696">
        <v>26.4</v>
      </c>
      <c r="F696">
        <v>15.2</v>
      </c>
      <c r="G696">
        <v>18.3</v>
      </c>
      <c r="H696" s="2">
        <v>69600</v>
      </c>
      <c r="I696" t="s">
        <v>15</v>
      </c>
      <c r="J696">
        <v>3</v>
      </c>
      <c r="K696" t="s">
        <v>32</v>
      </c>
      <c r="L696">
        <v>2</v>
      </c>
      <c r="M696" t="s">
        <v>16</v>
      </c>
      <c r="N696">
        <v>6</v>
      </c>
    </row>
    <row r="697" spans="1:14" x14ac:dyDescent="0.3">
      <c r="A697" t="s">
        <v>726</v>
      </c>
      <c r="B697" t="str">
        <f>"21-1093"</f>
        <v>21-1093</v>
      </c>
      <c r="C697">
        <v>417.6</v>
      </c>
      <c r="D697">
        <v>487.1</v>
      </c>
      <c r="E697">
        <v>69.5</v>
      </c>
      <c r="F697">
        <v>16.600000000000001</v>
      </c>
      <c r="G697">
        <v>59.1</v>
      </c>
      <c r="H697" s="2">
        <v>35960</v>
      </c>
      <c r="I697" t="s">
        <v>25</v>
      </c>
      <c r="J697">
        <v>7</v>
      </c>
      <c r="K697" t="s">
        <v>16</v>
      </c>
      <c r="L697">
        <v>4</v>
      </c>
      <c r="M697" t="s">
        <v>30</v>
      </c>
      <c r="N697">
        <v>5</v>
      </c>
    </row>
    <row r="698" spans="1:14" x14ac:dyDescent="0.3">
      <c r="A698" t="s">
        <v>727</v>
      </c>
      <c r="B698" t="str">
        <f>"19-4061"</f>
        <v>19-4061</v>
      </c>
      <c r="C698">
        <v>40.4</v>
      </c>
      <c r="D698">
        <v>43.8</v>
      </c>
      <c r="E698">
        <v>3.4</v>
      </c>
      <c r="F698">
        <v>8.4</v>
      </c>
      <c r="G698">
        <v>5.4</v>
      </c>
      <c r="H698" s="2">
        <v>49210</v>
      </c>
      <c r="I698" t="s">
        <v>15</v>
      </c>
      <c r="J698">
        <v>3</v>
      </c>
      <c r="K698" t="s">
        <v>16</v>
      </c>
      <c r="L698">
        <v>4</v>
      </c>
      <c r="M698" t="s">
        <v>16</v>
      </c>
      <c r="N698">
        <v>6</v>
      </c>
    </row>
    <row r="699" spans="1:14" x14ac:dyDescent="0.3">
      <c r="A699" t="s">
        <v>728</v>
      </c>
      <c r="B699" t="str">
        <f>"25-1069"</f>
        <v>25-1069</v>
      </c>
      <c r="C699">
        <v>19.5</v>
      </c>
      <c r="D699">
        <v>20.3</v>
      </c>
      <c r="E699">
        <v>0.8</v>
      </c>
      <c r="F699">
        <v>4.3</v>
      </c>
      <c r="G699">
        <v>1.9</v>
      </c>
      <c r="H699" s="2">
        <v>69340</v>
      </c>
      <c r="I699" t="s">
        <v>28</v>
      </c>
      <c r="J699">
        <v>1</v>
      </c>
      <c r="K699" t="s">
        <v>16</v>
      </c>
      <c r="L699">
        <v>4</v>
      </c>
      <c r="M699" t="s">
        <v>16</v>
      </c>
      <c r="N699">
        <v>6</v>
      </c>
    </row>
    <row r="700" spans="1:14" x14ac:dyDescent="0.3">
      <c r="A700" t="s">
        <v>729</v>
      </c>
      <c r="B700" t="str">
        <f>"19-3099"</f>
        <v>19-3099</v>
      </c>
      <c r="C700">
        <v>39.9</v>
      </c>
      <c r="D700">
        <v>41.1</v>
      </c>
      <c r="E700">
        <v>1.2</v>
      </c>
      <c r="F700">
        <v>2.9</v>
      </c>
      <c r="G700">
        <v>3.7</v>
      </c>
      <c r="H700" s="2">
        <v>87260</v>
      </c>
      <c r="I700" t="s">
        <v>15</v>
      </c>
      <c r="J700">
        <v>3</v>
      </c>
      <c r="K700" t="s">
        <v>16</v>
      </c>
      <c r="L700">
        <v>4</v>
      </c>
      <c r="M700" t="s">
        <v>16</v>
      </c>
      <c r="N700">
        <v>6</v>
      </c>
    </row>
    <row r="701" spans="1:14" x14ac:dyDescent="0.3">
      <c r="A701" t="s">
        <v>730</v>
      </c>
      <c r="B701" t="str">
        <f>"25-1113"</f>
        <v>25-1113</v>
      </c>
      <c r="C701">
        <v>16.600000000000001</v>
      </c>
      <c r="D701">
        <v>18.100000000000001</v>
      </c>
      <c r="E701">
        <v>1.5</v>
      </c>
      <c r="F701">
        <v>8.9</v>
      </c>
      <c r="G701">
        <v>1.7</v>
      </c>
      <c r="H701" s="2">
        <v>71570</v>
      </c>
      <c r="I701" t="s">
        <v>28</v>
      </c>
      <c r="J701">
        <v>1</v>
      </c>
      <c r="K701" t="s">
        <v>16</v>
      </c>
      <c r="L701">
        <v>4</v>
      </c>
      <c r="M701" t="s">
        <v>16</v>
      </c>
      <c r="N701">
        <v>6</v>
      </c>
    </row>
    <row r="702" spans="1:14" x14ac:dyDescent="0.3">
      <c r="A702" t="s">
        <v>731</v>
      </c>
      <c r="B702" t="str">
        <f>"21-1029"</f>
        <v>21-1029</v>
      </c>
      <c r="C702">
        <v>71.400000000000006</v>
      </c>
      <c r="D702">
        <v>75.5</v>
      </c>
      <c r="E702">
        <v>4.0999999999999996</v>
      </c>
      <c r="F702">
        <v>5.8</v>
      </c>
      <c r="G702">
        <v>7.1</v>
      </c>
      <c r="H702" s="2">
        <v>64210</v>
      </c>
      <c r="I702" t="s">
        <v>15</v>
      </c>
      <c r="J702">
        <v>3</v>
      </c>
      <c r="K702" t="s">
        <v>16</v>
      </c>
      <c r="L702">
        <v>4</v>
      </c>
      <c r="M702" t="s">
        <v>16</v>
      </c>
      <c r="N702">
        <v>6</v>
      </c>
    </row>
    <row r="703" spans="1:14" x14ac:dyDescent="0.3">
      <c r="A703" t="s">
        <v>732</v>
      </c>
      <c r="B703" t="str">
        <f>"19-3041"</f>
        <v>19-3041</v>
      </c>
      <c r="C703">
        <v>3</v>
      </c>
      <c r="D703">
        <v>3.1</v>
      </c>
      <c r="E703">
        <v>0.1</v>
      </c>
      <c r="F703">
        <v>4.8</v>
      </c>
      <c r="G703">
        <v>0.3</v>
      </c>
      <c r="H703" s="2">
        <v>86110</v>
      </c>
      <c r="I703" t="s">
        <v>23</v>
      </c>
      <c r="J703">
        <v>2</v>
      </c>
      <c r="K703" t="s">
        <v>16</v>
      </c>
      <c r="L703">
        <v>4</v>
      </c>
      <c r="M703" t="s">
        <v>16</v>
      </c>
      <c r="N703">
        <v>6</v>
      </c>
    </row>
    <row r="704" spans="1:14" x14ac:dyDescent="0.3">
      <c r="A704" t="s">
        <v>733</v>
      </c>
      <c r="B704" t="str">
        <f>"25-1067"</f>
        <v>25-1067</v>
      </c>
      <c r="C704">
        <v>15.9</v>
      </c>
      <c r="D704">
        <v>17.100000000000001</v>
      </c>
      <c r="E704">
        <v>1.2</v>
      </c>
      <c r="F704">
        <v>7.6</v>
      </c>
      <c r="G704">
        <v>1.6</v>
      </c>
      <c r="H704" s="2">
        <v>75610</v>
      </c>
      <c r="I704" t="s">
        <v>28</v>
      </c>
      <c r="J704">
        <v>1</v>
      </c>
      <c r="K704" t="s">
        <v>16</v>
      </c>
      <c r="L704">
        <v>4</v>
      </c>
      <c r="M704" t="s">
        <v>16</v>
      </c>
      <c r="N704">
        <v>6</v>
      </c>
    </row>
    <row r="705" spans="1:14" x14ac:dyDescent="0.3">
      <c r="A705" t="s">
        <v>734</v>
      </c>
      <c r="B705" t="str">
        <f>"15-1256"</f>
        <v>15-1256</v>
      </c>
      <c r="C705" s="1">
        <v>1847.9</v>
      </c>
      <c r="D705" s="1">
        <v>2257.4</v>
      </c>
      <c r="E705">
        <v>409.5</v>
      </c>
      <c r="F705">
        <v>22.2</v>
      </c>
      <c r="G705">
        <v>189.2</v>
      </c>
      <c r="H705" s="2">
        <v>110140</v>
      </c>
      <c r="I705" t="s">
        <v>15</v>
      </c>
      <c r="J705">
        <v>3</v>
      </c>
      <c r="K705" t="s">
        <v>16</v>
      </c>
      <c r="L705">
        <v>4</v>
      </c>
      <c r="M705" t="s">
        <v>16</v>
      </c>
      <c r="N705">
        <v>6</v>
      </c>
    </row>
    <row r="706" spans="1:14" x14ac:dyDescent="0.3">
      <c r="A706" t="s">
        <v>735</v>
      </c>
      <c r="B706" t="str">
        <f>"19-1013"</f>
        <v>19-1013</v>
      </c>
      <c r="C706">
        <v>18.8</v>
      </c>
      <c r="D706">
        <v>20.7</v>
      </c>
      <c r="E706">
        <v>1.9</v>
      </c>
      <c r="F706">
        <v>10</v>
      </c>
      <c r="G706">
        <v>2.2999999999999998</v>
      </c>
      <c r="H706" s="2">
        <v>66120</v>
      </c>
      <c r="I706" t="s">
        <v>15</v>
      </c>
      <c r="J706">
        <v>3</v>
      </c>
      <c r="K706" t="s">
        <v>16</v>
      </c>
      <c r="L706">
        <v>4</v>
      </c>
      <c r="M706" t="s">
        <v>16</v>
      </c>
      <c r="N706">
        <v>6</v>
      </c>
    </row>
    <row r="707" spans="1:14" x14ac:dyDescent="0.3">
      <c r="A707" t="s">
        <v>736</v>
      </c>
      <c r="B707" t="str">
        <f>"47-2231"</f>
        <v>47-2231</v>
      </c>
      <c r="C707">
        <v>11.8</v>
      </c>
      <c r="D707">
        <v>17.899999999999999</v>
      </c>
      <c r="E707">
        <v>6.1</v>
      </c>
      <c r="F707">
        <v>52.1</v>
      </c>
      <c r="G707">
        <v>2.2999999999999998</v>
      </c>
      <c r="H707" s="2">
        <v>46470</v>
      </c>
      <c r="I707" t="s">
        <v>25</v>
      </c>
      <c r="J707">
        <v>7</v>
      </c>
      <c r="K707" t="s">
        <v>16</v>
      </c>
      <c r="L707">
        <v>4</v>
      </c>
      <c r="M707" t="s">
        <v>26</v>
      </c>
      <c r="N707">
        <v>4</v>
      </c>
    </row>
    <row r="708" spans="1:14" x14ac:dyDescent="0.3">
      <c r="A708" t="s">
        <v>737</v>
      </c>
      <c r="B708" t="str">
        <f>"27-4014"</f>
        <v>27-4014</v>
      </c>
      <c r="C708">
        <v>13.1</v>
      </c>
      <c r="D708">
        <v>15.4</v>
      </c>
      <c r="E708">
        <v>2.2999999999999998</v>
      </c>
      <c r="F708">
        <v>17.399999999999999</v>
      </c>
      <c r="G708">
        <v>1.6</v>
      </c>
      <c r="H708" s="2">
        <v>53520</v>
      </c>
      <c r="I708" t="s">
        <v>50</v>
      </c>
      <c r="J708">
        <v>5</v>
      </c>
      <c r="K708" t="s">
        <v>16</v>
      </c>
      <c r="L708">
        <v>4</v>
      </c>
      <c r="M708" t="s">
        <v>30</v>
      </c>
      <c r="N708">
        <v>5</v>
      </c>
    </row>
    <row r="709" spans="1:14" x14ac:dyDescent="0.3">
      <c r="A709" t="s">
        <v>738</v>
      </c>
      <c r="B709" t="str">
        <f>"25-2059"</f>
        <v>25-2059</v>
      </c>
      <c r="C709">
        <v>34.299999999999997</v>
      </c>
      <c r="D709">
        <v>37.9</v>
      </c>
      <c r="E709">
        <v>3.6</v>
      </c>
      <c r="F709">
        <v>10.5</v>
      </c>
      <c r="G709">
        <v>3</v>
      </c>
      <c r="H709" s="2">
        <v>62820</v>
      </c>
      <c r="I709" t="s">
        <v>15</v>
      </c>
      <c r="J709">
        <v>3</v>
      </c>
      <c r="K709" t="s">
        <v>16</v>
      </c>
      <c r="L709">
        <v>4</v>
      </c>
      <c r="M709" t="s">
        <v>16</v>
      </c>
      <c r="N709">
        <v>6</v>
      </c>
    </row>
    <row r="710" spans="1:14" x14ac:dyDescent="0.3">
      <c r="A710" t="s">
        <v>739</v>
      </c>
      <c r="B710" t="str">
        <f>"25-2052"</f>
        <v>25-2052</v>
      </c>
      <c r="C710">
        <v>188.6</v>
      </c>
      <c r="D710">
        <v>203.4</v>
      </c>
      <c r="E710">
        <v>14.8</v>
      </c>
      <c r="F710">
        <v>7.8</v>
      </c>
      <c r="G710">
        <v>15.7</v>
      </c>
      <c r="H710" s="2">
        <v>60620</v>
      </c>
      <c r="I710" t="s">
        <v>15</v>
      </c>
      <c r="J710">
        <v>3</v>
      </c>
      <c r="K710" t="s">
        <v>16</v>
      </c>
      <c r="L710">
        <v>4</v>
      </c>
      <c r="M710" t="s">
        <v>16</v>
      </c>
      <c r="N710">
        <v>6</v>
      </c>
    </row>
    <row r="711" spans="1:14" x14ac:dyDescent="0.3">
      <c r="A711" t="s">
        <v>740</v>
      </c>
      <c r="B711" t="str">
        <f>"25-2057"</f>
        <v>25-2057</v>
      </c>
      <c r="C711">
        <v>78.5</v>
      </c>
      <c r="D711">
        <v>84.4</v>
      </c>
      <c r="E711">
        <v>5.9</v>
      </c>
      <c r="F711">
        <v>7.5</v>
      </c>
      <c r="G711">
        <v>6.5</v>
      </c>
      <c r="H711" s="2">
        <v>61820</v>
      </c>
      <c r="I711" t="s">
        <v>15</v>
      </c>
      <c r="J711">
        <v>3</v>
      </c>
      <c r="K711" t="s">
        <v>16</v>
      </c>
      <c r="L711">
        <v>4</v>
      </c>
      <c r="M711" t="s">
        <v>16</v>
      </c>
      <c r="N711">
        <v>6</v>
      </c>
    </row>
    <row r="712" spans="1:14" x14ac:dyDescent="0.3">
      <c r="A712" t="s">
        <v>741</v>
      </c>
      <c r="B712" t="str">
        <f>"25-2051"</f>
        <v>25-2051</v>
      </c>
      <c r="C712">
        <v>20.8</v>
      </c>
      <c r="D712">
        <v>23.4</v>
      </c>
      <c r="E712">
        <v>2.5</v>
      </c>
      <c r="F712">
        <v>12.1</v>
      </c>
      <c r="G712">
        <v>1.8</v>
      </c>
      <c r="H712" s="2">
        <v>61400</v>
      </c>
      <c r="I712" t="s">
        <v>15</v>
      </c>
      <c r="J712">
        <v>3</v>
      </c>
      <c r="K712" t="s">
        <v>16</v>
      </c>
      <c r="L712">
        <v>4</v>
      </c>
      <c r="M712" t="s">
        <v>16</v>
      </c>
      <c r="N712">
        <v>6</v>
      </c>
    </row>
    <row r="713" spans="1:14" x14ac:dyDescent="0.3">
      <c r="A713" t="s">
        <v>742</v>
      </c>
      <c r="B713" t="str">
        <f>"25-2058"</f>
        <v>25-2058</v>
      </c>
      <c r="C713">
        <v>140.9</v>
      </c>
      <c r="D713">
        <v>151.80000000000001</v>
      </c>
      <c r="E713">
        <v>10.8</v>
      </c>
      <c r="F713">
        <v>7.7</v>
      </c>
      <c r="G713">
        <v>11.7</v>
      </c>
      <c r="H713" s="2">
        <v>62320</v>
      </c>
      <c r="I713" t="s">
        <v>15</v>
      </c>
      <c r="J713">
        <v>3</v>
      </c>
      <c r="K713" t="s">
        <v>16</v>
      </c>
      <c r="L713">
        <v>4</v>
      </c>
      <c r="M713" t="s">
        <v>16</v>
      </c>
      <c r="N713">
        <v>6</v>
      </c>
    </row>
    <row r="714" spans="1:14" x14ac:dyDescent="0.3">
      <c r="A714" t="s">
        <v>743</v>
      </c>
      <c r="B714" t="str">
        <f>"27-1014"</f>
        <v>27-1014</v>
      </c>
      <c r="C714">
        <v>62.4</v>
      </c>
      <c r="D714">
        <v>72.3</v>
      </c>
      <c r="E714">
        <v>9.9</v>
      </c>
      <c r="F714">
        <v>15.8</v>
      </c>
      <c r="G714">
        <v>7.8</v>
      </c>
      <c r="H714" s="2">
        <v>77700</v>
      </c>
      <c r="I714" t="s">
        <v>15</v>
      </c>
      <c r="J714">
        <v>3</v>
      </c>
      <c r="K714" t="s">
        <v>16</v>
      </c>
      <c r="L714">
        <v>4</v>
      </c>
      <c r="M714" t="s">
        <v>16</v>
      </c>
      <c r="N714">
        <v>6</v>
      </c>
    </row>
    <row r="715" spans="1:14" x14ac:dyDescent="0.3">
      <c r="A715" t="s">
        <v>744</v>
      </c>
      <c r="B715" t="str">
        <f>"29-1127"</f>
        <v>29-1127</v>
      </c>
      <c r="C715">
        <v>158.1</v>
      </c>
      <c r="D715">
        <v>203.5</v>
      </c>
      <c r="E715">
        <v>45.4</v>
      </c>
      <c r="F715">
        <v>28.7</v>
      </c>
      <c r="G715">
        <v>15.2</v>
      </c>
      <c r="H715" s="2">
        <v>80480</v>
      </c>
      <c r="I715" t="s">
        <v>23</v>
      </c>
      <c r="J715">
        <v>2</v>
      </c>
      <c r="K715" t="s">
        <v>16</v>
      </c>
      <c r="L715">
        <v>4</v>
      </c>
      <c r="M715" t="s">
        <v>58</v>
      </c>
      <c r="N715">
        <v>1</v>
      </c>
    </row>
    <row r="716" spans="1:14" x14ac:dyDescent="0.3">
      <c r="A716" t="s">
        <v>745</v>
      </c>
      <c r="B716" t="str">
        <f>"51-8021"</f>
        <v>51-8021</v>
      </c>
      <c r="C716">
        <v>30.7</v>
      </c>
      <c r="D716">
        <v>32.5</v>
      </c>
      <c r="E716">
        <v>1.8</v>
      </c>
      <c r="F716">
        <v>5.8</v>
      </c>
      <c r="G716">
        <v>4</v>
      </c>
      <c r="H716" s="2">
        <v>64680</v>
      </c>
      <c r="I716" t="s">
        <v>25</v>
      </c>
      <c r="J716">
        <v>7</v>
      </c>
      <c r="K716" t="s">
        <v>16</v>
      </c>
      <c r="L716">
        <v>4</v>
      </c>
      <c r="M716" t="s">
        <v>20</v>
      </c>
      <c r="N716">
        <v>3</v>
      </c>
    </row>
    <row r="717" spans="1:14" x14ac:dyDescent="0.3">
      <c r="A717" t="s">
        <v>746</v>
      </c>
      <c r="B717" t="str">
        <f>"43-9111"</f>
        <v>43-9111</v>
      </c>
      <c r="C717">
        <v>10.4</v>
      </c>
      <c r="D717">
        <v>11.3</v>
      </c>
      <c r="E717">
        <v>0.8</v>
      </c>
      <c r="F717">
        <v>7.9</v>
      </c>
      <c r="G717">
        <v>1.3</v>
      </c>
      <c r="H717" s="2">
        <v>50360</v>
      </c>
      <c r="I717" t="s">
        <v>15</v>
      </c>
      <c r="J717">
        <v>3</v>
      </c>
      <c r="K717" t="s">
        <v>16</v>
      </c>
      <c r="L717">
        <v>4</v>
      </c>
      <c r="M717" t="s">
        <v>16</v>
      </c>
      <c r="N717">
        <v>6</v>
      </c>
    </row>
    <row r="718" spans="1:14" x14ac:dyDescent="0.3">
      <c r="A718" t="s">
        <v>747</v>
      </c>
      <c r="B718" t="str">
        <f>"15-2041"</f>
        <v>15-2041</v>
      </c>
      <c r="C718">
        <v>42</v>
      </c>
      <c r="D718">
        <v>56.9</v>
      </c>
      <c r="E718">
        <v>14.9</v>
      </c>
      <c r="F718">
        <v>35.4</v>
      </c>
      <c r="G718">
        <v>5</v>
      </c>
      <c r="H718" s="2">
        <v>92270</v>
      </c>
      <c r="I718" t="s">
        <v>23</v>
      </c>
      <c r="J718">
        <v>2</v>
      </c>
      <c r="K718" t="s">
        <v>16</v>
      </c>
      <c r="L718">
        <v>4</v>
      </c>
      <c r="M718" t="s">
        <v>16</v>
      </c>
      <c r="N718">
        <v>6</v>
      </c>
    </row>
    <row r="719" spans="1:14" x14ac:dyDescent="0.3">
      <c r="A719" t="s">
        <v>748</v>
      </c>
      <c r="B719" t="str">
        <f>"53-7065"</f>
        <v>53-7065</v>
      </c>
      <c r="C719" s="1">
        <v>2223</v>
      </c>
      <c r="D719" s="1">
        <v>2319.6999999999998</v>
      </c>
      <c r="E719">
        <v>96.7</v>
      </c>
      <c r="F719">
        <v>4.4000000000000004</v>
      </c>
      <c r="G719">
        <v>360.5</v>
      </c>
      <c r="H719" s="2">
        <v>29190</v>
      </c>
      <c r="I719" t="s">
        <v>25</v>
      </c>
      <c r="J719">
        <v>7</v>
      </c>
      <c r="K719" t="s">
        <v>16</v>
      </c>
      <c r="L719">
        <v>4</v>
      </c>
      <c r="M719" t="s">
        <v>30</v>
      </c>
      <c r="N719">
        <v>5</v>
      </c>
    </row>
    <row r="720" spans="1:14" x14ac:dyDescent="0.3">
      <c r="A720" t="s">
        <v>749</v>
      </c>
      <c r="B720" t="str">
        <f>"47-2022"</f>
        <v>47-2022</v>
      </c>
      <c r="C720">
        <v>13.9</v>
      </c>
      <c r="D720">
        <v>13.7</v>
      </c>
      <c r="E720">
        <v>-0.2</v>
      </c>
      <c r="F720">
        <v>-1.4</v>
      </c>
      <c r="G720">
        <v>1.3</v>
      </c>
      <c r="H720" s="2">
        <v>43650</v>
      </c>
      <c r="I720" t="s">
        <v>25</v>
      </c>
      <c r="J720">
        <v>7</v>
      </c>
      <c r="K720" t="s">
        <v>16</v>
      </c>
      <c r="L720">
        <v>4</v>
      </c>
      <c r="M720" t="s">
        <v>103</v>
      </c>
      <c r="N720">
        <v>2</v>
      </c>
    </row>
    <row r="721" spans="1:14" x14ac:dyDescent="0.3">
      <c r="A721" t="s">
        <v>750</v>
      </c>
      <c r="B721" t="str">
        <f>"47-2221"</f>
        <v>47-2221</v>
      </c>
      <c r="C721">
        <v>71</v>
      </c>
      <c r="D721">
        <v>75.3</v>
      </c>
      <c r="E721">
        <v>4.2</v>
      </c>
      <c r="F721">
        <v>5.9</v>
      </c>
      <c r="G721">
        <v>7.9</v>
      </c>
      <c r="H721" s="2">
        <v>54830</v>
      </c>
      <c r="I721" t="s">
        <v>25</v>
      </c>
      <c r="J721">
        <v>7</v>
      </c>
      <c r="K721" t="s">
        <v>16</v>
      </c>
      <c r="L721">
        <v>4</v>
      </c>
      <c r="M721" t="s">
        <v>103</v>
      </c>
      <c r="N721">
        <v>2</v>
      </c>
    </row>
    <row r="722" spans="1:14" x14ac:dyDescent="0.3">
      <c r="A722" t="s">
        <v>751</v>
      </c>
      <c r="B722" t="str">
        <f>"51-2041"</f>
        <v>51-2041</v>
      </c>
      <c r="C722">
        <v>70</v>
      </c>
      <c r="D722">
        <v>62</v>
      </c>
      <c r="E722">
        <v>-8</v>
      </c>
      <c r="F722">
        <v>-11.4</v>
      </c>
      <c r="G722">
        <v>5.9</v>
      </c>
      <c r="H722" s="2">
        <v>41780</v>
      </c>
      <c r="I722" t="s">
        <v>25</v>
      </c>
      <c r="J722">
        <v>7</v>
      </c>
      <c r="K722" t="s">
        <v>16</v>
      </c>
      <c r="L722">
        <v>4</v>
      </c>
      <c r="M722" t="s">
        <v>26</v>
      </c>
      <c r="N722">
        <v>4</v>
      </c>
    </row>
    <row r="723" spans="1:14" x14ac:dyDescent="0.3">
      <c r="A723" t="s">
        <v>752</v>
      </c>
      <c r="B723" t="str">
        <f>"21-1018"</f>
        <v>21-1018</v>
      </c>
      <c r="C723">
        <v>327.5</v>
      </c>
      <c r="D723">
        <v>402.6</v>
      </c>
      <c r="E723">
        <v>75.099999999999994</v>
      </c>
      <c r="F723">
        <v>22.9</v>
      </c>
      <c r="G723">
        <v>41</v>
      </c>
      <c r="H723" s="2">
        <v>47660</v>
      </c>
      <c r="I723" t="s">
        <v>15</v>
      </c>
      <c r="J723">
        <v>3</v>
      </c>
      <c r="K723" t="s">
        <v>16</v>
      </c>
      <c r="L723">
        <v>4</v>
      </c>
      <c r="M723" t="s">
        <v>16</v>
      </c>
      <c r="N723">
        <v>6</v>
      </c>
    </row>
    <row r="724" spans="1:14" x14ac:dyDescent="0.3">
      <c r="A724" t="s">
        <v>753</v>
      </c>
      <c r="B724" t="str">
        <f>"25-3031"</f>
        <v>25-3031</v>
      </c>
      <c r="C724">
        <v>536.9</v>
      </c>
      <c r="D724">
        <v>604.6</v>
      </c>
      <c r="E724">
        <v>67.8</v>
      </c>
      <c r="F724">
        <v>12.6</v>
      </c>
      <c r="G724">
        <v>71.400000000000006</v>
      </c>
      <c r="H724" s="2">
        <v>29370</v>
      </c>
      <c r="I724" t="s">
        <v>15</v>
      </c>
      <c r="J724">
        <v>3</v>
      </c>
      <c r="K724" t="s">
        <v>16</v>
      </c>
      <c r="L724">
        <v>4</v>
      </c>
      <c r="M724" t="s">
        <v>16</v>
      </c>
      <c r="N724">
        <v>6</v>
      </c>
    </row>
    <row r="725" spans="1:14" x14ac:dyDescent="0.3">
      <c r="A725" t="s">
        <v>754</v>
      </c>
      <c r="B725" t="str">
        <f>"53-4041"</f>
        <v>53-4041</v>
      </c>
      <c r="C725">
        <v>11</v>
      </c>
      <c r="D725">
        <v>12.1</v>
      </c>
      <c r="E725">
        <v>1.1000000000000001</v>
      </c>
      <c r="F725">
        <v>10.199999999999999</v>
      </c>
      <c r="G725">
        <v>1.1000000000000001</v>
      </c>
      <c r="H725" s="2">
        <v>69440</v>
      </c>
      <c r="I725" t="s">
        <v>25</v>
      </c>
      <c r="J725">
        <v>7</v>
      </c>
      <c r="K725" t="s">
        <v>16</v>
      </c>
      <c r="L725">
        <v>4</v>
      </c>
      <c r="M725" t="s">
        <v>26</v>
      </c>
      <c r="N725">
        <v>4</v>
      </c>
    </row>
    <row r="726" spans="1:14" x14ac:dyDescent="0.3">
      <c r="A726" t="s">
        <v>755</v>
      </c>
      <c r="B726" t="str">
        <f>"29-1248"</f>
        <v>29-1248</v>
      </c>
      <c r="C726">
        <v>41.5</v>
      </c>
      <c r="D726">
        <v>40.299999999999997</v>
      </c>
      <c r="E726">
        <v>-1.2</v>
      </c>
      <c r="F726">
        <v>-2.8</v>
      </c>
      <c r="G726">
        <v>1</v>
      </c>
      <c r="H726" s="2">
        <v>208000</v>
      </c>
      <c r="I726" t="s">
        <v>28</v>
      </c>
      <c r="J726">
        <v>1</v>
      </c>
      <c r="K726" t="s">
        <v>16</v>
      </c>
      <c r="L726">
        <v>4</v>
      </c>
      <c r="M726" t="s">
        <v>58</v>
      </c>
      <c r="N726">
        <v>1</v>
      </c>
    </row>
    <row r="727" spans="1:14" x14ac:dyDescent="0.3">
      <c r="A727" t="s">
        <v>756</v>
      </c>
      <c r="B727" t="str">
        <f>"29-2055"</f>
        <v>29-2055</v>
      </c>
      <c r="C727">
        <v>109.7</v>
      </c>
      <c r="D727">
        <v>119.2</v>
      </c>
      <c r="E727">
        <v>9.5</v>
      </c>
      <c r="F727">
        <v>8.6999999999999993</v>
      </c>
      <c r="G727">
        <v>9</v>
      </c>
      <c r="H727" s="2">
        <v>49710</v>
      </c>
      <c r="I727" t="s">
        <v>50</v>
      </c>
      <c r="J727">
        <v>5</v>
      </c>
      <c r="K727" t="s">
        <v>16</v>
      </c>
      <c r="L727">
        <v>4</v>
      </c>
      <c r="M727" t="s">
        <v>16</v>
      </c>
      <c r="N727">
        <v>6</v>
      </c>
    </row>
    <row r="728" spans="1:14" x14ac:dyDescent="0.3">
      <c r="A728" t="s">
        <v>757</v>
      </c>
      <c r="B728" t="str">
        <f>"19-3022"</f>
        <v>19-3022</v>
      </c>
      <c r="C728">
        <v>12.7</v>
      </c>
      <c r="D728">
        <v>13.2</v>
      </c>
      <c r="E728">
        <v>0.5</v>
      </c>
      <c r="F728">
        <v>4.3</v>
      </c>
      <c r="G728">
        <v>1.2</v>
      </c>
      <c r="H728" s="2">
        <v>59870</v>
      </c>
      <c r="I728" t="s">
        <v>23</v>
      </c>
      <c r="J728">
        <v>2</v>
      </c>
      <c r="K728" t="s">
        <v>16</v>
      </c>
      <c r="L728">
        <v>4</v>
      </c>
      <c r="M728" t="s">
        <v>16</v>
      </c>
      <c r="N728">
        <v>6</v>
      </c>
    </row>
    <row r="729" spans="1:14" x14ac:dyDescent="0.3">
      <c r="A729" t="s">
        <v>758</v>
      </c>
      <c r="B729" t="str">
        <f>"17-3031"</f>
        <v>17-3031</v>
      </c>
      <c r="C729">
        <v>54.8</v>
      </c>
      <c r="D729">
        <v>56.9</v>
      </c>
      <c r="E729">
        <v>2</v>
      </c>
      <c r="F729">
        <v>3.7</v>
      </c>
      <c r="G729">
        <v>7</v>
      </c>
      <c r="H729" s="2">
        <v>46200</v>
      </c>
      <c r="I729" t="s">
        <v>25</v>
      </c>
      <c r="J729">
        <v>7</v>
      </c>
      <c r="K729" t="s">
        <v>16</v>
      </c>
      <c r="L729">
        <v>4</v>
      </c>
      <c r="M729" t="s">
        <v>26</v>
      </c>
      <c r="N729">
        <v>4</v>
      </c>
    </row>
    <row r="730" spans="1:14" x14ac:dyDescent="0.3">
      <c r="A730" t="s">
        <v>759</v>
      </c>
      <c r="B730" t="str">
        <f>"17-1022"</f>
        <v>17-1022</v>
      </c>
      <c r="C730">
        <v>46</v>
      </c>
      <c r="D730">
        <v>46.7</v>
      </c>
      <c r="E730">
        <v>0.7</v>
      </c>
      <c r="F730">
        <v>1.6</v>
      </c>
      <c r="G730">
        <v>4</v>
      </c>
      <c r="H730" s="2">
        <v>65590</v>
      </c>
      <c r="I730" t="s">
        <v>15</v>
      </c>
      <c r="J730">
        <v>3</v>
      </c>
      <c r="K730" t="s">
        <v>16</v>
      </c>
      <c r="L730">
        <v>4</v>
      </c>
      <c r="M730" t="s">
        <v>58</v>
      </c>
      <c r="N730">
        <v>1</v>
      </c>
    </row>
    <row r="731" spans="1:14" x14ac:dyDescent="0.3">
      <c r="A731" t="s">
        <v>760</v>
      </c>
      <c r="B731" t="str">
        <f>"43-2011"</f>
        <v>43-2011</v>
      </c>
      <c r="C731">
        <v>59.9</v>
      </c>
      <c r="D731">
        <v>46.3</v>
      </c>
      <c r="E731">
        <v>-13.6</v>
      </c>
      <c r="F731">
        <v>-22.7</v>
      </c>
      <c r="G731">
        <v>4.5</v>
      </c>
      <c r="H731" s="2">
        <v>31430</v>
      </c>
      <c r="I731" t="s">
        <v>25</v>
      </c>
      <c r="J731">
        <v>7</v>
      </c>
      <c r="K731" t="s">
        <v>16</v>
      </c>
      <c r="L731">
        <v>4</v>
      </c>
      <c r="M731" t="s">
        <v>30</v>
      </c>
      <c r="N731">
        <v>5</v>
      </c>
    </row>
    <row r="732" spans="1:14" x14ac:dyDescent="0.3">
      <c r="A732" t="s">
        <v>761</v>
      </c>
      <c r="B732" t="str">
        <f>"51-6052"</f>
        <v>51-6052</v>
      </c>
      <c r="C732">
        <v>42</v>
      </c>
      <c r="D732">
        <v>38.9</v>
      </c>
      <c r="E732">
        <v>-3.1</v>
      </c>
      <c r="F732">
        <v>-7.4</v>
      </c>
      <c r="G732">
        <v>4.9000000000000004</v>
      </c>
      <c r="H732" s="2">
        <v>32640</v>
      </c>
      <c r="I732" t="s">
        <v>43</v>
      </c>
      <c r="J732">
        <v>8</v>
      </c>
      <c r="K732" t="s">
        <v>16</v>
      </c>
      <c r="L732">
        <v>4</v>
      </c>
      <c r="M732" t="s">
        <v>26</v>
      </c>
      <c r="N732">
        <v>4</v>
      </c>
    </row>
    <row r="733" spans="1:14" x14ac:dyDescent="0.3">
      <c r="A733" t="s">
        <v>762</v>
      </c>
      <c r="B733" t="str">
        <f>"53-7121"</f>
        <v>53-7121</v>
      </c>
      <c r="C733">
        <v>13</v>
      </c>
      <c r="D733">
        <v>13.6</v>
      </c>
      <c r="E733">
        <v>0.6</v>
      </c>
      <c r="F733">
        <v>4.7</v>
      </c>
      <c r="G733">
        <v>1.6</v>
      </c>
      <c r="H733" s="2">
        <v>45610</v>
      </c>
      <c r="I733" t="s">
        <v>43</v>
      </c>
      <c r="J733">
        <v>8</v>
      </c>
      <c r="K733" t="s">
        <v>16</v>
      </c>
      <c r="L733">
        <v>4</v>
      </c>
      <c r="M733" t="s">
        <v>30</v>
      </c>
      <c r="N733">
        <v>5</v>
      </c>
    </row>
    <row r="734" spans="1:14" x14ac:dyDescent="0.3">
      <c r="A734" t="s">
        <v>763</v>
      </c>
      <c r="B734" t="str">
        <f>"47-2082"</f>
        <v>47-2082</v>
      </c>
      <c r="C734">
        <v>19.8</v>
      </c>
      <c r="D734">
        <v>19.899999999999999</v>
      </c>
      <c r="E734">
        <v>0.1</v>
      </c>
      <c r="F734">
        <v>0.5</v>
      </c>
      <c r="G734">
        <v>1.6</v>
      </c>
      <c r="H734" s="2">
        <v>59450</v>
      </c>
      <c r="I734" t="s">
        <v>43</v>
      </c>
      <c r="J734">
        <v>8</v>
      </c>
      <c r="K734" t="s">
        <v>16</v>
      </c>
      <c r="L734">
        <v>4</v>
      </c>
      <c r="M734" t="s">
        <v>26</v>
      </c>
      <c r="N734">
        <v>4</v>
      </c>
    </row>
    <row r="735" spans="1:14" x14ac:dyDescent="0.3">
      <c r="A735" t="s">
        <v>764</v>
      </c>
      <c r="B735" t="str">
        <f>"13-2081"</f>
        <v>13-2081</v>
      </c>
      <c r="C735">
        <v>56.9</v>
      </c>
      <c r="D735">
        <v>54.8</v>
      </c>
      <c r="E735">
        <v>-2.1</v>
      </c>
      <c r="F735">
        <v>-3.7</v>
      </c>
      <c r="G735">
        <v>4.4000000000000004</v>
      </c>
      <c r="H735" s="2">
        <v>55640</v>
      </c>
      <c r="I735" t="s">
        <v>15</v>
      </c>
      <c r="J735">
        <v>3</v>
      </c>
      <c r="K735" t="s">
        <v>16</v>
      </c>
      <c r="L735">
        <v>4</v>
      </c>
      <c r="M735" t="s">
        <v>26</v>
      </c>
      <c r="N735">
        <v>4</v>
      </c>
    </row>
    <row r="736" spans="1:14" x14ac:dyDescent="0.3">
      <c r="A736" t="s">
        <v>765</v>
      </c>
      <c r="B736" t="str">
        <f>"13-2082"</f>
        <v>13-2082</v>
      </c>
      <c r="C736">
        <v>87.4</v>
      </c>
      <c r="D736">
        <v>88.8</v>
      </c>
      <c r="E736">
        <v>1.4</v>
      </c>
      <c r="F736">
        <v>1.6</v>
      </c>
      <c r="G736">
        <v>9.8000000000000007</v>
      </c>
      <c r="H736" s="2">
        <v>44300</v>
      </c>
      <c r="I736" t="s">
        <v>25</v>
      </c>
      <c r="J736">
        <v>7</v>
      </c>
      <c r="K736" t="s">
        <v>16</v>
      </c>
      <c r="L736">
        <v>4</v>
      </c>
      <c r="M736" t="s">
        <v>26</v>
      </c>
      <c r="N736">
        <v>4</v>
      </c>
    </row>
    <row r="737" spans="1:14" x14ac:dyDescent="0.3">
      <c r="A737" t="s">
        <v>766</v>
      </c>
      <c r="B737" t="str">
        <f>"25-9045"</f>
        <v>25-9045</v>
      </c>
      <c r="C737" s="1">
        <v>1306.3</v>
      </c>
      <c r="D737" s="1">
        <v>1422.3</v>
      </c>
      <c r="E737">
        <v>116</v>
      </c>
      <c r="F737">
        <v>8.9</v>
      </c>
      <c r="G737">
        <v>136.4</v>
      </c>
      <c r="H737" s="2">
        <v>28900</v>
      </c>
      <c r="I737" t="s">
        <v>19</v>
      </c>
      <c r="J737">
        <v>6</v>
      </c>
      <c r="K737" t="s">
        <v>16</v>
      </c>
      <c r="L737">
        <v>4</v>
      </c>
      <c r="M737" t="s">
        <v>16</v>
      </c>
      <c r="N737">
        <v>6</v>
      </c>
    </row>
    <row r="738" spans="1:14" x14ac:dyDescent="0.3">
      <c r="A738" t="s">
        <v>767</v>
      </c>
      <c r="B738" t="str">
        <f>"25-9044"</f>
        <v>25-9044</v>
      </c>
      <c r="C738">
        <v>165.4</v>
      </c>
      <c r="D738">
        <v>176</v>
      </c>
      <c r="E738">
        <v>10.5</v>
      </c>
      <c r="F738">
        <v>6.4</v>
      </c>
      <c r="G738">
        <v>16.7</v>
      </c>
      <c r="H738" s="2">
        <v>36250</v>
      </c>
      <c r="I738" t="s">
        <v>15</v>
      </c>
      <c r="J738">
        <v>3</v>
      </c>
      <c r="K738" t="s">
        <v>16</v>
      </c>
      <c r="L738">
        <v>4</v>
      </c>
      <c r="M738" t="s">
        <v>16</v>
      </c>
      <c r="N738">
        <v>6</v>
      </c>
    </row>
    <row r="739" spans="1:14" x14ac:dyDescent="0.3">
      <c r="A739" t="s">
        <v>768</v>
      </c>
      <c r="B739" t="str">
        <f>"27-3042"</f>
        <v>27-3042</v>
      </c>
      <c r="C739">
        <v>52.3</v>
      </c>
      <c r="D739">
        <v>58.3</v>
      </c>
      <c r="E739">
        <v>6.1</v>
      </c>
      <c r="F739">
        <v>11.6</v>
      </c>
      <c r="G739">
        <v>5.5</v>
      </c>
      <c r="H739" s="2">
        <v>74650</v>
      </c>
      <c r="I739" t="s">
        <v>15</v>
      </c>
      <c r="J739">
        <v>3</v>
      </c>
      <c r="K739" t="s">
        <v>32</v>
      </c>
      <c r="L739">
        <v>2</v>
      </c>
      <c r="M739" t="s">
        <v>30</v>
      </c>
      <c r="N739">
        <v>5</v>
      </c>
    </row>
    <row r="740" spans="1:14" x14ac:dyDescent="0.3">
      <c r="A740" t="s">
        <v>769</v>
      </c>
      <c r="B740" t="str">
        <f>"49-2022"</f>
        <v>49-2022</v>
      </c>
      <c r="C740">
        <v>195.8</v>
      </c>
      <c r="D740">
        <v>193.5</v>
      </c>
      <c r="E740">
        <v>-2.2000000000000002</v>
      </c>
      <c r="F740">
        <v>-1.1000000000000001</v>
      </c>
      <c r="G740">
        <v>21.5</v>
      </c>
      <c r="H740" s="2">
        <v>61470</v>
      </c>
      <c r="I740" t="s">
        <v>50</v>
      </c>
      <c r="J740">
        <v>5</v>
      </c>
      <c r="K740" t="s">
        <v>16</v>
      </c>
      <c r="L740">
        <v>4</v>
      </c>
      <c r="M740" t="s">
        <v>26</v>
      </c>
      <c r="N740">
        <v>4</v>
      </c>
    </row>
    <row r="741" spans="1:14" x14ac:dyDescent="0.3">
      <c r="A741" t="s">
        <v>770</v>
      </c>
      <c r="B741" t="str">
        <f>"49-9052"</f>
        <v>49-9052</v>
      </c>
      <c r="C741">
        <v>124.4</v>
      </c>
      <c r="D741">
        <v>123.6</v>
      </c>
      <c r="E741">
        <v>-0.8</v>
      </c>
      <c r="F741">
        <v>-0.7</v>
      </c>
      <c r="G741">
        <v>13.1</v>
      </c>
      <c r="H741" s="2">
        <v>58870</v>
      </c>
      <c r="I741" t="s">
        <v>25</v>
      </c>
      <c r="J741">
        <v>7</v>
      </c>
      <c r="K741" t="s">
        <v>16</v>
      </c>
      <c r="L741">
        <v>4</v>
      </c>
      <c r="M741" t="s">
        <v>20</v>
      </c>
      <c r="N741">
        <v>3</v>
      </c>
    </row>
    <row r="742" spans="1:14" x14ac:dyDescent="0.3">
      <c r="A742" t="s">
        <v>771</v>
      </c>
      <c r="B742" t="str">
        <f>"41-9041"</f>
        <v>41-9041</v>
      </c>
      <c r="C742">
        <v>119.7</v>
      </c>
      <c r="D742">
        <v>97.8</v>
      </c>
      <c r="E742">
        <v>-21.9</v>
      </c>
      <c r="F742">
        <v>-18.3</v>
      </c>
      <c r="G742">
        <v>13.9</v>
      </c>
      <c r="H742" s="2">
        <v>27920</v>
      </c>
      <c r="I742" t="s">
        <v>43</v>
      </c>
      <c r="J742">
        <v>8</v>
      </c>
      <c r="K742" t="s">
        <v>16</v>
      </c>
      <c r="L742">
        <v>4</v>
      </c>
      <c r="M742" t="s">
        <v>30</v>
      </c>
      <c r="N742">
        <v>5</v>
      </c>
    </row>
    <row r="743" spans="1:14" x14ac:dyDescent="0.3">
      <c r="A743" t="s">
        <v>772</v>
      </c>
      <c r="B743" t="str">
        <f>"43-2021"</f>
        <v>43-2021</v>
      </c>
      <c r="C743">
        <v>4.8</v>
      </c>
      <c r="D743">
        <v>3.6</v>
      </c>
      <c r="E743">
        <v>-1.2</v>
      </c>
      <c r="F743">
        <v>-25.4</v>
      </c>
      <c r="G743">
        <v>0.4</v>
      </c>
      <c r="H743" s="2">
        <v>37710</v>
      </c>
      <c r="I743" t="s">
        <v>25</v>
      </c>
      <c r="J743">
        <v>7</v>
      </c>
      <c r="K743" t="s">
        <v>16</v>
      </c>
      <c r="L743">
        <v>4</v>
      </c>
      <c r="M743" t="s">
        <v>30</v>
      </c>
      <c r="N743">
        <v>5</v>
      </c>
    </row>
    <row r="744" spans="1:14" x14ac:dyDescent="0.3">
      <c r="A744" t="s">
        <v>773</v>
      </c>
      <c r="B744" t="str">
        <f>"43-3071"</f>
        <v>43-3071</v>
      </c>
      <c r="C744">
        <v>432.5</v>
      </c>
      <c r="D744">
        <v>359.4</v>
      </c>
      <c r="E744">
        <v>-73.099999999999994</v>
      </c>
      <c r="F744">
        <v>-16.899999999999999</v>
      </c>
      <c r="G744">
        <v>33.700000000000003</v>
      </c>
      <c r="H744" s="2">
        <v>32620</v>
      </c>
      <c r="I744" t="s">
        <v>25</v>
      </c>
      <c r="J744">
        <v>7</v>
      </c>
      <c r="K744" t="s">
        <v>16</v>
      </c>
      <c r="L744">
        <v>4</v>
      </c>
      <c r="M744" t="s">
        <v>30</v>
      </c>
      <c r="N744">
        <v>5</v>
      </c>
    </row>
    <row r="745" spans="1:14" x14ac:dyDescent="0.3">
      <c r="A745" t="s">
        <v>774</v>
      </c>
      <c r="B745" t="str">
        <f>"47-2053"</f>
        <v>47-2053</v>
      </c>
      <c r="C745">
        <v>3</v>
      </c>
      <c r="D745">
        <v>2.7</v>
      </c>
      <c r="E745">
        <v>-0.3</v>
      </c>
      <c r="F745">
        <v>-8.5</v>
      </c>
      <c r="G745">
        <v>0.2</v>
      </c>
      <c r="H745" s="2">
        <v>51430</v>
      </c>
      <c r="I745" t="s">
        <v>25</v>
      </c>
      <c r="J745">
        <v>7</v>
      </c>
      <c r="K745" t="s">
        <v>16</v>
      </c>
      <c r="L745">
        <v>4</v>
      </c>
      <c r="M745" t="s">
        <v>103</v>
      </c>
      <c r="N745">
        <v>2</v>
      </c>
    </row>
    <row r="746" spans="1:14" x14ac:dyDescent="0.3">
      <c r="A746" t="s">
        <v>775</v>
      </c>
      <c r="B746" t="str">
        <f>"51-6061"</f>
        <v>51-6061</v>
      </c>
      <c r="C746">
        <v>7.5</v>
      </c>
      <c r="D746">
        <v>6.5</v>
      </c>
      <c r="E746">
        <v>-1</v>
      </c>
      <c r="F746">
        <v>-13.8</v>
      </c>
      <c r="G746">
        <v>0.7</v>
      </c>
      <c r="H746" s="2">
        <v>30260</v>
      </c>
      <c r="I746" t="s">
        <v>25</v>
      </c>
      <c r="J746">
        <v>7</v>
      </c>
      <c r="K746" t="s">
        <v>16</v>
      </c>
      <c r="L746">
        <v>4</v>
      </c>
      <c r="M746" t="s">
        <v>30</v>
      </c>
      <c r="N746">
        <v>5</v>
      </c>
    </row>
    <row r="747" spans="1:14" x14ac:dyDescent="0.3">
      <c r="A747" t="s">
        <v>776</v>
      </c>
      <c r="B747" t="str">
        <f>"51-6062"</f>
        <v>51-6062</v>
      </c>
      <c r="C747">
        <v>12.9</v>
      </c>
      <c r="D747">
        <v>11.5</v>
      </c>
      <c r="E747">
        <v>-1.4</v>
      </c>
      <c r="F747">
        <v>-11.1</v>
      </c>
      <c r="G747">
        <v>1.3</v>
      </c>
      <c r="H747" s="2">
        <v>29910</v>
      </c>
      <c r="I747" t="s">
        <v>25</v>
      </c>
      <c r="J747">
        <v>7</v>
      </c>
      <c r="K747" t="s">
        <v>16</v>
      </c>
      <c r="L747">
        <v>4</v>
      </c>
      <c r="M747" t="s">
        <v>26</v>
      </c>
      <c r="N747">
        <v>4</v>
      </c>
    </row>
    <row r="748" spans="1:14" x14ac:dyDescent="0.3">
      <c r="A748" t="s">
        <v>777</v>
      </c>
      <c r="B748" t="str">
        <f>"51-6063"</f>
        <v>51-6063</v>
      </c>
      <c r="C748">
        <v>19.600000000000001</v>
      </c>
      <c r="D748">
        <v>16.7</v>
      </c>
      <c r="E748">
        <v>-2.9</v>
      </c>
      <c r="F748">
        <v>-14.8</v>
      </c>
      <c r="G748">
        <v>1.9</v>
      </c>
      <c r="H748" s="2">
        <v>31090</v>
      </c>
      <c r="I748" t="s">
        <v>25</v>
      </c>
      <c r="J748">
        <v>7</v>
      </c>
      <c r="K748" t="s">
        <v>16</v>
      </c>
      <c r="L748">
        <v>4</v>
      </c>
      <c r="M748" t="s">
        <v>30</v>
      </c>
      <c r="N748">
        <v>5</v>
      </c>
    </row>
    <row r="749" spans="1:14" x14ac:dyDescent="0.3">
      <c r="A749" t="s">
        <v>778</v>
      </c>
      <c r="B749" t="str">
        <f>"51-6064"</f>
        <v>51-6064</v>
      </c>
      <c r="C749">
        <v>26.4</v>
      </c>
      <c r="D749">
        <v>23.4</v>
      </c>
      <c r="E749">
        <v>-3</v>
      </c>
      <c r="F749">
        <v>-11.5</v>
      </c>
      <c r="G749">
        <v>2.6</v>
      </c>
      <c r="H749" s="2">
        <v>30890</v>
      </c>
      <c r="I749" t="s">
        <v>25</v>
      </c>
      <c r="J749">
        <v>7</v>
      </c>
      <c r="K749" t="s">
        <v>16</v>
      </c>
      <c r="L749">
        <v>4</v>
      </c>
      <c r="M749" t="s">
        <v>26</v>
      </c>
      <c r="N749">
        <v>4</v>
      </c>
    </row>
    <row r="750" spans="1:14" x14ac:dyDescent="0.3">
      <c r="A750" t="s">
        <v>779</v>
      </c>
      <c r="B750" t="str">
        <f>"51-6099"</f>
        <v>51-6099</v>
      </c>
      <c r="C750">
        <v>16.7</v>
      </c>
      <c r="D750">
        <v>15.6</v>
      </c>
      <c r="E750">
        <v>-1.1000000000000001</v>
      </c>
      <c r="F750">
        <v>-6.4</v>
      </c>
      <c r="G750">
        <v>1.8</v>
      </c>
      <c r="H750" s="2">
        <v>28650</v>
      </c>
      <c r="I750" t="s">
        <v>25</v>
      </c>
      <c r="J750">
        <v>7</v>
      </c>
      <c r="K750" t="s">
        <v>16</v>
      </c>
      <c r="L750">
        <v>4</v>
      </c>
      <c r="M750" t="s">
        <v>30</v>
      </c>
      <c r="N750">
        <v>5</v>
      </c>
    </row>
    <row r="751" spans="1:14" x14ac:dyDescent="0.3">
      <c r="A751" t="s">
        <v>780</v>
      </c>
      <c r="B751" t="str">
        <f>"29-1129"</f>
        <v>29-1129</v>
      </c>
      <c r="C751">
        <v>28.1</v>
      </c>
      <c r="D751">
        <v>32.299999999999997</v>
      </c>
      <c r="E751">
        <v>4.2</v>
      </c>
      <c r="F751">
        <v>14.8</v>
      </c>
      <c r="G751">
        <v>2.4</v>
      </c>
      <c r="H751" s="2">
        <v>57310</v>
      </c>
      <c r="I751" t="s">
        <v>15</v>
      </c>
      <c r="J751">
        <v>3</v>
      </c>
      <c r="K751" t="s">
        <v>16</v>
      </c>
      <c r="L751">
        <v>4</v>
      </c>
      <c r="M751" t="s">
        <v>16</v>
      </c>
      <c r="N751">
        <v>6</v>
      </c>
    </row>
    <row r="752" spans="1:14" x14ac:dyDescent="0.3">
      <c r="A752" t="s">
        <v>781</v>
      </c>
      <c r="B752" t="str">
        <f>"47-2044"</f>
        <v>47-2044</v>
      </c>
      <c r="C752">
        <v>54.1</v>
      </c>
      <c r="D752">
        <v>60.3</v>
      </c>
      <c r="E752">
        <v>6.2</v>
      </c>
      <c r="F752">
        <v>11.5</v>
      </c>
      <c r="G752">
        <v>5.4</v>
      </c>
      <c r="H752" s="2">
        <v>44220</v>
      </c>
      <c r="I752" t="s">
        <v>43</v>
      </c>
      <c r="J752">
        <v>8</v>
      </c>
      <c r="K752" t="s">
        <v>16</v>
      </c>
      <c r="L752">
        <v>4</v>
      </c>
      <c r="M752" t="s">
        <v>20</v>
      </c>
      <c r="N752">
        <v>3</v>
      </c>
    </row>
    <row r="753" spans="1:14" x14ac:dyDescent="0.3">
      <c r="A753" t="s">
        <v>782</v>
      </c>
      <c r="B753" t="str">
        <f>"51-2061"</f>
        <v>51-2061</v>
      </c>
      <c r="C753">
        <v>1</v>
      </c>
      <c r="D753">
        <v>0.8</v>
      </c>
      <c r="E753">
        <v>-0.2</v>
      </c>
      <c r="F753">
        <v>-17.8</v>
      </c>
      <c r="G753">
        <v>0.1</v>
      </c>
      <c r="H753" s="2">
        <v>36170</v>
      </c>
      <c r="I753" t="s">
        <v>25</v>
      </c>
      <c r="J753">
        <v>7</v>
      </c>
      <c r="K753" t="s">
        <v>16</v>
      </c>
      <c r="L753">
        <v>4</v>
      </c>
      <c r="M753" t="s">
        <v>26</v>
      </c>
      <c r="N753">
        <v>4</v>
      </c>
    </row>
    <row r="754" spans="1:14" x14ac:dyDescent="0.3">
      <c r="A754" t="s">
        <v>783</v>
      </c>
      <c r="B754" t="str">
        <f>"51-9197"</f>
        <v>51-9197</v>
      </c>
      <c r="C754">
        <v>20.6</v>
      </c>
      <c r="D754">
        <v>20.5</v>
      </c>
      <c r="E754">
        <v>-0.2</v>
      </c>
      <c r="F754">
        <v>-0.8</v>
      </c>
      <c r="G754">
        <v>2</v>
      </c>
      <c r="H754" s="2">
        <v>46270</v>
      </c>
      <c r="I754" t="s">
        <v>25</v>
      </c>
      <c r="J754">
        <v>7</v>
      </c>
      <c r="K754" t="s">
        <v>16</v>
      </c>
      <c r="L754">
        <v>4</v>
      </c>
      <c r="M754" t="s">
        <v>26</v>
      </c>
      <c r="N754">
        <v>4</v>
      </c>
    </row>
    <row r="755" spans="1:14" x14ac:dyDescent="0.3">
      <c r="A755" t="s">
        <v>784</v>
      </c>
      <c r="B755" t="str">
        <f>"49-3093"</f>
        <v>49-3093</v>
      </c>
      <c r="C755">
        <v>102.7</v>
      </c>
      <c r="D755">
        <v>104.6</v>
      </c>
      <c r="E755">
        <v>1.9</v>
      </c>
      <c r="F755">
        <v>1.8</v>
      </c>
      <c r="G755">
        <v>12</v>
      </c>
      <c r="H755" s="2">
        <v>30060</v>
      </c>
      <c r="I755" t="s">
        <v>25</v>
      </c>
      <c r="J755">
        <v>7</v>
      </c>
      <c r="K755" t="s">
        <v>16</v>
      </c>
      <c r="L755">
        <v>4</v>
      </c>
      <c r="M755" t="s">
        <v>30</v>
      </c>
      <c r="N755">
        <v>5</v>
      </c>
    </row>
    <row r="756" spans="1:14" x14ac:dyDescent="0.3">
      <c r="A756" t="s">
        <v>785</v>
      </c>
      <c r="B756" t="str">
        <f>"23-2093"</f>
        <v>23-2093</v>
      </c>
      <c r="C756">
        <v>62.2</v>
      </c>
      <c r="D756">
        <v>63.3</v>
      </c>
      <c r="E756">
        <v>1.1000000000000001</v>
      </c>
      <c r="F756">
        <v>1.7</v>
      </c>
      <c r="G756">
        <v>6.1</v>
      </c>
      <c r="H756" s="2">
        <v>48820</v>
      </c>
      <c r="I756" t="s">
        <v>25</v>
      </c>
      <c r="J756">
        <v>7</v>
      </c>
      <c r="K756" t="s">
        <v>16</v>
      </c>
      <c r="L756">
        <v>4</v>
      </c>
      <c r="M756" t="s">
        <v>26</v>
      </c>
      <c r="N756">
        <v>4</v>
      </c>
    </row>
    <row r="757" spans="1:14" x14ac:dyDescent="0.3">
      <c r="A757" t="s">
        <v>786</v>
      </c>
      <c r="B757" t="str">
        <f>"51-4111"</f>
        <v>51-4111</v>
      </c>
      <c r="C757">
        <v>62.3</v>
      </c>
      <c r="D757">
        <v>63.3</v>
      </c>
      <c r="E757">
        <v>0.9</v>
      </c>
      <c r="F757">
        <v>1.5</v>
      </c>
      <c r="G757">
        <v>6.4</v>
      </c>
      <c r="H757" s="2">
        <v>54760</v>
      </c>
      <c r="I757" t="s">
        <v>50</v>
      </c>
      <c r="J757">
        <v>5</v>
      </c>
      <c r="K757" t="s">
        <v>16</v>
      </c>
      <c r="L757">
        <v>4</v>
      </c>
      <c r="M757" t="s">
        <v>20</v>
      </c>
      <c r="N757">
        <v>3</v>
      </c>
    </row>
    <row r="758" spans="1:14" x14ac:dyDescent="0.3">
      <c r="A758" t="s">
        <v>787</v>
      </c>
      <c r="B758" t="str">
        <f>"51-4194"</f>
        <v>51-4194</v>
      </c>
      <c r="C758">
        <v>6.2</v>
      </c>
      <c r="D758">
        <v>6.1</v>
      </c>
      <c r="E758">
        <v>-0.1</v>
      </c>
      <c r="F758">
        <v>-2.4</v>
      </c>
      <c r="G758">
        <v>0.6</v>
      </c>
      <c r="H758" s="2">
        <v>41060</v>
      </c>
      <c r="I758" t="s">
        <v>25</v>
      </c>
      <c r="J758">
        <v>7</v>
      </c>
      <c r="K758" t="s">
        <v>16</v>
      </c>
      <c r="L758">
        <v>4</v>
      </c>
      <c r="M758" t="s">
        <v>26</v>
      </c>
      <c r="N758">
        <v>4</v>
      </c>
    </row>
    <row r="759" spans="1:14" x14ac:dyDescent="0.3">
      <c r="A759" t="s">
        <v>788</v>
      </c>
      <c r="B759" t="str">
        <f>"39-7010"</f>
        <v>39-7010</v>
      </c>
      <c r="C759">
        <v>44</v>
      </c>
      <c r="D759">
        <v>56.8</v>
      </c>
      <c r="E759">
        <v>12.8</v>
      </c>
      <c r="F759">
        <v>29.1</v>
      </c>
      <c r="G759">
        <v>9.1999999999999993</v>
      </c>
      <c r="H759" s="2">
        <v>29460</v>
      </c>
      <c r="I759" t="s">
        <v>25</v>
      </c>
      <c r="J759">
        <v>7</v>
      </c>
      <c r="K759" t="s">
        <v>16</v>
      </c>
      <c r="L759">
        <v>4</v>
      </c>
      <c r="M759" t="s">
        <v>26</v>
      </c>
      <c r="N759">
        <v>4</v>
      </c>
    </row>
    <row r="760" spans="1:14" x14ac:dyDescent="0.3">
      <c r="A760" t="s">
        <v>789</v>
      </c>
      <c r="B760" t="str">
        <f>"53-6041"</f>
        <v>53-6041</v>
      </c>
      <c r="C760">
        <v>7.6</v>
      </c>
      <c r="D760">
        <v>8.1999999999999993</v>
      </c>
      <c r="E760">
        <v>0.6</v>
      </c>
      <c r="F760">
        <v>7.8</v>
      </c>
      <c r="G760">
        <v>1.1000000000000001</v>
      </c>
      <c r="H760" s="2">
        <v>47800</v>
      </c>
      <c r="I760" t="s">
        <v>25</v>
      </c>
      <c r="J760">
        <v>7</v>
      </c>
      <c r="K760" t="s">
        <v>16</v>
      </c>
      <c r="L760">
        <v>4</v>
      </c>
      <c r="M760" t="s">
        <v>26</v>
      </c>
      <c r="N760">
        <v>4</v>
      </c>
    </row>
    <row r="761" spans="1:14" x14ac:dyDescent="0.3">
      <c r="A761" t="s">
        <v>790</v>
      </c>
      <c r="B761" t="str">
        <f>"11-3131"</f>
        <v>11-3131</v>
      </c>
      <c r="C761">
        <v>42.1</v>
      </c>
      <c r="D761">
        <v>46.6</v>
      </c>
      <c r="E761">
        <v>4.5</v>
      </c>
      <c r="F761">
        <v>10.7</v>
      </c>
      <c r="G761">
        <v>4.3</v>
      </c>
      <c r="H761" s="2">
        <v>115640</v>
      </c>
      <c r="I761" t="s">
        <v>15</v>
      </c>
      <c r="J761">
        <v>3</v>
      </c>
      <c r="K761" t="s">
        <v>29</v>
      </c>
      <c r="L761">
        <v>1</v>
      </c>
      <c r="M761" t="s">
        <v>16</v>
      </c>
      <c r="N761">
        <v>6</v>
      </c>
    </row>
    <row r="762" spans="1:14" x14ac:dyDescent="0.3">
      <c r="A762" t="s">
        <v>791</v>
      </c>
      <c r="B762" t="str">
        <f>"13-1151"</f>
        <v>13-1151</v>
      </c>
      <c r="C762">
        <v>328.7</v>
      </c>
      <c r="D762">
        <v>364.2</v>
      </c>
      <c r="E762">
        <v>35.5</v>
      </c>
      <c r="F762">
        <v>10.8</v>
      </c>
      <c r="G762">
        <v>35.200000000000003</v>
      </c>
      <c r="H762" s="2">
        <v>62700</v>
      </c>
      <c r="I762" t="s">
        <v>15</v>
      </c>
      <c r="J762">
        <v>3</v>
      </c>
      <c r="K762" t="s">
        <v>32</v>
      </c>
      <c r="L762">
        <v>2</v>
      </c>
      <c r="M762" t="s">
        <v>16</v>
      </c>
      <c r="N762">
        <v>6</v>
      </c>
    </row>
    <row r="763" spans="1:14" x14ac:dyDescent="0.3">
      <c r="A763" t="s">
        <v>792</v>
      </c>
      <c r="B763" t="str">
        <f>"33-3052"</f>
        <v>33-3052</v>
      </c>
      <c r="C763">
        <v>3.8</v>
      </c>
      <c r="D763">
        <v>4.0999999999999996</v>
      </c>
      <c r="E763">
        <v>0.3</v>
      </c>
      <c r="F763">
        <v>8.6</v>
      </c>
      <c r="G763">
        <v>0.3</v>
      </c>
      <c r="H763" s="2">
        <v>72580</v>
      </c>
      <c r="I763" t="s">
        <v>25</v>
      </c>
      <c r="J763">
        <v>7</v>
      </c>
      <c r="K763" t="s">
        <v>16</v>
      </c>
      <c r="L763">
        <v>4</v>
      </c>
      <c r="M763" t="s">
        <v>26</v>
      </c>
      <c r="N763">
        <v>4</v>
      </c>
    </row>
    <row r="764" spans="1:14" x14ac:dyDescent="0.3">
      <c r="A764" t="s">
        <v>793</v>
      </c>
      <c r="B764" t="str">
        <f>"53-6051"</f>
        <v>53-6051</v>
      </c>
      <c r="C764">
        <v>29</v>
      </c>
      <c r="D764">
        <v>30.3</v>
      </c>
      <c r="E764">
        <v>1.3</v>
      </c>
      <c r="F764">
        <v>4.5999999999999996</v>
      </c>
      <c r="G764">
        <v>3.3</v>
      </c>
      <c r="H764" s="2">
        <v>78400</v>
      </c>
      <c r="I764" t="s">
        <v>25</v>
      </c>
      <c r="J764">
        <v>7</v>
      </c>
      <c r="K764" t="s">
        <v>16</v>
      </c>
      <c r="L764">
        <v>4</v>
      </c>
      <c r="M764" t="s">
        <v>26</v>
      </c>
      <c r="N764">
        <v>4</v>
      </c>
    </row>
    <row r="765" spans="1:14" x14ac:dyDescent="0.3">
      <c r="A765" t="s">
        <v>794</v>
      </c>
      <c r="B765" t="str">
        <f>"33-9093"</f>
        <v>33-9093</v>
      </c>
      <c r="C765">
        <v>51.8</v>
      </c>
      <c r="D765">
        <v>51.9</v>
      </c>
      <c r="E765">
        <v>0.1</v>
      </c>
      <c r="F765">
        <v>0.2</v>
      </c>
      <c r="G765">
        <v>4.5</v>
      </c>
      <c r="H765" s="2">
        <v>44300</v>
      </c>
      <c r="I765" t="s">
        <v>25</v>
      </c>
      <c r="J765">
        <v>7</v>
      </c>
      <c r="K765" t="s">
        <v>16</v>
      </c>
      <c r="L765">
        <v>4</v>
      </c>
      <c r="M765" t="s">
        <v>30</v>
      </c>
      <c r="N765">
        <v>5</v>
      </c>
    </row>
    <row r="766" spans="1:14" x14ac:dyDescent="0.3">
      <c r="A766" t="s">
        <v>795</v>
      </c>
      <c r="B766" t="str">
        <f>"11-3071"</f>
        <v>11-3071</v>
      </c>
      <c r="C766">
        <v>137.6</v>
      </c>
      <c r="D766">
        <v>149</v>
      </c>
      <c r="E766">
        <v>11.4</v>
      </c>
      <c r="F766">
        <v>8.3000000000000007</v>
      </c>
      <c r="G766">
        <v>11.8</v>
      </c>
      <c r="H766" s="2">
        <v>96390</v>
      </c>
      <c r="I766" t="s">
        <v>25</v>
      </c>
      <c r="J766">
        <v>7</v>
      </c>
      <c r="K766" t="s">
        <v>29</v>
      </c>
      <c r="L766">
        <v>1</v>
      </c>
      <c r="M766" t="s">
        <v>16</v>
      </c>
      <c r="N766">
        <v>6</v>
      </c>
    </row>
    <row r="767" spans="1:14" x14ac:dyDescent="0.3">
      <c r="A767" t="s">
        <v>796</v>
      </c>
      <c r="B767" t="str">
        <f>"41-3041"</f>
        <v>41-3041</v>
      </c>
      <c r="C767">
        <v>60.5</v>
      </c>
      <c r="D767">
        <v>63.8</v>
      </c>
      <c r="E767">
        <v>3.3</v>
      </c>
      <c r="F767">
        <v>5.4</v>
      </c>
      <c r="G767">
        <v>7.5</v>
      </c>
      <c r="H767" s="2">
        <v>42350</v>
      </c>
      <c r="I767" t="s">
        <v>25</v>
      </c>
      <c r="J767">
        <v>7</v>
      </c>
      <c r="K767" t="s">
        <v>16</v>
      </c>
      <c r="L767">
        <v>4</v>
      </c>
      <c r="M767" t="s">
        <v>26</v>
      </c>
      <c r="N767">
        <v>4</v>
      </c>
    </row>
    <row r="768" spans="1:14" x14ac:dyDescent="0.3">
      <c r="A768" t="s">
        <v>797</v>
      </c>
      <c r="B768" t="str">
        <f>"37-3013"</f>
        <v>37-3013</v>
      </c>
      <c r="C768">
        <v>66.400000000000006</v>
      </c>
      <c r="D768">
        <v>70.5</v>
      </c>
      <c r="E768">
        <v>4.0999999999999996</v>
      </c>
      <c r="F768">
        <v>6.1</v>
      </c>
      <c r="G768">
        <v>9.1999999999999993</v>
      </c>
      <c r="H768" s="2">
        <v>41340</v>
      </c>
      <c r="I768" t="s">
        <v>25</v>
      </c>
      <c r="J768">
        <v>7</v>
      </c>
      <c r="K768" t="s">
        <v>16</v>
      </c>
      <c r="L768">
        <v>4</v>
      </c>
      <c r="M768" t="s">
        <v>30</v>
      </c>
      <c r="N768">
        <v>5</v>
      </c>
    </row>
    <row r="769" spans="1:14" x14ac:dyDescent="0.3">
      <c r="A769" t="s">
        <v>798</v>
      </c>
      <c r="B769" t="str">
        <f>"25-3097"</f>
        <v>25-3097</v>
      </c>
      <c r="C769">
        <v>385</v>
      </c>
      <c r="D769">
        <v>445.2</v>
      </c>
      <c r="E769">
        <v>60.2</v>
      </c>
      <c r="F769">
        <v>15.6</v>
      </c>
      <c r="G769">
        <v>53</v>
      </c>
      <c r="H769" s="2">
        <v>40590</v>
      </c>
      <c r="I769" t="s">
        <v>15</v>
      </c>
      <c r="J769">
        <v>3</v>
      </c>
      <c r="K769" t="s">
        <v>16</v>
      </c>
      <c r="L769">
        <v>4</v>
      </c>
      <c r="M769" t="s">
        <v>16</v>
      </c>
      <c r="N769">
        <v>6</v>
      </c>
    </row>
    <row r="770" spans="1:14" x14ac:dyDescent="0.3">
      <c r="A770" t="s">
        <v>799</v>
      </c>
      <c r="B770" t="str">
        <f>"27-2023"</f>
        <v>27-2023</v>
      </c>
      <c r="C770">
        <v>20.2</v>
      </c>
      <c r="D770">
        <v>26.2</v>
      </c>
      <c r="E770">
        <v>6</v>
      </c>
      <c r="F770">
        <v>29.4</v>
      </c>
      <c r="G770">
        <v>3.8</v>
      </c>
      <c r="H770" s="2">
        <v>28940</v>
      </c>
      <c r="I770" t="s">
        <v>25</v>
      </c>
      <c r="J770">
        <v>7</v>
      </c>
      <c r="K770" t="s">
        <v>16</v>
      </c>
      <c r="L770">
        <v>4</v>
      </c>
      <c r="M770" t="s">
        <v>26</v>
      </c>
      <c r="N770">
        <v>4</v>
      </c>
    </row>
    <row r="771" spans="1:14" x14ac:dyDescent="0.3">
      <c r="A771" t="s">
        <v>800</v>
      </c>
      <c r="B771" t="str">
        <f>"47-5098"</f>
        <v>47-5098</v>
      </c>
      <c r="C771">
        <v>12.6</v>
      </c>
      <c r="D771">
        <v>13.9</v>
      </c>
      <c r="E771">
        <v>1.3</v>
      </c>
      <c r="F771">
        <v>10.199999999999999</v>
      </c>
      <c r="G771">
        <v>1.7</v>
      </c>
      <c r="H771" s="2">
        <v>52400</v>
      </c>
      <c r="I771" t="s">
        <v>25</v>
      </c>
      <c r="J771">
        <v>7</v>
      </c>
      <c r="K771" t="s">
        <v>16</v>
      </c>
      <c r="L771">
        <v>4</v>
      </c>
      <c r="M771" t="s">
        <v>26</v>
      </c>
      <c r="N771">
        <v>4</v>
      </c>
    </row>
    <row r="772" spans="1:14" x14ac:dyDescent="0.3">
      <c r="A772" t="s">
        <v>801</v>
      </c>
      <c r="B772" t="str">
        <f>"51-6093"</f>
        <v>51-6093</v>
      </c>
      <c r="C772">
        <v>32.1</v>
      </c>
      <c r="D772">
        <v>33.5</v>
      </c>
      <c r="E772">
        <v>1.4</v>
      </c>
      <c r="F772">
        <v>4.5</v>
      </c>
      <c r="G772">
        <v>3</v>
      </c>
      <c r="H772" s="2">
        <v>36250</v>
      </c>
      <c r="I772" t="s">
        <v>25</v>
      </c>
      <c r="J772">
        <v>7</v>
      </c>
      <c r="K772" t="s">
        <v>16</v>
      </c>
      <c r="L772">
        <v>4</v>
      </c>
      <c r="M772" t="s">
        <v>26</v>
      </c>
      <c r="N772">
        <v>4</v>
      </c>
    </row>
    <row r="773" spans="1:14" x14ac:dyDescent="0.3">
      <c r="A773" t="s">
        <v>802</v>
      </c>
      <c r="B773" t="str">
        <f>"19-3051"</f>
        <v>19-3051</v>
      </c>
      <c r="C773">
        <v>39.1</v>
      </c>
      <c r="D773">
        <v>41.8</v>
      </c>
      <c r="E773">
        <v>2.7</v>
      </c>
      <c r="F773">
        <v>6.8</v>
      </c>
      <c r="G773">
        <v>3.7</v>
      </c>
      <c r="H773" s="2">
        <v>75950</v>
      </c>
      <c r="I773" t="s">
        <v>23</v>
      </c>
      <c r="J773">
        <v>2</v>
      </c>
      <c r="K773" t="s">
        <v>16</v>
      </c>
      <c r="L773">
        <v>4</v>
      </c>
      <c r="M773" t="s">
        <v>16</v>
      </c>
      <c r="N773">
        <v>6</v>
      </c>
    </row>
    <row r="774" spans="1:14" x14ac:dyDescent="0.3">
      <c r="A774" t="s">
        <v>803</v>
      </c>
      <c r="B774" t="str">
        <f>"39-3031"</f>
        <v>39-3031</v>
      </c>
      <c r="C774">
        <v>81.5</v>
      </c>
      <c r="D774">
        <v>131.9</v>
      </c>
      <c r="E774">
        <v>50.4</v>
      </c>
      <c r="F774">
        <v>61.8</v>
      </c>
      <c r="G774">
        <v>29.4</v>
      </c>
      <c r="H774" s="2">
        <v>25110</v>
      </c>
      <c r="I774" t="s">
        <v>43</v>
      </c>
      <c r="J774">
        <v>8</v>
      </c>
      <c r="K774" t="s">
        <v>16</v>
      </c>
      <c r="L774">
        <v>4</v>
      </c>
      <c r="M774" t="s">
        <v>30</v>
      </c>
      <c r="N774">
        <v>5</v>
      </c>
    </row>
    <row r="775" spans="1:14" x14ac:dyDescent="0.3">
      <c r="A775" t="s">
        <v>804</v>
      </c>
      <c r="B775" t="str">
        <f>"29-1131"</f>
        <v>29-1131</v>
      </c>
      <c r="C775">
        <v>86.8</v>
      </c>
      <c r="D775">
        <v>101.3</v>
      </c>
      <c r="E775">
        <v>14.5</v>
      </c>
      <c r="F775">
        <v>16.8</v>
      </c>
      <c r="G775">
        <v>4.4000000000000004</v>
      </c>
      <c r="H775" s="2">
        <v>99250</v>
      </c>
      <c r="I775" t="s">
        <v>28</v>
      </c>
      <c r="J775">
        <v>1</v>
      </c>
      <c r="K775" t="s">
        <v>16</v>
      </c>
      <c r="L775">
        <v>4</v>
      </c>
      <c r="M775" t="s">
        <v>16</v>
      </c>
      <c r="N775">
        <v>6</v>
      </c>
    </row>
    <row r="776" spans="1:14" x14ac:dyDescent="0.3">
      <c r="A776" t="s">
        <v>805</v>
      </c>
      <c r="B776" t="str">
        <f>"31-9096"</f>
        <v>31-9096</v>
      </c>
      <c r="C776">
        <v>107.2</v>
      </c>
      <c r="D776">
        <v>122.5</v>
      </c>
      <c r="E776">
        <v>15.3</v>
      </c>
      <c r="F776">
        <v>14.3</v>
      </c>
      <c r="G776">
        <v>19.8</v>
      </c>
      <c r="H776" s="2">
        <v>29930</v>
      </c>
      <c r="I776" t="s">
        <v>25</v>
      </c>
      <c r="J776">
        <v>7</v>
      </c>
      <c r="K776" t="s">
        <v>16</v>
      </c>
      <c r="L776">
        <v>4</v>
      </c>
      <c r="M776" t="s">
        <v>30</v>
      </c>
      <c r="N776">
        <v>5</v>
      </c>
    </row>
    <row r="777" spans="1:14" x14ac:dyDescent="0.3">
      <c r="A777" t="s">
        <v>806</v>
      </c>
      <c r="B777" t="str">
        <f>"29-2056"</f>
        <v>29-2056</v>
      </c>
      <c r="C777">
        <v>114.4</v>
      </c>
      <c r="D777">
        <v>131.5</v>
      </c>
      <c r="E777">
        <v>17.100000000000001</v>
      </c>
      <c r="F777">
        <v>14.9</v>
      </c>
      <c r="G777">
        <v>10.4</v>
      </c>
      <c r="H777" s="2">
        <v>36260</v>
      </c>
      <c r="I777" t="s">
        <v>37</v>
      </c>
      <c r="J777">
        <v>4</v>
      </c>
      <c r="K777" t="s">
        <v>16</v>
      </c>
      <c r="L777">
        <v>4</v>
      </c>
      <c r="M777" t="s">
        <v>16</v>
      </c>
      <c r="N777">
        <v>6</v>
      </c>
    </row>
    <row r="778" spans="1:14" x14ac:dyDescent="0.3">
      <c r="A778" t="s">
        <v>807</v>
      </c>
      <c r="B778" t="str">
        <f>"35-3031"</f>
        <v>35-3031</v>
      </c>
      <c r="C778" s="1">
        <v>2023.2</v>
      </c>
      <c r="D778" s="1">
        <v>2430.6999999999998</v>
      </c>
      <c r="E778">
        <v>407.6</v>
      </c>
      <c r="F778">
        <v>20.100000000000001</v>
      </c>
      <c r="G778">
        <v>470.2</v>
      </c>
      <c r="H778" s="2">
        <v>23740</v>
      </c>
      <c r="I778" t="s">
        <v>43</v>
      </c>
      <c r="J778">
        <v>8</v>
      </c>
      <c r="K778" t="s">
        <v>16</v>
      </c>
      <c r="L778">
        <v>4</v>
      </c>
      <c r="M778" t="s">
        <v>30</v>
      </c>
      <c r="N778">
        <v>5</v>
      </c>
    </row>
    <row r="779" spans="1:14" x14ac:dyDescent="0.3">
      <c r="A779" t="s">
        <v>808</v>
      </c>
      <c r="B779" t="str">
        <f>"49-9064"</f>
        <v>49-9064</v>
      </c>
      <c r="C779">
        <v>2.8</v>
      </c>
      <c r="D779">
        <v>2.1</v>
      </c>
      <c r="E779">
        <v>-0.7</v>
      </c>
      <c r="F779">
        <v>-24.9</v>
      </c>
      <c r="G779">
        <v>0.2</v>
      </c>
      <c r="H779" s="2">
        <v>45290</v>
      </c>
      <c r="I779" t="s">
        <v>25</v>
      </c>
      <c r="J779">
        <v>7</v>
      </c>
      <c r="K779" t="s">
        <v>16</v>
      </c>
      <c r="L779">
        <v>4</v>
      </c>
      <c r="M779" t="s">
        <v>20</v>
      </c>
      <c r="N779">
        <v>3</v>
      </c>
    </row>
    <row r="780" spans="1:14" x14ac:dyDescent="0.3">
      <c r="A780" t="s">
        <v>809</v>
      </c>
      <c r="B780" t="str">
        <f>"51-8031"</f>
        <v>51-8031</v>
      </c>
      <c r="C780">
        <v>122.1</v>
      </c>
      <c r="D780">
        <v>119</v>
      </c>
      <c r="E780">
        <v>-3.1</v>
      </c>
      <c r="F780">
        <v>-2.5</v>
      </c>
      <c r="G780">
        <v>10.5</v>
      </c>
      <c r="H780" s="2">
        <v>49090</v>
      </c>
      <c r="I780" t="s">
        <v>25</v>
      </c>
      <c r="J780">
        <v>7</v>
      </c>
      <c r="K780" t="s">
        <v>16</v>
      </c>
      <c r="L780">
        <v>4</v>
      </c>
      <c r="M780" t="s">
        <v>20</v>
      </c>
      <c r="N780">
        <v>3</v>
      </c>
    </row>
    <row r="781" spans="1:14" x14ac:dyDescent="0.3">
      <c r="A781" t="s">
        <v>810</v>
      </c>
      <c r="B781" t="str">
        <f>"15-1257"</f>
        <v>15-1257</v>
      </c>
      <c r="C781">
        <v>199.4</v>
      </c>
      <c r="D781">
        <v>224.9</v>
      </c>
      <c r="E781">
        <v>25.5</v>
      </c>
      <c r="F781">
        <v>12.8</v>
      </c>
      <c r="G781">
        <v>17.899999999999999</v>
      </c>
      <c r="H781" s="2">
        <v>77200</v>
      </c>
      <c r="I781" t="s">
        <v>15</v>
      </c>
      <c r="J781">
        <v>3</v>
      </c>
      <c r="K781" t="s">
        <v>16</v>
      </c>
      <c r="L781">
        <v>4</v>
      </c>
      <c r="M781" t="s">
        <v>16</v>
      </c>
      <c r="N781">
        <v>6</v>
      </c>
    </row>
    <row r="782" spans="1:14" x14ac:dyDescent="0.3">
      <c r="A782" t="s">
        <v>811</v>
      </c>
      <c r="B782" t="str">
        <f>"43-5111"</f>
        <v>43-5111</v>
      </c>
      <c r="C782">
        <v>59.1</v>
      </c>
      <c r="D782">
        <v>65.400000000000006</v>
      </c>
      <c r="E782">
        <v>6.3</v>
      </c>
      <c r="F782">
        <v>10.7</v>
      </c>
      <c r="G782">
        <v>6.5</v>
      </c>
      <c r="H782" s="2">
        <v>36650</v>
      </c>
      <c r="I782" t="s">
        <v>25</v>
      </c>
      <c r="J782">
        <v>7</v>
      </c>
      <c r="K782" t="s">
        <v>16</v>
      </c>
      <c r="L782">
        <v>4</v>
      </c>
      <c r="M782" t="s">
        <v>30</v>
      </c>
      <c r="N782">
        <v>5</v>
      </c>
    </row>
    <row r="783" spans="1:14" x14ac:dyDescent="0.3">
      <c r="A783" t="s">
        <v>812</v>
      </c>
      <c r="B783" t="str">
        <f>"51-4121"</f>
        <v>51-4121</v>
      </c>
      <c r="C783">
        <v>418.2</v>
      </c>
      <c r="D783">
        <v>452.4</v>
      </c>
      <c r="E783">
        <v>34.1</v>
      </c>
      <c r="F783">
        <v>8.1999999999999993</v>
      </c>
      <c r="G783">
        <v>49.2</v>
      </c>
      <c r="H783" s="2">
        <v>44190</v>
      </c>
      <c r="I783" t="s">
        <v>25</v>
      </c>
      <c r="J783">
        <v>7</v>
      </c>
      <c r="K783" t="s">
        <v>16</v>
      </c>
      <c r="L783">
        <v>4</v>
      </c>
      <c r="M783" t="s">
        <v>26</v>
      </c>
      <c r="N783">
        <v>4</v>
      </c>
    </row>
    <row r="784" spans="1:14" x14ac:dyDescent="0.3">
      <c r="A784" t="s">
        <v>813</v>
      </c>
      <c r="B784" t="str">
        <f>"51-4122"</f>
        <v>51-4122</v>
      </c>
      <c r="C784">
        <v>35.1</v>
      </c>
      <c r="D784">
        <v>34.700000000000003</v>
      </c>
      <c r="E784">
        <v>-0.3</v>
      </c>
      <c r="F784">
        <v>-1</v>
      </c>
      <c r="G784">
        <v>3.6</v>
      </c>
      <c r="H784" s="2">
        <v>39410</v>
      </c>
      <c r="I784" t="s">
        <v>25</v>
      </c>
      <c r="J784">
        <v>7</v>
      </c>
      <c r="K784" t="s">
        <v>16</v>
      </c>
      <c r="L784">
        <v>4</v>
      </c>
      <c r="M784" t="s">
        <v>26</v>
      </c>
      <c r="N784">
        <v>4</v>
      </c>
    </row>
    <row r="785" spans="1:14" x14ac:dyDescent="0.3">
      <c r="A785" t="s">
        <v>814</v>
      </c>
      <c r="B785" t="str">
        <f>"53-7073"</f>
        <v>53-7073</v>
      </c>
      <c r="C785">
        <v>13.6</v>
      </c>
      <c r="D785">
        <v>14.8</v>
      </c>
      <c r="E785">
        <v>1.3</v>
      </c>
      <c r="F785">
        <v>9.4</v>
      </c>
      <c r="G785">
        <v>1.7</v>
      </c>
      <c r="H785" s="2">
        <v>60720</v>
      </c>
      <c r="I785" t="s">
        <v>25</v>
      </c>
      <c r="J785">
        <v>7</v>
      </c>
      <c r="K785" t="s">
        <v>32</v>
      </c>
      <c r="L785">
        <v>2</v>
      </c>
      <c r="M785" t="s">
        <v>26</v>
      </c>
      <c r="N785">
        <v>4</v>
      </c>
    </row>
    <row r="786" spans="1:14" x14ac:dyDescent="0.3">
      <c r="A786" t="s">
        <v>815</v>
      </c>
      <c r="B786" t="str">
        <f>"49-9081"</f>
        <v>49-9081</v>
      </c>
      <c r="C786">
        <v>6.9</v>
      </c>
      <c r="D786">
        <v>11.7</v>
      </c>
      <c r="E786">
        <v>4.7</v>
      </c>
      <c r="F786">
        <v>68.2</v>
      </c>
      <c r="G786">
        <v>1.4</v>
      </c>
      <c r="H786" s="2">
        <v>56230</v>
      </c>
      <c r="I786" t="s">
        <v>50</v>
      </c>
      <c r="J786">
        <v>5</v>
      </c>
      <c r="K786" t="s">
        <v>16</v>
      </c>
      <c r="L786">
        <v>4</v>
      </c>
      <c r="M786" t="s">
        <v>20</v>
      </c>
      <c r="N786">
        <v>3</v>
      </c>
    </row>
    <row r="787" spans="1:14" x14ac:dyDescent="0.3">
      <c r="A787" t="s">
        <v>816</v>
      </c>
      <c r="B787" t="str">
        <f>"51-7099"</f>
        <v>51-7099</v>
      </c>
      <c r="C787">
        <v>9.5</v>
      </c>
      <c r="D787">
        <v>11.6</v>
      </c>
      <c r="E787">
        <v>2.1</v>
      </c>
      <c r="F787">
        <v>22.2</v>
      </c>
      <c r="G787">
        <v>1.2</v>
      </c>
      <c r="H787" s="2">
        <v>33630</v>
      </c>
      <c r="I787" t="s">
        <v>25</v>
      </c>
      <c r="J787">
        <v>7</v>
      </c>
      <c r="K787" t="s">
        <v>16</v>
      </c>
      <c r="L787">
        <v>4</v>
      </c>
      <c r="M787" t="s">
        <v>26</v>
      </c>
      <c r="N787">
        <v>4</v>
      </c>
    </row>
    <row r="788" spans="1:14" x14ac:dyDescent="0.3">
      <c r="A788" t="s">
        <v>817</v>
      </c>
      <c r="B788" t="str">
        <f>"51-7042"</f>
        <v>51-7042</v>
      </c>
      <c r="C788">
        <v>74.599999999999994</v>
      </c>
      <c r="D788">
        <v>81.900000000000006</v>
      </c>
      <c r="E788">
        <v>7.3</v>
      </c>
      <c r="F788">
        <v>9.8000000000000007</v>
      </c>
      <c r="G788">
        <v>8.6999999999999993</v>
      </c>
      <c r="H788" s="2">
        <v>32160</v>
      </c>
      <c r="I788" t="s">
        <v>25</v>
      </c>
      <c r="J788">
        <v>7</v>
      </c>
      <c r="K788" t="s">
        <v>16</v>
      </c>
      <c r="L788">
        <v>4</v>
      </c>
      <c r="M788" t="s">
        <v>26</v>
      </c>
      <c r="N788">
        <v>4</v>
      </c>
    </row>
    <row r="789" spans="1:14" x14ac:dyDescent="0.3">
      <c r="A789" t="s">
        <v>818</v>
      </c>
      <c r="B789" t="str">
        <f>"43-9022"</f>
        <v>43-9022</v>
      </c>
      <c r="C789">
        <v>45.2</v>
      </c>
      <c r="D789">
        <v>28.9</v>
      </c>
      <c r="E789">
        <v>-16.3</v>
      </c>
      <c r="F789">
        <v>-36</v>
      </c>
      <c r="G789">
        <v>2.6</v>
      </c>
      <c r="H789" s="2">
        <v>41050</v>
      </c>
      <c r="I789" t="s">
        <v>25</v>
      </c>
      <c r="J789">
        <v>7</v>
      </c>
      <c r="K789" t="s">
        <v>16</v>
      </c>
      <c r="L789">
        <v>4</v>
      </c>
      <c r="M789" t="s">
        <v>30</v>
      </c>
      <c r="N789">
        <v>5</v>
      </c>
    </row>
    <row r="790" spans="1:14" x14ac:dyDescent="0.3">
      <c r="A790" t="s">
        <v>819</v>
      </c>
      <c r="B790" t="str">
        <f>"27-3043"</f>
        <v>27-3043</v>
      </c>
      <c r="C790">
        <v>143.19999999999999</v>
      </c>
      <c r="D790">
        <v>155.4</v>
      </c>
      <c r="E790">
        <v>12.2</v>
      </c>
      <c r="F790">
        <v>8.5</v>
      </c>
      <c r="G790">
        <v>15.4</v>
      </c>
      <c r="H790" s="2">
        <v>67120</v>
      </c>
      <c r="I790" t="s">
        <v>15</v>
      </c>
      <c r="J790">
        <v>3</v>
      </c>
      <c r="K790" t="s">
        <v>16</v>
      </c>
      <c r="L790">
        <v>4</v>
      </c>
      <c r="M790" t="s">
        <v>20</v>
      </c>
      <c r="N790">
        <v>3</v>
      </c>
    </row>
    <row r="791" spans="1:14" x14ac:dyDescent="0.3">
      <c r="A791" t="s">
        <v>820</v>
      </c>
      <c r="B791" t="str">
        <f>"19-1023"</f>
        <v>19-1023</v>
      </c>
      <c r="C791">
        <v>18.5</v>
      </c>
      <c r="D791">
        <v>19.5</v>
      </c>
      <c r="E791">
        <v>1</v>
      </c>
      <c r="F791">
        <v>5.2</v>
      </c>
      <c r="G791">
        <v>1.7</v>
      </c>
      <c r="H791" s="2">
        <v>66350</v>
      </c>
      <c r="I791" t="s">
        <v>15</v>
      </c>
      <c r="J791">
        <v>3</v>
      </c>
      <c r="K791" t="s">
        <v>16</v>
      </c>
      <c r="L791">
        <v>4</v>
      </c>
      <c r="M791" t="s">
        <v>16</v>
      </c>
      <c r="N791">
        <v>6</v>
      </c>
    </row>
  </sheetData>
  <autoFilter ref="H1:H79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Assgari,Lily Atri</dc:creator>
  <cp:lastModifiedBy>Assgari,Lily Atri</cp:lastModifiedBy>
  <dcterms:created xsi:type="dcterms:W3CDTF">2022-02-06T15:18:36Z</dcterms:created>
  <dcterms:modified xsi:type="dcterms:W3CDTF">2022-02-06T18:46:13Z</dcterms:modified>
</cp:coreProperties>
</file>