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Rompicharla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<sst xmlns="http://schemas.openxmlformats.org/spreadsheetml/2006/main" count="16">
  <si>
    <t xml:space="preserve">Date </t>
  </si>
  <si>
    <t>MS</t>
  </si>
  <si>
    <t>Rate</t>
  </si>
  <si>
    <t>Amount</t>
  </si>
  <si>
    <t>HSD</t>
  </si>
  <si>
    <t>NBK(JAMA)</t>
  </si>
  <si>
    <t>Debit</t>
  </si>
  <si>
    <t>Credit</t>
  </si>
  <si>
    <t>Expenses</t>
  </si>
  <si>
    <t>Balance</t>
  </si>
  <si>
    <t>BF</t>
  </si>
  <si>
    <t>Day End</t>
  </si>
  <si>
    <t>Total</t>
  </si>
  <si>
    <t>Month End</t>
  </si>
  <si>
    <t>profit/loss</t>
  </si>
  <si>
    <t>commision total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</si>
</sst>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F800]dddd\,\ mmmm\ dd\,\ yyyy"/>
  </numFmts>
  <fonts count="23">
    <font>
      <sz val="11"/>
      <color theme="1"/>
      <name val="Calibri"/>
      <charset val="134"/>
      <scheme val="minor"/>
    </font>
    <font>
      <b/>
      <sz val="14"/>
      <color rgb="FF7030A0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6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6" fontId="1" fillId="2" borderId="0" xfId="0" applyNumberFormat="1" applyFont="1" applyFill="1"/>
    <xf numFmtId="0" fontId="1" fillId="2" borderId="0" xfId="0" applyFont="1" applyFill="1"/>
    <xf numFmtId="176" fontId="2" fillId="0" borderId="0" xfId="0" applyNumberFormat="1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6"/>
  <sheetViews>
    <sheetView tabSelected="1" workbookViewId="0">
      <pane ySplit="1" topLeftCell="A2" activePane="bottomLeft" state="frozen"/>
      <selection/>
      <selection pane="bottomLeft" activeCell="A7" sqref="A7"/>
    </sheetView>
  </sheetViews>
  <sheetFormatPr defaultColWidth="9" defaultRowHeight="15"/>
  <cols>
    <col min="1" max="1" width="38.2857142857143" style="1" customWidth="1"/>
    <col min="2" max="2" width="14" customWidth="1"/>
    <col min="3" max="3" width="9.28571428571429" customWidth="1"/>
    <col min="4" max="4" width="14" customWidth="1"/>
    <col min="5" max="5" width="15.5714285714286" customWidth="1"/>
    <col min="6" max="6" width="9.28571428571429" customWidth="1"/>
    <col min="7" max="7" width="14" customWidth="1"/>
    <col min="8" max="8" width="14.8571428571429" customWidth="1"/>
    <col min="9" max="9" width="14.7142857142857" customWidth="1"/>
    <col min="10" max="11" width="15.5714285714286" customWidth="1"/>
    <col min="12" max="12" width="16.4285714285714" customWidth="1"/>
    <col min="13" max="14" width="15.5714285714286" customWidth="1"/>
  </cols>
  <sheetData>
    <row r="1" ht="18.75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ht="21" spans="1:14">
      <c r="A2" s="4">
        <v>42887</v>
      </c>
      <c r="B2" s="5">
        <v>680.2</v>
      </c>
      <c r="C2" s="5">
        <v>73.04</v>
      </c>
      <c r="D2" s="5">
        <f>B2*C2</f>
        <v>49681.808</v>
      </c>
      <c r="E2" s="5">
        <v>2537.1</v>
      </c>
      <c r="F2" s="5">
        <v>62.84</v>
      </c>
      <c r="G2" s="5">
        <f t="shared" ref="G2:G32" si="0">E2*F2</f>
        <v>159431.364</v>
      </c>
      <c r="H2" s="5">
        <f>5634-754</f>
        <v>4880</v>
      </c>
      <c r="I2" s="5">
        <v>2170</v>
      </c>
      <c r="J2" s="5">
        <v>90787.16</v>
      </c>
      <c r="K2" s="5">
        <v>4140</v>
      </c>
      <c r="L2" s="5">
        <f t="shared" ref="L2:L9" si="1">(D2+G2+H2+I2)-J2</f>
        <v>125376.012</v>
      </c>
      <c r="M2" s="5">
        <v>260714</v>
      </c>
      <c r="N2" s="5">
        <f t="shared" ref="N2:N31" si="2">L2+M2</f>
        <v>386090.012</v>
      </c>
    </row>
    <row r="3" ht="21" spans="1:14">
      <c r="A3" s="4">
        <v>42888</v>
      </c>
      <c r="B3" s="5">
        <v>620.6</v>
      </c>
      <c r="C3" s="5">
        <v>73.04</v>
      </c>
      <c r="D3" s="5">
        <f t="shared" ref="D3:D8" si="3">B3*C3</f>
        <v>45328.624</v>
      </c>
      <c r="E3" s="5">
        <v>1436.5</v>
      </c>
      <c r="F3" s="5">
        <v>62.84</v>
      </c>
      <c r="G3" s="5">
        <f t="shared" si="0"/>
        <v>90269.66</v>
      </c>
      <c r="H3" s="5">
        <f>3448-645</f>
        <v>2803</v>
      </c>
      <c r="I3" s="5">
        <v>20550</v>
      </c>
      <c r="J3" s="5">
        <v>48242</v>
      </c>
      <c r="K3" s="5">
        <v>10150</v>
      </c>
      <c r="L3" s="5">
        <f t="shared" si="1"/>
        <v>110709.284</v>
      </c>
      <c r="M3" s="5">
        <v>386090</v>
      </c>
      <c r="N3" s="5">
        <f t="shared" si="2"/>
        <v>496799.284</v>
      </c>
    </row>
    <row r="4" ht="15.75" customHeight="1" spans="1:14">
      <c r="A4" s="4">
        <v>42889</v>
      </c>
      <c r="B4" s="5">
        <v>652.4</v>
      </c>
      <c r="C4" s="5">
        <v>73.04</v>
      </c>
      <c r="D4" s="5">
        <f t="shared" si="3"/>
        <v>47651.296</v>
      </c>
      <c r="E4" s="5">
        <v>1284.13</v>
      </c>
      <c r="F4" s="5">
        <v>62.84</v>
      </c>
      <c r="G4" s="5">
        <f t="shared" si="0"/>
        <v>80694.7292</v>
      </c>
      <c r="H4" s="5">
        <f>4270-1486</f>
        <v>2784</v>
      </c>
      <c r="I4" s="5">
        <v>208700</v>
      </c>
      <c r="J4" s="5">
        <v>713540</v>
      </c>
      <c r="K4" s="5">
        <v>5140</v>
      </c>
      <c r="L4" s="5">
        <f t="shared" si="1"/>
        <v>-373709.9748</v>
      </c>
      <c r="M4" s="5">
        <f t="shared" ref="M4:M10" si="4">N3</f>
        <v>496799.284</v>
      </c>
      <c r="N4" s="5">
        <f t="shared" si="2"/>
        <v>123089.3092</v>
      </c>
    </row>
    <row r="5" ht="21" spans="1:14">
      <c r="A5" s="4">
        <v>42890</v>
      </c>
      <c r="B5" s="5">
        <v>856.8</v>
      </c>
      <c r="C5" s="5">
        <v>73.04</v>
      </c>
      <c r="D5" s="5">
        <f t="shared" si="3"/>
        <v>62580.672</v>
      </c>
      <c r="E5" s="5">
        <v>2055</v>
      </c>
      <c r="F5" s="5">
        <v>62.84</v>
      </c>
      <c r="G5" s="5">
        <f t="shared" si="0"/>
        <v>129136.2</v>
      </c>
      <c r="H5" s="5">
        <v>3370</v>
      </c>
      <c r="I5" s="5">
        <v>3000</v>
      </c>
      <c r="J5" s="5">
        <v>63600</v>
      </c>
      <c r="K5" s="5">
        <v>320</v>
      </c>
      <c r="L5" s="5">
        <f t="shared" si="1"/>
        <v>134486.872</v>
      </c>
      <c r="M5" s="5">
        <v>123088.97</v>
      </c>
      <c r="N5" s="5">
        <f t="shared" si="2"/>
        <v>257575.842</v>
      </c>
    </row>
    <row r="6" ht="21" spans="1:14">
      <c r="A6" s="4">
        <v>42891</v>
      </c>
      <c r="B6" s="5">
        <v>611.1</v>
      </c>
      <c r="C6" s="5">
        <v>73.04</v>
      </c>
      <c r="D6" s="5">
        <f t="shared" si="3"/>
        <v>44634.744</v>
      </c>
      <c r="E6" s="5">
        <v>944.58</v>
      </c>
      <c r="F6" s="5">
        <v>62.84</v>
      </c>
      <c r="G6" s="5">
        <f t="shared" si="0"/>
        <v>59357.4072</v>
      </c>
      <c r="H6" s="5">
        <v>1955</v>
      </c>
      <c r="I6" s="5">
        <v>190</v>
      </c>
      <c r="J6" s="5">
        <v>42211</v>
      </c>
      <c r="K6" s="5">
        <v>5444</v>
      </c>
      <c r="L6" s="5">
        <f t="shared" si="1"/>
        <v>63926.1512</v>
      </c>
      <c r="M6" s="5">
        <f t="shared" si="4"/>
        <v>257575.842</v>
      </c>
      <c r="N6" s="5">
        <f t="shared" si="2"/>
        <v>321501.9932</v>
      </c>
    </row>
    <row r="7" ht="21" spans="1:14">
      <c r="A7" s="4">
        <v>42892</v>
      </c>
      <c r="B7" s="5">
        <v>509.1</v>
      </c>
      <c r="C7" s="5">
        <v>73.04</v>
      </c>
      <c r="D7" s="5">
        <f t="shared" si="3"/>
        <v>37184.664</v>
      </c>
      <c r="E7" s="5">
        <v>1600.5</v>
      </c>
      <c r="F7" s="5">
        <v>62.84</v>
      </c>
      <c r="G7" s="5">
        <f t="shared" si="0"/>
        <v>100575.42</v>
      </c>
      <c r="H7" s="5">
        <f>3223-695</f>
        <v>2528</v>
      </c>
      <c r="I7" s="5">
        <v>49350</v>
      </c>
      <c r="J7" s="5">
        <v>382141.95</v>
      </c>
      <c r="K7" s="5">
        <v>12150</v>
      </c>
      <c r="L7" s="5">
        <f t="shared" si="1"/>
        <v>-192503.866</v>
      </c>
      <c r="M7" s="5">
        <f t="shared" si="4"/>
        <v>321501.9932</v>
      </c>
      <c r="N7" s="5">
        <f t="shared" si="2"/>
        <v>128998.1272</v>
      </c>
    </row>
    <row r="8" ht="21" spans="1:14">
      <c r="A8" s="4">
        <v>42893</v>
      </c>
      <c r="B8" s="5">
        <v>677.1</v>
      </c>
      <c r="C8" s="5">
        <v>73.04</v>
      </c>
      <c r="D8" s="5">
        <f t="shared" si="3"/>
        <v>49455.384</v>
      </c>
      <c r="E8" s="5">
        <v>1713.34</v>
      </c>
      <c r="F8" s="5">
        <v>62.84</v>
      </c>
      <c r="G8" s="5">
        <f t="shared" si="0"/>
        <v>107666.2856</v>
      </c>
      <c r="H8" s="5">
        <f>4201-1433</f>
        <v>2768</v>
      </c>
      <c r="I8" s="5">
        <f>450000+3550</f>
        <v>453550</v>
      </c>
      <c r="J8" s="5">
        <f>450000+94668</f>
        <v>544668</v>
      </c>
      <c r="K8" s="5">
        <v>830</v>
      </c>
      <c r="L8" s="5">
        <f t="shared" si="1"/>
        <v>68771.6696</v>
      </c>
      <c r="M8" s="5">
        <f t="shared" si="4"/>
        <v>128998.1272</v>
      </c>
      <c r="N8" s="5">
        <f t="shared" si="2"/>
        <v>197769.7968</v>
      </c>
    </row>
    <row r="9" ht="21" spans="1:14">
      <c r="A9" s="4">
        <v>42894</v>
      </c>
      <c r="B9" s="5">
        <v>414</v>
      </c>
      <c r="C9" s="5">
        <v>73.04</v>
      </c>
      <c r="D9" s="5">
        <f t="shared" ref="D9:D31" si="5">B9*C9</f>
        <v>30238.56</v>
      </c>
      <c r="E9" s="5">
        <v>902.34</v>
      </c>
      <c r="F9" s="5">
        <v>62.84</v>
      </c>
      <c r="G9" s="5">
        <f t="shared" si="0"/>
        <v>56703.0456</v>
      </c>
      <c r="H9" s="5">
        <f>2716-469</f>
        <v>2247</v>
      </c>
      <c r="I9" s="5">
        <v>1100</v>
      </c>
      <c r="J9" s="5">
        <v>226935</v>
      </c>
      <c r="K9" s="5">
        <v>215</v>
      </c>
      <c r="L9" s="5">
        <f t="shared" si="1"/>
        <v>-136646.3944</v>
      </c>
      <c r="M9" s="5">
        <f t="shared" si="4"/>
        <v>197769.7968</v>
      </c>
      <c r="N9" s="5">
        <f t="shared" si="2"/>
        <v>61123.4024</v>
      </c>
    </row>
    <row r="10" ht="21" spans="1:15">
      <c r="A10" s="4">
        <v>42895</v>
      </c>
      <c r="B10" s="5">
        <v>28.8</v>
      </c>
      <c r="C10" s="5">
        <v>73.04</v>
      </c>
      <c r="D10" s="5">
        <f t="shared" ref="D10" si="6">B10*C10</f>
        <v>2103.552</v>
      </c>
      <c r="E10" s="5">
        <v>1746.8</v>
      </c>
      <c r="F10" s="5">
        <v>62.84</v>
      </c>
      <c r="G10" s="5">
        <f t="shared" ref="G10" si="7">E10*F10</f>
        <v>109768.912</v>
      </c>
      <c r="H10" s="5">
        <f>1366</f>
        <v>1366</v>
      </c>
      <c r="I10" s="5">
        <v>19355</v>
      </c>
      <c r="J10" s="5">
        <f>53446+51000</f>
        <v>104446</v>
      </c>
      <c r="K10" s="5">
        <v>150</v>
      </c>
      <c r="L10" s="5">
        <f t="shared" ref="L10:L31" si="8">(D10+G10+H10+I10)-J10</f>
        <v>28147.464</v>
      </c>
      <c r="M10" s="5">
        <f t="shared" si="4"/>
        <v>61123.4024</v>
      </c>
      <c r="N10" s="5">
        <f t="shared" ref="N10" si="9">L10+M10</f>
        <v>89270.8664</v>
      </c>
      <c r="O10">
        <v>1</v>
      </c>
    </row>
    <row r="11" ht="21" spans="1:14">
      <c r="A11" s="4">
        <v>42896</v>
      </c>
      <c r="B11" s="5">
        <v>486.8</v>
      </c>
      <c r="C11" s="5">
        <v>73.04</v>
      </c>
      <c r="D11" s="5">
        <f t="shared" si="5"/>
        <v>35555.872</v>
      </c>
      <c r="E11" s="5">
        <v>2368.72</v>
      </c>
      <c r="F11" s="5">
        <v>62.84</v>
      </c>
      <c r="G11" s="5">
        <f t="shared" si="0"/>
        <v>148850.3648</v>
      </c>
      <c r="H11" s="5">
        <f>4765-1326</f>
        <v>3439</v>
      </c>
      <c r="I11" s="5">
        <f>550+260+10030</f>
        <v>10840</v>
      </c>
      <c r="J11" s="5">
        <f>56865+1650+1650+500</f>
        <v>60665</v>
      </c>
      <c r="K11" s="5">
        <v>145</v>
      </c>
      <c r="L11" s="5">
        <f t="shared" si="8"/>
        <v>138020.2368</v>
      </c>
      <c r="M11" s="5">
        <f t="shared" ref="M11:M31" si="10">N10</f>
        <v>89270.8664</v>
      </c>
      <c r="N11" s="5">
        <f t="shared" si="2"/>
        <v>227291.1032</v>
      </c>
    </row>
    <row r="12" ht="21" spans="1:14">
      <c r="A12" s="4">
        <v>42897</v>
      </c>
      <c r="B12" s="5">
        <v>663.3</v>
      </c>
      <c r="C12" s="5">
        <v>73.04</v>
      </c>
      <c r="D12" s="5">
        <f t="shared" si="5"/>
        <v>48447.432</v>
      </c>
      <c r="E12" s="5">
        <v>2075.72</v>
      </c>
      <c r="F12" s="5">
        <v>62.84</v>
      </c>
      <c r="G12" s="5">
        <f t="shared" si="0"/>
        <v>130438.2448</v>
      </c>
      <c r="H12" s="5">
        <f>4102-332</f>
        <v>3770</v>
      </c>
      <c r="I12" s="5">
        <f>900+190</f>
        <v>1090</v>
      </c>
      <c r="J12" s="5">
        <v>26608</v>
      </c>
      <c r="K12" s="5">
        <v>290</v>
      </c>
      <c r="L12" s="5">
        <f t="shared" si="8"/>
        <v>157137.6768</v>
      </c>
      <c r="M12" s="5">
        <f t="shared" si="10"/>
        <v>227291.1032</v>
      </c>
      <c r="N12" s="5">
        <f t="shared" si="2"/>
        <v>384428.78</v>
      </c>
    </row>
    <row r="13" ht="21" spans="1:14">
      <c r="A13" s="4">
        <v>42898</v>
      </c>
      <c r="B13" s="5">
        <v>883.2</v>
      </c>
      <c r="C13" s="5">
        <v>73.04</v>
      </c>
      <c r="D13" s="5">
        <f t="shared" si="5"/>
        <v>64508.928</v>
      </c>
      <c r="E13" s="5">
        <v>3834.57</v>
      </c>
      <c r="F13" s="5">
        <v>62.84</v>
      </c>
      <c r="G13" s="5">
        <f t="shared" si="0"/>
        <v>240964.3788</v>
      </c>
      <c r="H13" s="5">
        <f>6739-1624</f>
        <v>5115</v>
      </c>
      <c r="I13" s="5">
        <f>2000+4000+250+550</f>
        <v>6800</v>
      </c>
      <c r="J13" s="5">
        <f>568429</f>
        <v>568429</v>
      </c>
      <c r="K13" s="5">
        <v>1380</v>
      </c>
      <c r="L13" s="5">
        <f t="shared" si="8"/>
        <v>-251040.6932</v>
      </c>
      <c r="M13" s="5">
        <f t="shared" si="10"/>
        <v>384428.78</v>
      </c>
      <c r="N13" s="5">
        <f t="shared" si="2"/>
        <v>133388.0868</v>
      </c>
    </row>
    <row r="14" ht="21" spans="1:14">
      <c r="A14" s="4">
        <v>42899</v>
      </c>
      <c r="B14" s="5">
        <v>631</v>
      </c>
      <c r="C14" s="5">
        <v>73.04</v>
      </c>
      <c r="D14" s="5">
        <f t="shared" si="5"/>
        <v>46088.24</v>
      </c>
      <c r="E14" s="5">
        <v>1642.1</v>
      </c>
      <c r="F14" s="5">
        <v>62.84</v>
      </c>
      <c r="G14" s="5">
        <f t="shared" si="0"/>
        <v>103189.564</v>
      </c>
      <c r="H14" s="5">
        <f>6934-3646</f>
        <v>3288</v>
      </c>
      <c r="I14" s="5">
        <f>550+190+30000</f>
        <v>30740</v>
      </c>
      <c r="J14" s="5">
        <f>46965+140000</f>
        <v>186965</v>
      </c>
      <c r="K14" s="5">
        <f>150+400</f>
        <v>550</v>
      </c>
      <c r="L14" s="5">
        <f t="shared" si="8"/>
        <v>-3659.196</v>
      </c>
      <c r="M14" s="5">
        <f t="shared" si="10"/>
        <v>133388.0868</v>
      </c>
      <c r="N14" s="5">
        <f t="shared" si="2"/>
        <v>129728.8908</v>
      </c>
    </row>
    <row r="15" ht="21" spans="1:14">
      <c r="A15" s="4">
        <v>42900</v>
      </c>
      <c r="B15" s="5">
        <v>714.5</v>
      </c>
      <c r="C15" s="5">
        <v>73.04</v>
      </c>
      <c r="D15" s="5">
        <f t="shared" si="5"/>
        <v>52187.08</v>
      </c>
      <c r="E15" s="5">
        <v>2976.8</v>
      </c>
      <c r="F15" s="5">
        <v>62.84</v>
      </c>
      <c r="G15" s="5">
        <f t="shared" si="0"/>
        <v>187062.112</v>
      </c>
      <c r="H15" s="5">
        <f>5403-1983</f>
        <v>3420</v>
      </c>
      <c r="I15" s="5">
        <f>550+50000+20000</f>
        <v>70550</v>
      </c>
      <c r="J15" s="5">
        <v>64401</v>
      </c>
      <c r="K15" s="5">
        <v>140</v>
      </c>
      <c r="L15" s="5">
        <f t="shared" si="8"/>
        <v>248818.192</v>
      </c>
      <c r="M15" s="5">
        <f t="shared" si="10"/>
        <v>129728.8908</v>
      </c>
      <c r="N15" s="5">
        <f t="shared" si="2"/>
        <v>378547.0828</v>
      </c>
    </row>
    <row r="16" ht="21" spans="1:14">
      <c r="A16" s="4">
        <v>42901</v>
      </c>
      <c r="B16" s="5">
        <v>601.3</v>
      </c>
      <c r="C16" s="5">
        <v>73.04</v>
      </c>
      <c r="D16" s="5">
        <f t="shared" si="5"/>
        <v>43918.952</v>
      </c>
      <c r="E16" s="5">
        <v>1356.07</v>
      </c>
      <c r="F16" s="5">
        <v>62.84</v>
      </c>
      <c r="G16" s="5">
        <f t="shared" si="0"/>
        <v>85215.4388</v>
      </c>
      <c r="H16" s="5">
        <f>4042-1846</f>
        <v>2196</v>
      </c>
      <c r="I16" s="5">
        <f>40000+3071+2750</f>
        <v>45821</v>
      </c>
      <c r="J16" s="5">
        <v>30956</v>
      </c>
      <c r="K16" s="5">
        <f>680+6628+2000</f>
        <v>9308</v>
      </c>
      <c r="L16" s="5">
        <f t="shared" si="8"/>
        <v>146195.3908</v>
      </c>
      <c r="M16" s="5">
        <f t="shared" si="10"/>
        <v>378547.0828</v>
      </c>
      <c r="N16" s="5">
        <f t="shared" si="2"/>
        <v>524742.4736</v>
      </c>
    </row>
    <row r="17" ht="21" spans="1:14">
      <c r="A17" s="4">
        <v>42902</v>
      </c>
      <c r="B17" s="5">
        <v>598.2</v>
      </c>
      <c r="C17" s="5">
        <v>71.44</v>
      </c>
      <c r="D17" s="5">
        <f t="shared" si="5"/>
        <v>42735.408</v>
      </c>
      <c r="E17" s="5">
        <v>1355.26</v>
      </c>
      <c r="F17" s="5">
        <v>61.19</v>
      </c>
      <c r="G17" s="5">
        <f t="shared" si="0"/>
        <v>82928.3594</v>
      </c>
      <c r="H17" s="5">
        <f>3935-1351</f>
        <v>2584</v>
      </c>
      <c r="I17" s="5">
        <v>0</v>
      </c>
      <c r="J17" s="5">
        <v>585800</v>
      </c>
      <c r="K17" s="5">
        <f>628+1000+150</f>
        <v>1778</v>
      </c>
      <c r="L17" s="5">
        <f t="shared" si="8"/>
        <v>-457552.2326</v>
      </c>
      <c r="M17" s="5">
        <f t="shared" si="10"/>
        <v>524742.4736</v>
      </c>
      <c r="N17" s="5">
        <f t="shared" si="2"/>
        <v>67190.2410000002</v>
      </c>
    </row>
    <row r="18" ht="21" spans="1:14">
      <c r="A18" s="4">
        <v>42903</v>
      </c>
      <c r="B18" s="5">
        <v>464.2</v>
      </c>
      <c r="C18" s="5">
        <v>71.18</v>
      </c>
      <c r="D18" s="5">
        <f t="shared" si="5"/>
        <v>33041.756</v>
      </c>
      <c r="E18" s="5">
        <v>2374.04</v>
      </c>
      <c r="F18" s="5">
        <v>61.01</v>
      </c>
      <c r="G18" s="5">
        <f t="shared" si="0"/>
        <v>144840.1804</v>
      </c>
      <c r="H18" s="5">
        <f>4909-2615</f>
        <v>2294</v>
      </c>
      <c r="I18" s="5">
        <f>7000+2000+14000+380</f>
        <v>23380</v>
      </c>
      <c r="J18" s="5">
        <v>129409</v>
      </c>
      <c r="K18" s="5">
        <v>150</v>
      </c>
      <c r="L18" s="5">
        <f t="shared" si="8"/>
        <v>74146.9364</v>
      </c>
      <c r="M18" s="5">
        <f t="shared" si="10"/>
        <v>67190.2410000002</v>
      </c>
      <c r="N18" s="5">
        <f t="shared" si="2"/>
        <v>141337.1774</v>
      </c>
    </row>
    <row r="19" ht="21" spans="1:14">
      <c r="A19" s="4">
        <v>42904</v>
      </c>
      <c r="B19" s="5">
        <v>631</v>
      </c>
      <c r="C19" s="5">
        <v>70.85</v>
      </c>
      <c r="D19" s="5">
        <f t="shared" si="5"/>
        <v>44706.35</v>
      </c>
      <c r="E19" s="5">
        <v>2669.43</v>
      </c>
      <c r="F19" s="5">
        <v>60.82</v>
      </c>
      <c r="G19" s="5">
        <f t="shared" si="0"/>
        <v>162354.7326</v>
      </c>
      <c r="H19" s="5">
        <f>8204-2983</f>
        <v>5221</v>
      </c>
      <c r="I19" s="5">
        <f>14000+2470+550</f>
        <v>17020</v>
      </c>
      <c r="J19" s="5">
        <v>65705</v>
      </c>
      <c r="K19" s="5">
        <f>360+100</f>
        <v>460</v>
      </c>
      <c r="L19" s="5">
        <f t="shared" si="8"/>
        <v>163597.0826</v>
      </c>
      <c r="M19" s="5">
        <f t="shared" si="10"/>
        <v>141337.1774</v>
      </c>
      <c r="N19" s="5">
        <f t="shared" si="2"/>
        <v>304934.26</v>
      </c>
    </row>
    <row r="20" ht="21" spans="1:14">
      <c r="A20" s="4">
        <v>42905</v>
      </c>
      <c r="B20" s="5">
        <v>811</v>
      </c>
      <c r="C20" s="5">
        <v>70.58</v>
      </c>
      <c r="D20" s="5">
        <f t="shared" si="5"/>
        <v>57240.38</v>
      </c>
      <c r="E20" s="5">
        <v>3039.08</v>
      </c>
      <c r="F20" s="5">
        <v>60.69</v>
      </c>
      <c r="G20" s="5">
        <f t="shared" si="0"/>
        <v>184441.7652</v>
      </c>
      <c r="H20" s="5">
        <f>8993-2708</f>
        <v>6285</v>
      </c>
      <c r="I20" s="5">
        <f>10000+1300+3000+550</f>
        <v>14850</v>
      </c>
      <c r="J20" s="5">
        <f>466898+4120-2708</f>
        <v>468310</v>
      </c>
      <c r="K20" s="5"/>
      <c r="L20" s="5">
        <f t="shared" si="8"/>
        <v>-205492.8548</v>
      </c>
      <c r="M20" s="5">
        <f t="shared" si="10"/>
        <v>304934.26</v>
      </c>
      <c r="N20" s="5">
        <f t="shared" si="2"/>
        <v>99441.4052000002</v>
      </c>
    </row>
    <row r="21" ht="21" spans="1:14">
      <c r="A21" s="4">
        <v>42906</v>
      </c>
      <c r="B21" s="5">
        <v>892.2</v>
      </c>
      <c r="C21" s="5">
        <v>70.48</v>
      </c>
      <c r="D21" s="5">
        <f t="shared" si="5"/>
        <v>62882.256</v>
      </c>
      <c r="E21" s="5">
        <v>3916.34</v>
      </c>
      <c r="F21" s="5">
        <v>60.63</v>
      </c>
      <c r="G21" s="5">
        <f t="shared" si="0"/>
        <v>237447.6942</v>
      </c>
      <c r="H21" s="5">
        <f>5448-1892</f>
        <v>3556</v>
      </c>
      <c r="I21" s="5">
        <f>60000+2500+5000+550+760+100000+80000</f>
        <v>248810</v>
      </c>
      <c r="J21" s="5">
        <v>381122</v>
      </c>
      <c r="K21" s="5">
        <v>190</v>
      </c>
      <c r="L21" s="5">
        <f t="shared" si="8"/>
        <v>171573.9502</v>
      </c>
      <c r="M21" s="5">
        <f t="shared" si="10"/>
        <v>99441.4052000002</v>
      </c>
      <c r="N21" s="5">
        <f>272295.46</f>
        <v>272295.46</v>
      </c>
    </row>
    <row r="22" ht="21" spans="1:14">
      <c r="A22" s="4">
        <v>42907</v>
      </c>
      <c r="B22" s="5">
        <v>577.3</v>
      </c>
      <c r="C22" s="5">
        <v>70.48</v>
      </c>
      <c r="D22" s="5">
        <f t="shared" si="5"/>
        <v>40688.104</v>
      </c>
      <c r="E22" s="5">
        <v>2878.14</v>
      </c>
      <c r="F22" s="5">
        <v>60.63</v>
      </c>
      <c r="G22" s="5">
        <f t="shared" si="0"/>
        <v>174501.6282</v>
      </c>
      <c r="H22" s="5">
        <f>7611-3850</f>
        <v>3761</v>
      </c>
      <c r="I22" s="5">
        <f>550+30000+7611</f>
        <v>38161</v>
      </c>
      <c r="J22" s="5">
        <f>364664+3850</f>
        <v>368514</v>
      </c>
      <c r="K22" s="5">
        <v>380</v>
      </c>
      <c r="L22" s="5">
        <f t="shared" si="8"/>
        <v>-111402.2678</v>
      </c>
      <c r="M22" s="5">
        <f t="shared" si="10"/>
        <v>272295.46</v>
      </c>
      <c r="N22" s="5">
        <f>L22+M22</f>
        <v>160893.1922</v>
      </c>
    </row>
    <row r="23" ht="21" spans="1:14">
      <c r="A23" s="4">
        <v>42908</v>
      </c>
      <c r="B23" s="5">
        <v>558.5</v>
      </c>
      <c r="C23" s="5">
        <v>70.48</v>
      </c>
      <c r="D23" s="5">
        <f t="shared" si="5"/>
        <v>39363.08</v>
      </c>
      <c r="E23" s="5">
        <v>3873.03</v>
      </c>
      <c r="F23" s="5">
        <v>60.63</v>
      </c>
      <c r="G23" s="5">
        <f t="shared" si="0"/>
        <v>234821.8089</v>
      </c>
      <c r="H23" s="5">
        <f>6554.34-1894</f>
        <v>4660.34</v>
      </c>
      <c r="I23" s="5">
        <f>260+550+10000+20000+7730+30000+7000</f>
        <v>75540</v>
      </c>
      <c r="J23" s="5">
        <f>81699-1894</f>
        <v>79805</v>
      </c>
      <c r="K23" s="5">
        <v>410</v>
      </c>
      <c r="L23" s="5">
        <f t="shared" si="8"/>
        <v>274580.2289</v>
      </c>
      <c r="M23" s="5">
        <f t="shared" si="10"/>
        <v>160893.1922</v>
      </c>
      <c r="N23" s="5">
        <f t="shared" si="2"/>
        <v>435473.4211</v>
      </c>
    </row>
    <row r="24" ht="21" spans="1:14">
      <c r="A24" s="4">
        <v>42909</v>
      </c>
      <c r="B24" s="5">
        <v>564.7</v>
      </c>
      <c r="C24" s="5">
        <v>70.15</v>
      </c>
      <c r="D24" s="5">
        <f t="shared" si="5"/>
        <v>39613.705</v>
      </c>
      <c r="E24" s="5">
        <v>2107.11</v>
      </c>
      <c r="F24" s="5">
        <v>60.54</v>
      </c>
      <c r="G24" s="5">
        <f t="shared" si="0"/>
        <v>127564.4394</v>
      </c>
      <c r="H24" s="5">
        <f>5193.6-725</f>
        <v>4468.6</v>
      </c>
      <c r="I24" s="5">
        <f>190+550+6000+5000+4700+350000</f>
        <v>366440</v>
      </c>
      <c r="J24" s="5">
        <f>846729-725</f>
        <v>846004</v>
      </c>
      <c r="K24" s="5">
        <v>190</v>
      </c>
      <c r="L24" s="5">
        <f t="shared" si="8"/>
        <v>-307917.2556</v>
      </c>
      <c r="M24" s="5">
        <f t="shared" si="10"/>
        <v>435473.4211</v>
      </c>
      <c r="N24" s="5">
        <f t="shared" si="2"/>
        <v>127556.1655</v>
      </c>
    </row>
    <row r="25" ht="21" spans="1:14">
      <c r="A25" s="4">
        <v>42910</v>
      </c>
      <c r="B25" s="5">
        <v>519</v>
      </c>
      <c r="C25" s="5">
        <v>69.9</v>
      </c>
      <c r="D25" s="5">
        <f t="shared" si="5"/>
        <v>36278.1</v>
      </c>
      <c r="E25" s="5">
        <v>3681.48</v>
      </c>
      <c r="F25" s="5">
        <v>60.42</v>
      </c>
      <c r="G25" s="5">
        <f t="shared" si="0"/>
        <v>222435.0216</v>
      </c>
      <c r="H25" s="5">
        <f>5647.08-2618</f>
        <v>3029.08</v>
      </c>
      <c r="I25" s="5">
        <f>550+14000</f>
        <v>14550</v>
      </c>
      <c r="J25" s="5">
        <f>172366-2618+13990</f>
        <v>183738</v>
      </c>
      <c r="K25" s="5">
        <v>200</v>
      </c>
      <c r="L25" s="5">
        <f t="shared" si="8"/>
        <v>92554.2016</v>
      </c>
      <c r="M25" s="5">
        <f t="shared" si="10"/>
        <v>127556.1655</v>
      </c>
      <c r="N25" s="5">
        <f t="shared" si="2"/>
        <v>220110.3671</v>
      </c>
    </row>
    <row r="26" ht="21" spans="1:14">
      <c r="A26" s="4">
        <v>42911</v>
      </c>
      <c r="B26" s="5">
        <v>669</v>
      </c>
      <c r="C26" s="5">
        <v>69.6</v>
      </c>
      <c r="D26" s="5">
        <f t="shared" si="5"/>
        <v>46562.4</v>
      </c>
      <c r="E26" s="5">
        <v>1980.22</v>
      </c>
      <c r="F26" s="5">
        <v>60.27</v>
      </c>
      <c r="G26" s="5">
        <f t="shared" si="0"/>
        <v>119347.8594</v>
      </c>
      <c r="H26" s="5">
        <f>5078.77-1442</f>
        <v>3636.77</v>
      </c>
      <c r="I26" s="5">
        <f>550</f>
        <v>550</v>
      </c>
      <c r="J26" s="5">
        <f>25092-1442</f>
        <v>23650</v>
      </c>
      <c r="K26" s="5">
        <v>550</v>
      </c>
      <c r="L26" s="5">
        <f t="shared" si="8"/>
        <v>146447.0294</v>
      </c>
      <c r="M26" s="5">
        <f t="shared" si="10"/>
        <v>220110.3671</v>
      </c>
      <c r="N26" s="5">
        <f t="shared" si="2"/>
        <v>366557.3965</v>
      </c>
    </row>
    <row r="27" ht="21" spans="1:14">
      <c r="A27" s="4">
        <v>42912</v>
      </c>
      <c r="B27" s="5">
        <v>652.9</v>
      </c>
      <c r="C27" s="5">
        <v>69.45</v>
      </c>
      <c r="D27" s="5">
        <f t="shared" si="5"/>
        <v>45343.905</v>
      </c>
      <c r="E27" s="5">
        <v>1976.84</v>
      </c>
      <c r="F27" s="5">
        <v>60.18</v>
      </c>
      <c r="G27" s="5">
        <f t="shared" si="0"/>
        <v>118966.2312</v>
      </c>
      <c r="H27" s="5">
        <f>3578.51-669</f>
        <v>2909.51</v>
      </c>
      <c r="I27" s="5">
        <f>550+2000+76665</f>
        <v>79215</v>
      </c>
      <c r="J27" s="5">
        <v>51131</v>
      </c>
      <c r="K27" s="5">
        <v>210</v>
      </c>
      <c r="L27" s="5">
        <f t="shared" si="8"/>
        <v>195303.6462</v>
      </c>
      <c r="M27" s="5">
        <f t="shared" si="10"/>
        <v>366557.3965</v>
      </c>
      <c r="N27" s="5">
        <f t="shared" si="2"/>
        <v>561861.0427</v>
      </c>
    </row>
    <row r="28" ht="21" spans="1:14">
      <c r="A28" s="4">
        <v>42913</v>
      </c>
      <c r="B28" s="5">
        <v>610.4</v>
      </c>
      <c r="C28" s="5">
        <v>69.36</v>
      </c>
      <c r="D28" s="5">
        <f t="shared" si="5"/>
        <v>42337.344</v>
      </c>
      <c r="E28" s="5">
        <v>2754.97</v>
      </c>
      <c r="F28" s="5">
        <v>60.18</v>
      </c>
      <c r="G28" s="5">
        <f t="shared" si="0"/>
        <v>165794.0946</v>
      </c>
      <c r="H28" s="5">
        <f>3870-877</f>
        <v>2993</v>
      </c>
      <c r="I28" s="5">
        <v>550</v>
      </c>
      <c r="J28" s="5">
        <v>653494</v>
      </c>
      <c r="K28" s="5">
        <v>140</v>
      </c>
      <c r="L28" s="5">
        <f t="shared" si="8"/>
        <v>-441819.5614</v>
      </c>
      <c r="M28" s="5">
        <f t="shared" si="10"/>
        <v>561861.0427</v>
      </c>
      <c r="N28" s="5">
        <f t="shared" si="2"/>
        <v>120041.4813</v>
      </c>
    </row>
    <row r="29" ht="21" spans="1:14">
      <c r="A29" s="4">
        <v>42914</v>
      </c>
      <c r="B29" s="5">
        <v>681</v>
      </c>
      <c r="C29" s="5">
        <v>69.36</v>
      </c>
      <c r="D29" s="5">
        <f t="shared" si="5"/>
        <v>47234.16</v>
      </c>
      <c r="E29" s="5">
        <v>2463.44</v>
      </c>
      <c r="F29" s="5">
        <v>60.18</v>
      </c>
      <c r="G29" s="5">
        <f t="shared" si="0"/>
        <v>148249.8192</v>
      </c>
      <c r="H29" s="5">
        <f>7232-2642</f>
        <v>4590</v>
      </c>
      <c r="I29" s="5">
        <f>25000+9000+205000</f>
        <v>239000</v>
      </c>
      <c r="J29" s="5">
        <v>407268</v>
      </c>
      <c r="K29" s="5">
        <v>1090</v>
      </c>
      <c r="L29" s="5">
        <f t="shared" si="8"/>
        <v>31805.9792</v>
      </c>
      <c r="M29" s="5">
        <f t="shared" si="10"/>
        <v>120041.4813</v>
      </c>
      <c r="N29" s="5">
        <f t="shared" si="2"/>
        <v>151847.4605</v>
      </c>
    </row>
    <row r="30" ht="21" spans="1:14">
      <c r="A30" s="4">
        <v>42915</v>
      </c>
      <c r="B30" s="5">
        <v>861.9</v>
      </c>
      <c r="C30" s="5">
        <v>69.37</v>
      </c>
      <c r="D30" s="5">
        <f t="shared" si="5"/>
        <v>59790.003</v>
      </c>
      <c r="E30" s="5">
        <v>4235</v>
      </c>
      <c r="F30" s="5">
        <v>60.18</v>
      </c>
      <c r="G30" s="5">
        <f t="shared" si="0"/>
        <v>254862.3</v>
      </c>
      <c r="H30" s="5">
        <f>7179-2518</f>
        <v>4661</v>
      </c>
      <c r="I30" s="5">
        <f>600+6000+1000+2725+1100</f>
        <v>11425</v>
      </c>
      <c r="J30" s="5">
        <v>259624</v>
      </c>
      <c r="K30" s="5">
        <v>250</v>
      </c>
      <c r="L30" s="5">
        <f t="shared" si="8"/>
        <v>71114.303</v>
      </c>
      <c r="M30" s="5">
        <f t="shared" si="10"/>
        <v>151847.4605</v>
      </c>
      <c r="N30" s="5">
        <f t="shared" si="2"/>
        <v>222961.7635</v>
      </c>
    </row>
    <row r="31" ht="21" spans="1:14">
      <c r="A31" s="4">
        <v>42916</v>
      </c>
      <c r="B31" s="5">
        <v>612.5</v>
      </c>
      <c r="C31" s="5">
        <v>69.21</v>
      </c>
      <c r="D31" s="5">
        <f t="shared" si="5"/>
        <v>42391.125</v>
      </c>
      <c r="E31" s="5">
        <v>3456</v>
      </c>
      <c r="F31" s="5">
        <v>60.11</v>
      </c>
      <c r="G31" s="5">
        <f t="shared" si="0"/>
        <v>207740.16</v>
      </c>
      <c r="H31" s="5">
        <f>5029-1658</f>
        <v>3371</v>
      </c>
      <c r="I31" s="5">
        <f>550+570+6460+2000+10000</f>
        <v>19580</v>
      </c>
      <c r="J31" s="5">
        <v>332277</v>
      </c>
      <c r="K31" s="5">
        <v>765</v>
      </c>
      <c r="L31" s="5">
        <f t="shared" si="8"/>
        <v>-59194.715</v>
      </c>
      <c r="M31" s="5">
        <f t="shared" si="10"/>
        <v>222961.7635</v>
      </c>
      <c r="N31" s="5">
        <f t="shared" si="2"/>
        <v>163767.0485</v>
      </c>
    </row>
    <row r="32" ht="21" spans="1:14">
      <c r="A32" s="4" t="s">
        <v>12</v>
      </c>
      <c r="B32" s="5">
        <f>SUM(B2:B31)</f>
        <v>18734</v>
      </c>
      <c r="C32" s="5">
        <v>73.4</v>
      </c>
      <c r="D32" s="5">
        <f>(B32*C32)</f>
        <v>1375075.6</v>
      </c>
      <c r="E32" s="5">
        <f>SUM(E2:E31)</f>
        <v>71234.65</v>
      </c>
      <c r="F32" s="5">
        <f>F2</f>
        <v>62.84</v>
      </c>
      <c r="G32" s="5">
        <f t="shared" si="0"/>
        <v>4476385.406</v>
      </c>
      <c r="H32" s="5">
        <f t="shared" ref="H32:N32" si="11">SUM(H2:H31)</f>
        <v>103949.3</v>
      </c>
      <c r="I32" s="5">
        <f t="shared" si="11"/>
        <v>2072877</v>
      </c>
      <c r="J32" s="5">
        <f t="shared" si="11"/>
        <v>7990446.11</v>
      </c>
      <c r="K32" s="5">
        <f t="shared" si="11"/>
        <v>57115</v>
      </c>
      <c r="L32" s="5">
        <f t="shared" si="11"/>
        <v>-98226.7048999997</v>
      </c>
      <c r="M32" s="5">
        <f t="shared" si="11"/>
        <v>7353559.5332</v>
      </c>
      <c r="N32" s="5">
        <f t="shared" si="11"/>
        <v>7256612.9329</v>
      </c>
    </row>
    <row r="33" ht="21" spans="1:14">
      <c r="A33" s="4"/>
      <c r="B33" s="5">
        <v>2.6</v>
      </c>
      <c r="C33" s="5"/>
      <c r="D33" s="5"/>
      <c r="E33" s="5">
        <v>1.6</v>
      </c>
      <c r="F33" s="5"/>
      <c r="G33" s="5"/>
      <c r="H33" s="5"/>
      <c r="I33" s="5"/>
      <c r="J33" s="5"/>
      <c r="K33" s="5">
        <f>50000+20000</f>
        <v>70000</v>
      </c>
      <c r="L33" s="5"/>
      <c r="M33" s="5"/>
      <c r="N33" s="5" t="s">
        <v>13</v>
      </c>
    </row>
    <row r="34" ht="21" spans="1:14">
      <c r="A34" s="4" t="s">
        <v>14</v>
      </c>
      <c r="B34" s="5">
        <f>B32*B33</f>
        <v>48708.4</v>
      </c>
      <c r="C34" s="5"/>
      <c r="D34" s="5"/>
      <c r="E34" s="5">
        <f>E32*E33</f>
        <v>113975.44</v>
      </c>
      <c r="F34" s="5"/>
      <c r="G34" s="5"/>
      <c r="H34" s="5">
        <f>H32</f>
        <v>103949.3</v>
      </c>
      <c r="I34" s="5"/>
      <c r="J34" s="5"/>
      <c r="K34" s="5">
        <f>K32+K33</f>
        <v>127115</v>
      </c>
      <c r="L34" s="5"/>
      <c r="M34" s="5"/>
      <c r="N34" s="5">
        <f>(B34+E34+H34)-K34</f>
        <v>139518.14</v>
      </c>
    </row>
    <row r="35" spans="1:5">
      <c r="A35" s="1">
        <v>42917</v>
      </c>
      <c r="B35">
        <f>(18734+71234)/100*2*60</f>
        <v>107961.6</v>
      </c>
      <c r="D35" t="s">
        <v>15</v>
      </c>
      <c r="E35">
        <f>E34+B34</f>
        <v>162683.84</v>
      </c>
    </row>
    <row r="36" spans="1:1">
      <c r="A36" s="1">
        <v>42918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>
    <row r="1" spans="1:1">
      <c r="A1">
        <v>2700000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Rompicharla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rao mundru</dc:creator>
  <cp:lastModifiedBy>rama rao mundru</cp:lastModifiedBy>
  <dcterms:created xsi:type="dcterms:W3CDTF">2017-06-06T15:50:00Z</dcterms:created>
  <dcterms:modified xsi:type="dcterms:W3CDTF">2017-07-02T14:47:29Z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