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620" activeTab="1"/>
  </bookViews>
  <sheets>
    <sheet name="Sheet1" sheetId="1" r:id="rId1"/>
    <sheet name="chart" sheetId="3" r:id="rId2"/>
  </sheets>
  <calcPr calcId="124519"/>
</workbook>
</file>

<file path=xl/calcChain.xml><?xml version="1.0" encoding="utf-8"?>
<calcChain xmlns="http://schemas.openxmlformats.org/spreadsheetml/2006/main">
  <c r="AT21" i="1"/>
  <c r="AT20"/>
  <c r="AT19"/>
  <c r="AT18"/>
  <c r="AT17"/>
  <c r="AT16"/>
  <c r="AT15"/>
  <c r="AT14"/>
  <c r="AT13"/>
  <c r="AT12"/>
  <c r="AT11"/>
  <c r="AT10"/>
  <c r="AT9"/>
  <c r="AT8"/>
  <c r="AT7"/>
  <c r="AT6"/>
  <c r="AT5"/>
  <c r="AT22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22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5"/>
  <c r="AL22"/>
  <c r="AL21"/>
  <c r="AL20"/>
  <c r="AL19"/>
  <c r="AL18"/>
  <c r="AL17"/>
  <c r="AL16"/>
  <c r="AL15"/>
  <c r="AL14"/>
  <c r="AL13"/>
  <c r="AL12"/>
  <c r="AL11"/>
  <c r="AL10"/>
  <c r="AL9"/>
  <c r="AL8"/>
  <c r="AL6"/>
  <c r="AL5"/>
  <c r="AL7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22"/>
  <c r="AH15"/>
  <c r="AH6"/>
  <c r="AH7"/>
  <c r="AH8"/>
  <c r="AH9"/>
  <c r="AH10"/>
  <c r="AH11"/>
  <c r="AH12"/>
  <c r="AH13"/>
  <c r="AH14"/>
  <c r="AH16"/>
  <c r="AH17"/>
  <c r="AH18"/>
  <c r="AH19"/>
  <c r="AH20"/>
  <c r="AH21"/>
  <c r="AH22"/>
  <c r="AH5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D22"/>
  <c r="AD21"/>
  <c r="AD20"/>
  <c r="AD19"/>
  <c r="AD18"/>
  <c r="AD17"/>
  <c r="AD16"/>
  <c r="AD15"/>
  <c r="AD14"/>
  <c r="AD13"/>
  <c r="AD12"/>
  <c r="AD9"/>
  <c r="AD8"/>
  <c r="AD7"/>
  <c r="AD6"/>
  <c r="AD5"/>
  <c r="AD10"/>
  <c r="AD11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5"/>
  <c r="AB22" l="1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A22"/>
  <c r="AA21"/>
  <c r="AA20"/>
  <c r="AA19"/>
  <c r="AA18"/>
  <c r="AA17"/>
  <c r="AA16"/>
  <c r="AA15"/>
  <c r="AA14"/>
  <c r="AA13"/>
  <c r="AA12"/>
  <c r="AA10"/>
  <c r="AA11"/>
  <c r="AA9"/>
  <c r="AA8"/>
  <c r="AA7"/>
  <c r="AA6"/>
  <c r="AA5"/>
  <c r="Z21"/>
  <c r="Z19"/>
  <c r="Z20"/>
  <c r="Z18"/>
  <c r="Z17"/>
  <c r="Z16"/>
  <c r="Z15"/>
  <c r="Z14"/>
  <c r="Z13"/>
  <c r="Z12"/>
  <c r="Z11"/>
  <c r="Z10"/>
  <c r="Z9"/>
  <c r="Z8"/>
  <c r="Z7"/>
  <c r="Z6"/>
  <c r="Z5"/>
  <c r="Z22"/>
  <c r="Y21"/>
  <c r="Y20"/>
  <c r="Y19"/>
  <c r="Y18"/>
  <c r="Y17"/>
  <c r="Y16"/>
  <c r="Y15"/>
  <c r="Y14"/>
  <c r="Y13"/>
  <c r="Y12"/>
  <c r="Y11"/>
  <c r="Y10"/>
  <c r="Y9"/>
  <c r="Y8"/>
  <c r="Y7"/>
  <c r="Y6"/>
  <c r="Y5"/>
  <c r="Y22"/>
  <c r="X20"/>
  <c r="X21"/>
  <c r="X19"/>
  <c r="X18"/>
  <c r="X17"/>
  <c r="X16"/>
  <c r="X15"/>
  <c r="X14"/>
  <c r="X13"/>
  <c r="X12"/>
  <c r="X11"/>
  <c r="X10"/>
  <c r="X9"/>
  <c r="X8"/>
  <c r="X7"/>
  <c r="X6"/>
  <c r="X22"/>
  <c r="X5"/>
  <c r="V22"/>
  <c r="V21"/>
  <c r="V20"/>
  <c r="V19"/>
  <c r="V18"/>
  <c r="V17"/>
  <c r="V16"/>
  <c r="V15"/>
  <c r="V14"/>
  <c r="V13"/>
  <c r="V12"/>
  <c r="V11"/>
  <c r="V10"/>
  <c r="V9"/>
  <c r="V8"/>
  <c r="V7"/>
  <c r="V6"/>
  <c r="V5"/>
  <c r="U22"/>
  <c r="U21"/>
  <c r="U20"/>
  <c r="U19"/>
  <c r="U18"/>
  <c r="U17"/>
  <c r="U16"/>
  <c r="U15"/>
  <c r="U14"/>
  <c r="U13"/>
  <c r="U12"/>
  <c r="U11"/>
  <c r="U10"/>
  <c r="U9"/>
  <c r="U8"/>
  <c r="U7"/>
  <c r="U6"/>
  <c r="U5"/>
  <c r="T22"/>
  <c r="T21"/>
  <c r="T20"/>
  <c r="T19"/>
  <c r="T18"/>
  <c r="T17"/>
  <c r="T16"/>
  <c r="T15"/>
  <c r="T14"/>
  <c r="T13"/>
  <c r="T12"/>
  <c r="T11"/>
  <c r="T10"/>
  <c r="T9"/>
  <c r="T8"/>
  <c r="T7"/>
  <c r="T6"/>
  <c r="T5"/>
  <c r="S6"/>
  <c r="S7"/>
  <c r="S8"/>
  <c r="S9"/>
  <c r="S10"/>
  <c r="S11"/>
  <c r="S12"/>
  <c r="S13"/>
  <c r="S14"/>
  <c r="S15"/>
  <c r="S16"/>
  <c r="S17"/>
  <c r="S18"/>
  <c r="S19"/>
  <c r="S20"/>
  <c r="S21"/>
  <c r="S22"/>
  <c r="S5"/>
  <c r="R22"/>
  <c r="R21"/>
  <c r="R20"/>
  <c r="R19"/>
  <c r="R18"/>
  <c r="R17"/>
  <c r="R16"/>
  <c r="R15"/>
  <c r="R14"/>
  <c r="R13"/>
  <c r="R12"/>
  <c r="R11"/>
  <c r="R10"/>
  <c r="R9"/>
  <c r="R8"/>
  <c r="R7"/>
  <c r="R6"/>
  <c r="R5"/>
  <c r="N17"/>
  <c r="N16"/>
  <c r="P19" l="1"/>
  <c r="P20"/>
  <c r="P6"/>
  <c r="P7"/>
  <c r="P8"/>
  <c r="P9"/>
  <c r="P10"/>
  <c r="P11"/>
  <c r="P12"/>
  <c r="P13"/>
  <c r="P14"/>
  <c r="P15"/>
  <c r="P16"/>
  <c r="P17"/>
  <c r="P18"/>
  <c r="P21"/>
  <c r="P22"/>
  <c r="O5"/>
  <c r="P5"/>
  <c r="O8"/>
  <c r="O22"/>
  <c r="O19"/>
  <c r="O12"/>
  <c r="O6"/>
  <c r="O7"/>
  <c r="O9"/>
  <c r="O10"/>
  <c r="O11"/>
  <c r="O13"/>
  <c r="O14"/>
  <c r="O15"/>
  <c r="O16"/>
  <c r="O17"/>
  <c r="O18"/>
  <c r="O20"/>
  <c r="O21"/>
  <c r="N5"/>
  <c r="N6"/>
  <c r="N7"/>
  <c r="N8"/>
  <c r="N9"/>
  <c r="N10"/>
  <c r="N11"/>
  <c r="N12"/>
  <c r="N13"/>
  <c r="N14"/>
  <c r="N15"/>
  <c r="N19"/>
  <c r="N20"/>
  <c r="N21"/>
  <c r="N22"/>
  <c r="M22"/>
  <c r="M21"/>
  <c r="M18"/>
  <c r="M19"/>
  <c r="M17"/>
  <c r="M16"/>
  <c r="M15"/>
  <c r="M14"/>
  <c r="M13"/>
  <c r="M12"/>
  <c r="M11"/>
  <c r="M10"/>
  <c r="M9"/>
  <c r="M8"/>
  <c r="M7"/>
  <c r="M6"/>
  <c r="M5"/>
  <c r="M20"/>
  <c r="L11"/>
  <c r="L19"/>
  <c r="L10"/>
  <c r="L6"/>
  <c r="L7"/>
  <c r="L8"/>
  <c r="L9"/>
  <c r="L12"/>
  <c r="L13"/>
  <c r="L14"/>
  <c r="L15"/>
  <c r="L16"/>
  <c r="L17"/>
  <c r="L18"/>
  <c r="L20"/>
  <c r="L21"/>
  <c r="L22"/>
  <c r="L5"/>
  <c r="K5"/>
  <c r="K22"/>
  <c r="K21"/>
  <c r="K20"/>
  <c r="K19"/>
  <c r="K18"/>
  <c r="K17"/>
  <c r="K16"/>
  <c r="K15"/>
  <c r="K14"/>
  <c r="K13"/>
  <c r="K12"/>
  <c r="K11"/>
  <c r="K10"/>
  <c r="K9"/>
  <c r="K8"/>
  <c r="J6"/>
  <c r="J7"/>
  <c r="J8"/>
  <c r="J9"/>
  <c r="J10"/>
  <c r="J11"/>
  <c r="J12"/>
  <c r="J13"/>
  <c r="J14"/>
  <c r="J15"/>
  <c r="J16"/>
  <c r="J17"/>
  <c r="J18"/>
  <c r="J19"/>
  <c r="J20"/>
  <c r="J21"/>
  <c r="J22"/>
  <c r="J5"/>
  <c r="I22"/>
  <c r="I21"/>
  <c r="I20"/>
  <c r="I19"/>
  <c r="I18"/>
  <c r="I17"/>
  <c r="I16"/>
  <c r="I15"/>
  <c r="I14"/>
  <c r="I13"/>
  <c r="I12"/>
  <c r="I11"/>
  <c r="I10"/>
  <c r="I9"/>
  <c r="I8"/>
  <c r="I7"/>
  <c r="I6"/>
  <c r="I5"/>
  <c r="H22"/>
  <c r="H19"/>
  <c r="H18"/>
  <c r="H11"/>
  <c r="H10"/>
  <c r="H9"/>
  <c r="H13"/>
  <c r="H6"/>
  <c r="H7"/>
  <c r="H8"/>
  <c r="H12"/>
  <c r="H14"/>
  <c r="H15"/>
  <c r="H16"/>
  <c r="H17"/>
  <c r="H20"/>
  <c r="H21"/>
  <c r="H5"/>
  <c r="G21"/>
  <c r="G16"/>
  <c r="G15"/>
  <c r="G7"/>
  <c r="G10"/>
  <c r="G6"/>
  <c r="G8"/>
  <c r="G9"/>
  <c r="G11"/>
  <c r="G12"/>
  <c r="G13"/>
  <c r="G14"/>
  <c r="G17"/>
  <c r="G18"/>
  <c r="G19"/>
  <c r="G20"/>
  <c r="G22"/>
  <c r="G5"/>
  <c r="F20"/>
  <c r="F21"/>
  <c r="F19"/>
  <c r="F18"/>
  <c r="F17"/>
  <c r="F16"/>
  <c r="F15"/>
  <c r="F14"/>
  <c r="F13"/>
  <c r="F12"/>
  <c r="F11"/>
  <c r="F10"/>
  <c r="F9"/>
  <c r="F8"/>
  <c r="F7"/>
  <c r="F6"/>
  <c r="F5"/>
  <c r="F22"/>
  <c r="E22"/>
  <c r="E21"/>
  <c r="E20"/>
  <c r="E19"/>
  <c r="E18"/>
  <c r="E17"/>
  <c r="E16"/>
  <c r="E15"/>
  <c r="E14"/>
  <c r="E13"/>
  <c r="E12"/>
  <c r="E11"/>
  <c r="E10"/>
  <c r="E9"/>
  <c r="E8"/>
  <c r="E7"/>
  <c r="E6"/>
  <c r="E5"/>
  <c r="D22"/>
  <c r="D21"/>
  <c r="D20"/>
  <c r="D19"/>
  <c r="D18"/>
  <c r="D17"/>
  <c r="D16"/>
  <c r="D15"/>
  <c r="D14"/>
  <c r="D13"/>
  <c r="D12"/>
  <c r="D11"/>
  <c r="D10"/>
  <c r="D9"/>
  <c r="D8"/>
  <c r="D7"/>
  <c r="D6"/>
  <c r="D5"/>
  <c r="AT24"/>
  <c r="AS24"/>
  <c r="AR24"/>
  <c r="AQ24"/>
  <c r="AP24"/>
  <c r="AO24"/>
  <c r="AM24"/>
  <c r="AL24"/>
  <c r="AK24"/>
  <c r="AJ24"/>
  <c r="AI24"/>
  <c r="AH24"/>
  <c r="AG24"/>
  <c r="AF24"/>
  <c r="AD24"/>
  <c r="AB24"/>
  <c r="AA24"/>
  <c r="Z24"/>
  <c r="Y24"/>
  <c r="X24"/>
  <c r="V24"/>
  <c r="U24"/>
  <c r="T24"/>
  <c r="S24"/>
  <c r="R24"/>
  <c r="H24" l="1"/>
  <c r="J24"/>
  <c r="N24"/>
  <c r="D24"/>
  <c r="F24"/>
  <c r="E24"/>
  <c r="L24"/>
  <c r="P24"/>
  <c r="M24"/>
  <c r="O24"/>
  <c r="K24"/>
  <c r="I24"/>
  <c r="G24"/>
  <c r="AC24"/>
  <c r="AU24" l="1"/>
</calcChain>
</file>

<file path=xl/sharedStrings.xml><?xml version="1.0" encoding="utf-8"?>
<sst xmlns="http://schemas.openxmlformats.org/spreadsheetml/2006/main" count="58" uniqueCount="54">
  <si>
    <t>Admitat</t>
  </si>
  <si>
    <t>Comission Junction</t>
  </si>
  <si>
    <t>Trade Doubler</t>
  </si>
  <si>
    <t>Trade Tracker</t>
  </si>
  <si>
    <t>Awin</t>
  </si>
  <si>
    <t>Zaful</t>
  </si>
  <si>
    <t>PatPat</t>
  </si>
  <si>
    <t>Date</t>
  </si>
  <si>
    <t>Nice Beauty</t>
  </si>
  <si>
    <t>Tirendo</t>
  </si>
  <si>
    <t>ABS</t>
  </si>
  <si>
    <t>Chikme</t>
  </si>
  <si>
    <t>Emirates</t>
  </si>
  <si>
    <t>Turkish Airline</t>
  </si>
  <si>
    <t>Total</t>
  </si>
  <si>
    <t>IGP</t>
  </si>
  <si>
    <t xml:space="preserve">Easyrentcars </t>
  </si>
  <si>
    <t>Vaporl</t>
  </si>
  <si>
    <t>TVC-mall</t>
  </si>
  <si>
    <t>AbeBooks.com</t>
  </si>
  <si>
    <t>Lovelywholesale</t>
  </si>
  <si>
    <t>Ukraine International </t>
  </si>
  <si>
    <t>Cyber Florist</t>
  </si>
  <si>
    <t>Floraexpress</t>
  </si>
  <si>
    <t>Fairyseason</t>
  </si>
  <si>
    <t>Lightake</t>
  </si>
  <si>
    <t>Ninecolours </t>
  </si>
  <si>
    <t>Teknistore</t>
  </si>
  <si>
    <t>Depositphotos</t>
  </si>
  <si>
    <t>Milanoo</t>
  </si>
  <si>
    <t>Watches2U</t>
  </si>
  <si>
    <t>Tidebuy</t>
  </si>
  <si>
    <t>Boutiquefeel</t>
  </si>
  <si>
    <t>Lightinthebox</t>
  </si>
  <si>
    <t>Tmart</t>
  </si>
  <si>
    <t>Banggood</t>
  </si>
  <si>
    <t>Newchic</t>
  </si>
  <si>
    <t>Rosegal</t>
  </si>
  <si>
    <t>Dx</t>
  </si>
  <si>
    <t>Etihad Airways</t>
  </si>
  <si>
    <t>Paradox</t>
  </si>
  <si>
    <t>Tomtop</t>
  </si>
  <si>
    <t>Yoins</t>
  </si>
  <si>
    <t>MrPhoneDeals</t>
  </si>
  <si>
    <t>Dresslily</t>
  </si>
  <si>
    <t>Grand Total</t>
  </si>
  <si>
    <t>Networks</t>
  </si>
  <si>
    <t>Fig. 1 Admitat</t>
  </si>
  <si>
    <t>Fig. 2 Comission Junction</t>
  </si>
  <si>
    <t>Fig. 3 Trade Doubler</t>
  </si>
  <si>
    <t>Fig. 4 Trade Tracker</t>
  </si>
  <si>
    <t>Fig. 5 Awin</t>
  </si>
  <si>
    <t>Graphical Presentation</t>
  </si>
  <si>
    <t>Trade Track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</si>
</sst>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6" fillId="0" borderId="0" xfId="0" applyFont="1"/>
    <xf numFmtId="0" fontId="5" fillId="0" borderId="0" xfId="0" applyFont="1"/>
    <xf numFmtId="0" fontId="0" fillId="0" borderId="1" xfId="0" applyBorder="1"/>
    <xf numFmtId="0" fontId="1" fillId="0" borderId="1" xfId="1" applyFont="1" applyBorder="1"/>
    <xf numFmtId="0" fontId="5" fillId="0" borderId="1" xfId="1" applyFont="1" applyBorder="1"/>
    <xf numFmtId="0" fontId="3" fillId="0" borderId="1" xfId="1" applyFont="1" applyBorder="1"/>
    <xf numFmtId="0" fontId="6" fillId="0" borderId="1" xfId="1" applyFont="1" applyBorder="1"/>
    <xf numFmtId="14" fontId="0" fillId="0" borderId="1" xfId="0" applyNumberForma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14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5" fillId="0" borderId="2" xfId="1" applyFont="1" applyBorder="1"/>
    <xf numFmtId="0" fontId="4" fillId="0" borderId="8" xfId="0" applyFont="1" applyBorder="1"/>
    <xf numFmtId="0" fontId="1" fillId="0" borderId="9" xfId="0" applyFont="1" applyFill="1" applyBorder="1"/>
    <xf numFmtId="0" fontId="1" fillId="0" borderId="10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Sheet1!$C$4</c:f>
              <c:strCache>
                <c:ptCount val="1"/>
                <c:pt idx="0">
                  <c:v>Admitat</c:v>
                </c:pt>
              </c:strCache>
            </c:strRef>
          </c:tx>
          <c:marker>
            <c:symbol val="none"/>
          </c:marker>
          <c:val>
            <c:numRef>
              <c:f>Sheet1!$C$5:$C$22</c:f>
              <c:numCache>
                <c:formatCode>General</c:formatCode>
                <c:ptCount val="18"/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Zaful</c:v>
                </c:pt>
              </c:strCache>
            </c:strRef>
          </c:tx>
          <c:marker>
            <c:symbol val="none"/>
          </c:marker>
          <c:val>
            <c:numRef>
              <c:f>Sheet1!$D$5:$D$22</c:f>
              <c:numCache>
                <c:formatCode>General</c:formatCode>
                <c:ptCount val="18"/>
                <c:pt idx="0">
                  <c:v>16</c:v>
                </c:pt>
                <c:pt idx="1">
                  <c:v>64</c:v>
                </c:pt>
                <c:pt idx="2">
                  <c:v>44</c:v>
                </c:pt>
                <c:pt idx="3">
                  <c:v>53.44</c:v>
                </c:pt>
                <c:pt idx="4">
                  <c:v>44</c:v>
                </c:pt>
                <c:pt idx="5">
                  <c:v>68.320000000000007</c:v>
                </c:pt>
                <c:pt idx="6">
                  <c:v>52.160000000000004</c:v>
                </c:pt>
                <c:pt idx="7">
                  <c:v>52.32</c:v>
                </c:pt>
                <c:pt idx="8">
                  <c:v>68.320000000000007</c:v>
                </c:pt>
                <c:pt idx="9">
                  <c:v>11.200000000000001</c:v>
                </c:pt>
                <c:pt idx="10">
                  <c:v>41.6</c:v>
                </c:pt>
                <c:pt idx="11">
                  <c:v>79.92</c:v>
                </c:pt>
                <c:pt idx="12">
                  <c:v>71.12</c:v>
                </c:pt>
                <c:pt idx="13">
                  <c:v>40</c:v>
                </c:pt>
                <c:pt idx="14">
                  <c:v>47.92</c:v>
                </c:pt>
                <c:pt idx="15">
                  <c:v>103.92</c:v>
                </c:pt>
                <c:pt idx="16">
                  <c:v>64</c:v>
                </c:pt>
                <c:pt idx="17">
                  <c:v>53.52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PatPat</c:v>
                </c:pt>
              </c:strCache>
            </c:strRef>
          </c:tx>
          <c:marker>
            <c:symbol val="none"/>
          </c:marker>
          <c:val>
            <c:numRef>
              <c:f>Sheet1!$E$5:$E$22</c:f>
              <c:numCache>
                <c:formatCode>General</c:formatCode>
                <c:ptCount val="18"/>
                <c:pt idx="0">
                  <c:v>56.000000000000007</c:v>
                </c:pt>
                <c:pt idx="1">
                  <c:v>5.6000000000000005</c:v>
                </c:pt>
                <c:pt idx="2">
                  <c:v>55.930000000000007</c:v>
                </c:pt>
                <c:pt idx="3">
                  <c:v>60.900000000000006</c:v>
                </c:pt>
                <c:pt idx="4">
                  <c:v>55.300000000000004</c:v>
                </c:pt>
                <c:pt idx="5">
                  <c:v>46.2</c:v>
                </c:pt>
                <c:pt idx="6">
                  <c:v>38.500000000000007</c:v>
                </c:pt>
                <c:pt idx="7">
                  <c:v>31.430000000000003</c:v>
                </c:pt>
                <c:pt idx="8">
                  <c:v>41.930000000000007</c:v>
                </c:pt>
                <c:pt idx="9">
                  <c:v>48.300000000000004</c:v>
                </c:pt>
                <c:pt idx="10">
                  <c:v>46.2</c:v>
                </c:pt>
                <c:pt idx="11">
                  <c:v>20.930000000000003</c:v>
                </c:pt>
                <c:pt idx="12">
                  <c:v>24.85</c:v>
                </c:pt>
                <c:pt idx="13">
                  <c:v>3.8500000000000005</c:v>
                </c:pt>
                <c:pt idx="14">
                  <c:v>58.800000000000004</c:v>
                </c:pt>
                <c:pt idx="15">
                  <c:v>22.400000000000002</c:v>
                </c:pt>
                <c:pt idx="16">
                  <c:v>62.930000000000007</c:v>
                </c:pt>
                <c:pt idx="17">
                  <c:v>55.930000000000007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Nice Beauty</c:v>
                </c:pt>
              </c:strCache>
            </c:strRef>
          </c:tx>
          <c:marker>
            <c:symbol val="none"/>
          </c:marker>
          <c:val>
            <c:numRef>
              <c:f>Sheet1!$F$5:$F$22</c:f>
              <c:numCache>
                <c:formatCode>General</c:formatCode>
                <c:ptCount val="18"/>
                <c:pt idx="0">
                  <c:v>5.46</c:v>
                </c:pt>
                <c:pt idx="1">
                  <c:v>18.2</c:v>
                </c:pt>
                <c:pt idx="2">
                  <c:v>18.2</c:v>
                </c:pt>
                <c:pt idx="3">
                  <c:v>3.36</c:v>
                </c:pt>
                <c:pt idx="4">
                  <c:v>20.84</c:v>
                </c:pt>
                <c:pt idx="5">
                  <c:v>2.16</c:v>
                </c:pt>
                <c:pt idx="6">
                  <c:v>21.68</c:v>
                </c:pt>
                <c:pt idx="7">
                  <c:v>21.64</c:v>
                </c:pt>
                <c:pt idx="8">
                  <c:v>3.48</c:v>
                </c:pt>
                <c:pt idx="9">
                  <c:v>26.240000000000002</c:v>
                </c:pt>
                <c:pt idx="10">
                  <c:v>31.400000000000002</c:v>
                </c:pt>
                <c:pt idx="11">
                  <c:v>31.400000000000002</c:v>
                </c:pt>
                <c:pt idx="12">
                  <c:v>22.56</c:v>
                </c:pt>
                <c:pt idx="13">
                  <c:v>3.48</c:v>
                </c:pt>
                <c:pt idx="14">
                  <c:v>2.16</c:v>
                </c:pt>
                <c:pt idx="15">
                  <c:v>3.12</c:v>
                </c:pt>
                <c:pt idx="16">
                  <c:v>0</c:v>
                </c:pt>
                <c:pt idx="17">
                  <c:v>18.2</c:v>
                </c:pt>
              </c:numCache>
            </c:numRef>
          </c:val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Tirendo</c:v>
                </c:pt>
              </c:strCache>
            </c:strRef>
          </c:tx>
          <c:marker>
            <c:symbol val="none"/>
          </c:marker>
          <c:val>
            <c:numRef>
              <c:f>Sheet1!$G$5:$G$22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ABS</c:v>
                </c:pt>
              </c:strCache>
            </c:strRef>
          </c:tx>
          <c:marker>
            <c:symbol val="none"/>
          </c:marker>
          <c:val>
            <c:numRef>
              <c:f>Sheet1!$H$5:$H$22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16</c:v>
                </c:pt>
                <c:pt idx="6">
                  <c:v>72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75.960000000000008</c:v>
                </c:pt>
                <c:pt idx="14">
                  <c:v>48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</c:numCache>
            </c:numRef>
          </c:val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Chikme</c:v>
                </c:pt>
              </c:strCache>
            </c:strRef>
          </c:tx>
          <c:marker>
            <c:symbol val="none"/>
          </c:marker>
          <c:val>
            <c:numRef>
              <c:f>Sheet1!$I$5:$I$22</c:f>
              <c:numCache>
                <c:formatCode>General</c:formatCode>
                <c:ptCount val="18"/>
                <c:pt idx="0">
                  <c:v>4.32</c:v>
                </c:pt>
                <c:pt idx="1">
                  <c:v>7.92</c:v>
                </c:pt>
                <c:pt idx="2">
                  <c:v>47.92</c:v>
                </c:pt>
                <c:pt idx="3">
                  <c:v>55.92</c:v>
                </c:pt>
                <c:pt idx="4">
                  <c:v>8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72</c:v>
                </c:pt>
                <c:pt idx="9">
                  <c:v>64</c:v>
                </c:pt>
                <c:pt idx="10">
                  <c:v>48</c:v>
                </c:pt>
                <c:pt idx="11">
                  <c:v>32</c:v>
                </c:pt>
                <c:pt idx="12">
                  <c:v>48</c:v>
                </c:pt>
                <c:pt idx="13">
                  <c:v>55.92</c:v>
                </c:pt>
                <c:pt idx="14">
                  <c:v>53.52</c:v>
                </c:pt>
                <c:pt idx="15">
                  <c:v>39.92</c:v>
                </c:pt>
                <c:pt idx="16">
                  <c:v>71.92</c:v>
                </c:pt>
                <c:pt idx="17">
                  <c:v>48</c:v>
                </c:pt>
              </c:numCache>
            </c:numRef>
          </c:val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Emirates</c:v>
                </c:pt>
              </c:strCache>
            </c:strRef>
          </c:tx>
          <c:marker>
            <c:symbol val="none"/>
          </c:marker>
          <c:val>
            <c:numRef>
              <c:f>Sheet1!$J$5:$J$22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Sheet1!$K$4</c:f>
              <c:strCache>
                <c:ptCount val="1"/>
                <c:pt idx="0">
                  <c:v>IGP</c:v>
                </c:pt>
              </c:strCache>
            </c:strRef>
          </c:tx>
          <c:marker>
            <c:symbol val="none"/>
          </c:marker>
          <c:val>
            <c:numRef>
              <c:f>Sheet1!$K$5:$K$22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47.92</c:v>
                </c:pt>
                <c:pt idx="4">
                  <c:v>52.800000000000004</c:v>
                </c:pt>
                <c:pt idx="5">
                  <c:v>61.6</c:v>
                </c:pt>
                <c:pt idx="6">
                  <c:v>70.400000000000006</c:v>
                </c:pt>
                <c:pt idx="7">
                  <c:v>79.2</c:v>
                </c:pt>
                <c:pt idx="8">
                  <c:v>8.8000000000000007</c:v>
                </c:pt>
                <c:pt idx="9">
                  <c:v>17.600000000000001</c:v>
                </c:pt>
                <c:pt idx="10">
                  <c:v>52.800000000000004</c:v>
                </c:pt>
                <c:pt idx="11">
                  <c:v>61.6</c:v>
                </c:pt>
                <c:pt idx="12">
                  <c:v>52</c:v>
                </c:pt>
                <c:pt idx="13">
                  <c:v>72</c:v>
                </c:pt>
                <c:pt idx="14">
                  <c:v>61.6</c:v>
                </c:pt>
                <c:pt idx="15">
                  <c:v>70.400000000000006</c:v>
                </c:pt>
                <c:pt idx="16">
                  <c:v>52.800000000000004</c:v>
                </c:pt>
                <c:pt idx="17">
                  <c:v>24</c:v>
                </c:pt>
              </c:numCache>
            </c:numRef>
          </c:val>
        </c:ser>
        <c:ser>
          <c:idx val="9"/>
          <c:order val="9"/>
          <c:tx>
            <c:strRef>
              <c:f>Sheet1!$L$4</c:f>
              <c:strCache>
                <c:ptCount val="1"/>
                <c:pt idx="0">
                  <c:v>Easyrentcars </c:v>
                </c:pt>
              </c:strCache>
            </c:strRef>
          </c:tx>
          <c:marker>
            <c:symbol val="none"/>
          </c:marker>
          <c:val>
            <c:numRef>
              <c:f>Sheet1!$L$5:$L$22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Sheet1!$M$4</c:f>
              <c:strCache>
                <c:ptCount val="1"/>
                <c:pt idx="0">
                  <c:v>Vaporl</c:v>
                </c:pt>
              </c:strCache>
            </c:strRef>
          </c:tx>
          <c:marker>
            <c:symbol val="none"/>
          </c:marker>
          <c:val>
            <c:numRef>
              <c:f>Sheet1!$M$5:$M$22</c:f>
              <c:numCache>
                <c:formatCode>General</c:formatCode>
                <c:ptCount val="18"/>
                <c:pt idx="0">
                  <c:v>42.5</c:v>
                </c:pt>
                <c:pt idx="1">
                  <c:v>35</c:v>
                </c:pt>
                <c:pt idx="2">
                  <c:v>4.4000000000000004</c:v>
                </c:pt>
                <c:pt idx="3">
                  <c:v>15</c:v>
                </c:pt>
                <c:pt idx="4">
                  <c:v>45</c:v>
                </c:pt>
                <c:pt idx="5">
                  <c:v>40</c:v>
                </c:pt>
                <c:pt idx="6">
                  <c:v>15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41</c:v>
                </c:pt>
                <c:pt idx="12">
                  <c:v>35</c:v>
                </c:pt>
                <c:pt idx="13">
                  <c:v>33</c:v>
                </c:pt>
                <c:pt idx="14">
                  <c:v>30</c:v>
                </c:pt>
                <c:pt idx="15">
                  <c:v>40</c:v>
                </c:pt>
                <c:pt idx="16">
                  <c:v>42.5</c:v>
                </c:pt>
                <c:pt idx="17">
                  <c:v>40</c:v>
                </c:pt>
              </c:numCache>
            </c:numRef>
          </c:val>
        </c:ser>
        <c:ser>
          <c:idx val="11"/>
          <c:order val="11"/>
          <c:tx>
            <c:strRef>
              <c:f>Sheet1!$N$4</c:f>
              <c:strCache>
                <c:ptCount val="1"/>
                <c:pt idx="0">
                  <c:v>TVC-mall</c:v>
                </c:pt>
              </c:strCache>
            </c:strRef>
          </c:tx>
          <c:marker>
            <c:symbol val="none"/>
          </c:marker>
          <c:val>
            <c:numRef>
              <c:f>Sheet1!$N$5:$N$22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Sheet1!$O$4</c:f>
              <c:strCache>
                <c:ptCount val="1"/>
                <c:pt idx="0">
                  <c:v>AbeBooks.com</c:v>
                </c:pt>
              </c:strCache>
            </c:strRef>
          </c:tx>
          <c:marker>
            <c:symbol val="none"/>
          </c:marker>
          <c:val>
            <c:numRef>
              <c:f>Sheet1!$O$5:$O$22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</c:numCache>
            </c:numRef>
          </c:val>
        </c:ser>
        <c:ser>
          <c:idx val="13"/>
          <c:order val="13"/>
          <c:tx>
            <c:strRef>
              <c:f>Sheet1!$P$4</c:f>
              <c:strCache>
                <c:ptCount val="1"/>
                <c:pt idx="0">
                  <c:v>Turkish Airline</c:v>
                </c:pt>
              </c:strCache>
            </c:strRef>
          </c:tx>
          <c:marker>
            <c:symbol val="none"/>
          </c:marker>
          <c:val>
            <c:numRef>
              <c:f>Sheet1!$P$5:$P$22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4127488"/>
        <c:axId val="103809792"/>
      </c:lineChart>
      <c:catAx>
        <c:axId val="104127488"/>
        <c:scaling>
          <c:orientation val="minMax"/>
        </c:scaling>
        <c:axPos val="b"/>
        <c:tickLblPos val="nextTo"/>
        <c:crossAx val="103809792"/>
        <c:crosses val="autoZero"/>
        <c:auto val="1"/>
        <c:lblAlgn val="ctr"/>
        <c:lblOffset val="100"/>
      </c:catAx>
      <c:valAx>
        <c:axId val="103809792"/>
        <c:scaling>
          <c:orientation val="minMax"/>
        </c:scaling>
        <c:axPos val="l"/>
        <c:majorGridlines/>
        <c:numFmt formatCode="General" sourceLinked="1"/>
        <c:tickLblPos val="nextTo"/>
        <c:crossAx val="10412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Sheet1!$R$4</c:f>
              <c:strCache>
                <c:ptCount val="1"/>
                <c:pt idx="0">
                  <c:v>Lovelywholesale</c:v>
                </c:pt>
              </c:strCache>
            </c:strRef>
          </c:tx>
          <c:marker>
            <c:symbol val="none"/>
          </c:marker>
          <c:val>
            <c:numRef>
              <c:f>Sheet1!$R$5:$R$22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13.200000000000001</c:v>
                </c:pt>
                <c:pt idx="3">
                  <c:v>12.14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11</c:v>
                </c:pt>
                <c:pt idx="8">
                  <c:v>14</c:v>
                </c:pt>
                <c:pt idx="9">
                  <c:v>15.4</c:v>
                </c:pt>
                <c:pt idx="10">
                  <c:v>17.600000000000001</c:v>
                </c:pt>
                <c:pt idx="11">
                  <c:v>16</c:v>
                </c:pt>
                <c:pt idx="12">
                  <c:v>8</c:v>
                </c:pt>
                <c:pt idx="13">
                  <c:v>12</c:v>
                </c:pt>
                <c:pt idx="14">
                  <c:v>24</c:v>
                </c:pt>
                <c:pt idx="15">
                  <c:v>4.5</c:v>
                </c:pt>
                <c:pt idx="16">
                  <c:v>14</c:v>
                </c:pt>
                <c:pt idx="17">
                  <c:v>13.200000000000001</c:v>
                </c:pt>
              </c:numCache>
            </c:numRef>
          </c:val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Ukraine International </c:v>
                </c:pt>
              </c:strCache>
            </c:strRef>
          </c:tx>
          <c:marker>
            <c:symbol val="none"/>
          </c:marker>
          <c:val>
            <c:numRef>
              <c:f>Sheet1!$S$5:$S$22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Cyber Florist</c:v>
                </c:pt>
              </c:strCache>
            </c:strRef>
          </c:tx>
          <c:marker>
            <c:symbol val="none"/>
          </c:marker>
          <c:val>
            <c:numRef>
              <c:f>Sheet1!$T$5:$T$22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75</c:v>
                </c:pt>
                <c:pt idx="3">
                  <c:v>60</c:v>
                </c:pt>
                <c:pt idx="4">
                  <c:v>65</c:v>
                </c:pt>
                <c:pt idx="5">
                  <c:v>52.5</c:v>
                </c:pt>
                <c:pt idx="6">
                  <c:v>50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90</c:v>
                </c:pt>
                <c:pt idx="13">
                  <c:v>75</c:v>
                </c:pt>
                <c:pt idx="14">
                  <c:v>62.5</c:v>
                </c:pt>
                <c:pt idx="15">
                  <c:v>80</c:v>
                </c:pt>
                <c:pt idx="16">
                  <c:v>60</c:v>
                </c:pt>
                <c:pt idx="17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Sheet1!$U$4</c:f>
              <c:strCache>
                <c:ptCount val="1"/>
                <c:pt idx="0">
                  <c:v>Floraexpress</c:v>
                </c:pt>
              </c:strCache>
            </c:strRef>
          </c:tx>
          <c:marker>
            <c:symbol val="none"/>
          </c:marker>
          <c:val>
            <c:numRef>
              <c:f>Sheet1!$U$5:$U$22</c:f>
              <c:numCache>
                <c:formatCode>General</c:formatCode>
                <c:ptCount val="18"/>
                <c:pt idx="0">
                  <c:v>40</c:v>
                </c:pt>
                <c:pt idx="1">
                  <c:v>30</c:v>
                </c:pt>
                <c:pt idx="2">
                  <c:v>49.95</c:v>
                </c:pt>
                <c:pt idx="3">
                  <c:v>33</c:v>
                </c:pt>
                <c:pt idx="4">
                  <c:v>38.5</c:v>
                </c:pt>
                <c:pt idx="5">
                  <c:v>40</c:v>
                </c:pt>
                <c:pt idx="6">
                  <c:v>27.5</c:v>
                </c:pt>
                <c:pt idx="7">
                  <c:v>28</c:v>
                </c:pt>
                <c:pt idx="8">
                  <c:v>27.5</c:v>
                </c:pt>
                <c:pt idx="9">
                  <c:v>44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62.5</c:v>
                </c:pt>
                <c:pt idx="14">
                  <c:v>55</c:v>
                </c:pt>
                <c:pt idx="15">
                  <c:v>52.5</c:v>
                </c:pt>
                <c:pt idx="16">
                  <c:v>50.6</c:v>
                </c:pt>
                <c:pt idx="17">
                  <c:v>2.5</c:v>
                </c:pt>
              </c:numCache>
            </c:numRef>
          </c:val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Fairyseason</c:v>
                </c:pt>
              </c:strCache>
            </c:strRef>
          </c:tx>
          <c:marker>
            <c:symbol val="none"/>
          </c:marker>
          <c:val>
            <c:numRef>
              <c:f>Sheet1!$V$5:$V$22</c:f>
              <c:numCache>
                <c:formatCode>General</c:formatCode>
                <c:ptCount val="18"/>
                <c:pt idx="0">
                  <c:v>24</c:v>
                </c:pt>
                <c:pt idx="1">
                  <c:v>48</c:v>
                </c:pt>
                <c:pt idx="2">
                  <c:v>8</c:v>
                </c:pt>
                <c:pt idx="3">
                  <c:v>32</c:v>
                </c:pt>
                <c:pt idx="4">
                  <c:v>24</c:v>
                </c:pt>
                <c:pt idx="5">
                  <c:v>35.200000000000003</c:v>
                </c:pt>
                <c:pt idx="6">
                  <c:v>44</c:v>
                </c:pt>
                <c:pt idx="7">
                  <c:v>52.800000000000004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56</c:v>
                </c:pt>
                <c:pt idx="12">
                  <c:v>48</c:v>
                </c:pt>
                <c:pt idx="13">
                  <c:v>72</c:v>
                </c:pt>
                <c:pt idx="14">
                  <c:v>64</c:v>
                </c:pt>
                <c:pt idx="15">
                  <c:v>48</c:v>
                </c:pt>
                <c:pt idx="16">
                  <c:v>64</c:v>
                </c:pt>
                <c:pt idx="17">
                  <c:v>40</c:v>
                </c:pt>
              </c:numCache>
            </c:numRef>
          </c:val>
        </c:ser>
        <c:marker val="1"/>
        <c:axId val="103844864"/>
        <c:axId val="103858944"/>
      </c:lineChart>
      <c:catAx>
        <c:axId val="103844864"/>
        <c:scaling>
          <c:orientation val="minMax"/>
        </c:scaling>
        <c:axPos val="b"/>
        <c:tickLblPos val="nextTo"/>
        <c:crossAx val="103858944"/>
        <c:crosses val="autoZero"/>
        <c:auto val="1"/>
        <c:lblAlgn val="ctr"/>
        <c:lblOffset val="100"/>
      </c:catAx>
      <c:valAx>
        <c:axId val="103858944"/>
        <c:scaling>
          <c:orientation val="minMax"/>
        </c:scaling>
        <c:axPos val="l"/>
        <c:majorGridlines/>
        <c:numFmt formatCode="General" sourceLinked="1"/>
        <c:tickLblPos val="nextTo"/>
        <c:crossAx val="10384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Sheet1!$X$4</c:f>
              <c:strCache>
                <c:ptCount val="1"/>
                <c:pt idx="0">
                  <c:v>Lightake</c:v>
                </c:pt>
              </c:strCache>
            </c:strRef>
          </c:tx>
          <c:marker>
            <c:symbol val="none"/>
          </c:marker>
          <c:val>
            <c:numRef>
              <c:f>Sheet1!$X$5:$X$22</c:f>
              <c:numCache>
                <c:formatCode>General</c:formatCode>
                <c:ptCount val="18"/>
                <c:pt idx="0">
                  <c:v>16</c:v>
                </c:pt>
                <c:pt idx="1">
                  <c:v>14</c:v>
                </c:pt>
                <c:pt idx="2">
                  <c:v>24</c:v>
                </c:pt>
                <c:pt idx="3">
                  <c:v>10</c:v>
                </c:pt>
                <c:pt idx="4">
                  <c:v>4.4000000000000004</c:v>
                </c:pt>
                <c:pt idx="5">
                  <c:v>1.2</c:v>
                </c:pt>
                <c:pt idx="6">
                  <c:v>13.200000000000001</c:v>
                </c:pt>
                <c:pt idx="7">
                  <c:v>16</c:v>
                </c:pt>
                <c:pt idx="8">
                  <c:v>16.04</c:v>
                </c:pt>
                <c:pt idx="9">
                  <c:v>17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26.400000000000002</c:v>
                </c:pt>
                <c:pt idx="15">
                  <c:v>25</c:v>
                </c:pt>
                <c:pt idx="16">
                  <c:v>0</c:v>
                </c:pt>
                <c:pt idx="17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Ninecolours </c:v>
                </c:pt>
              </c:strCache>
            </c:strRef>
          </c:tx>
          <c:marker>
            <c:symbol val="none"/>
          </c:marker>
          <c:val>
            <c:numRef>
              <c:f>Sheet1!$Y$5:$Y$22</c:f>
              <c:numCache>
                <c:formatCode>General</c:formatCode>
                <c:ptCount val="18"/>
                <c:pt idx="0">
                  <c:v>21</c:v>
                </c:pt>
                <c:pt idx="1">
                  <c:v>17</c:v>
                </c:pt>
                <c:pt idx="2">
                  <c:v>13.4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13.200000000000001</c:v>
                </c:pt>
                <c:pt idx="8">
                  <c:v>4</c:v>
                </c:pt>
                <c:pt idx="9">
                  <c:v>24</c:v>
                </c:pt>
                <c:pt idx="10">
                  <c:v>36</c:v>
                </c:pt>
                <c:pt idx="11">
                  <c:v>34</c:v>
                </c:pt>
                <c:pt idx="12">
                  <c:v>36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Sheet1!$Z$4</c:f>
              <c:strCache>
                <c:ptCount val="1"/>
                <c:pt idx="0">
                  <c:v>Teknistore</c:v>
                </c:pt>
              </c:strCache>
            </c:strRef>
          </c:tx>
          <c:marker>
            <c:symbol val="none"/>
          </c:marker>
          <c:val>
            <c:numRef>
              <c:f>Sheet1!$Z$5:$Z$22</c:f>
              <c:numCache>
                <c:formatCode>General</c:formatCode>
                <c:ptCount val="18"/>
                <c:pt idx="0">
                  <c:v>45</c:v>
                </c:pt>
                <c:pt idx="1">
                  <c:v>54</c:v>
                </c:pt>
                <c:pt idx="2">
                  <c:v>45</c:v>
                </c:pt>
                <c:pt idx="3">
                  <c:v>72</c:v>
                </c:pt>
                <c:pt idx="4">
                  <c:v>54</c:v>
                </c:pt>
                <c:pt idx="5">
                  <c:v>27</c:v>
                </c:pt>
                <c:pt idx="6">
                  <c:v>36</c:v>
                </c:pt>
                <c:pt idx="7">
                  <c:v>54</c:v>
                </c:pt>
                <c:pt idx="8">
                  <c:v>45</c:v>
                </c:pt>
                <c:pt idx="9">
                  <c:v>18</c:v>
                </c:pt>
                <c:pt idx="10">
                  <c:v>27</c:v>
                </c:pt>
                <c:pt idx="11">
                  <c:v>63</c:v>
                </c:pt>
                <c:pt idx="12">
                  <c:v>18</c:v>
                </c:pt>
                <c:pt idx="13">
                  <c:v>27</c:v>
                </c:pt>
                <c:pt idx="14">
                  <c:v>81</c:v>
                </c:pt>
                <c:pt idx="15">
                  <c:v>63</c:v>
                </c:pt>
                <c:pt idx="16">
                  <c:v>72</c:v>
                </c:pt>
                <c:pt idx="17">
                  <c:v>63</c:v>
                </c:pt>
              </c:numCache>
            </c:numRef>
          </c:val>
        </c:ser>
        <c:ser>
          <c:idx val="3"/>
          <c:order val="3"/>
          <c:tx>
            <c:strRef>
              <c:f>Sheet1!$AA$4</c:f>
              <c:strCache>
                <c:ptCount val="1"/>
                <c:pt idx="0">
                  <c:v>Depositphotos</c:v>
                </c:pt>
              </c:strCache>
            </c:strRef>
          </c:tx>
          <c:marker>
            <c:symbol val="none"/>
          </c:marker>
          <c:val>
            <c:numRef>
              <c:f>Sheet1!$AA$5:$AA$22</c:f>
              <c:numCache>
                <c:formatCode>General</c:formatCode>
                <c:ptCount val="18"/>
                <c:pt idx="0">
                  <c:v>45</c:v>
                </c:pt>
                <c:pt idx="1">
                  <c:v>72</c:v>
                </c:pt>
                <c:pt idx="2">
                  <c:v>45</c:v>
                </c:pt>
                <c:pt idx="3">
                  <c:v>72</c:v>
                </c:pt>
                <c:pt idx="4">
                  <c:v>225</c:v>
                </c:pt>
                <c:pt idx="5">
                  <c:v>22.5</c:v>
                </c:pt>
                <c:pt idx="6">
                  <c:v>72</c:v>
                </c:pt>
                <c:pt idx="7">
                  <c:v>72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81</c:v>
                </c:pt>
                <c:pt idx="12">
                  <c:v>63</c:v>
                </c:pt>
                <c:pt idx="13">
                  <c:v>27</c:v>
                </c:pt>
                <c:pt idx="14">
                  <c:v>36</c:v>
                </c:pt>
                <c:pt idx="15">
                  <c:v>54</c:v>
                </c:pt>
                <c:pt idx="16">
                  <c:v>54</c:v>
                </c:pt>
                <c:pt idx="17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Sheet1!$AB$4</c:f>
              <c:strCache>
                <c:ptCount val="1"/>
                <c:pt idx="0">
                  <c:v>Milanoo</c:v>
                </c:pt>
              </c:strCache>
            </c:strRef>
          </c:tx>
          <c:marker>
            <c:symbol val="none"/>
          </c:marker>
          <c:val>
            <c:numRef>
              <c:f>Sheet1!$AB$5:$AB$22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8.8000000000000007</c:v>
                </c:pt>
                <c:pt idx="8">
                  <c:v>16</c:v>
                </c:pt>
                <c:pt idx="9">
                  <c:v>11</c:v>
                </c:pt>
                <c:pt idx="10">
                  <c:v>11.4</c:v>
                </c:pt>
                <c:pt idx="11">
                  <c:v>12</c:v>
                </c:pt>
                <c:pt idx="12">
                  <c:v>16</c:v>
                </c:pt>
                <c:pt idx="13">
                  <c:v>1</c:v>
                </c:pt>
                <c:pt idx="14">
                  <c:v>24</c:v>
                </c:pt>
                <c:pt idx="15">
                  <c:v>26</c:v>
                </c:pt>
                <c:pt idx="16">
                  <c:v>24</c:v>
                </c:pt>
                <c:pt idx="1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Sheet1!$AC$4</c:f>
              <c:strCache>
                <c:ptCount val="1"/>
                <c:pt idx="0">
                  <c:v>Watches2U</c:v>
                </c:pt>
              </c:strCache>
            </c:strRef>
          </c:tx>
          <c:marker>
            <c:symbol val="none"/>
          </c:marker>
          <c:val>
            <c:numRef>
              <c:f>Sheet1!$AC$5:$AC$22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</c:numCache>
            </c:numRef>
          </c:val>
        </c:ser>
        <c:ser>
          <c:idx val="6"/>
          <c:order val="6"/>
          <c:tx>
            <c:strRef>
              <c:f>Sheet1!$AD$4</c:f>
              <c:strCache>
                <c:ptCount val="1"/>
                <c:pt idx="0">
                  <c:v>Tidebuy</c:v>
                </c:pt>
              </c:strCache>
            </c:strRef>
          </c:tx>
          <c:marker>
            <c:symbol val="none"/>
          </c:marker>
          <c:val>
            <c:numRef>
              <c:f>Sheet1!$AD$5:$AD$22</c:f>
              <c:numCache>
                <c:formatCode>General</c:formatCode>
                <c:ptCount val="18"/>
                <c:pt idx="0">
                  <c:v>2.5</c:v>
                </c:pt>
                <c:pt idx="1">
                  <c:v>16.649999999999999</c:v>
                </c:pt>
                <c:pt idx="2">
                  <c:v>9</c:v>
                </c:pt>
                <c:pt idx="3">
                  <c:v>21.3</c:v>
                </c:pt>
                <c:pt idx="4">
                  <c:v>15</c:v>
                </c:pt>
                <c:pt idx="5">
                  <c:v>1.5</c:v>
                </c:pt>
                <c:pt idx="6">
                  <c:v>1.5</c:v>
                </c:pt>
                <c:pt idx="7">
                  <c:v>1.7999999999999998</c:v>
                </c:pt>
                <c:pt idx="8">
                  <c:v>4.5</c:v>
                </c:pt>
                <c:pt idx="9">
                  <c:v>15</c:v>
                </c:pt>
                <c:pt idx="10">
                  <c:v>18</c:v>
                </c:pt>
                <c:pt idx="11">
                  <c:v>23.099999999999998</c:v>
                </c:pt>
                <c:pt idx="12">
                  <c:v>29.97</c:v>
                </c:pt>
                <c:pt idx="13">
                  <c:v>38.97</c:v>
                </c:pt>
                <c:pt idx="14">
                  <c:v>23.099999999999998</c:v>
                </c:pt>
                <c:pt idx="15">
                  <c:v>19.8</c:v>
                </c:pt>
                <c:pt idx="16">
                  <c:v>30</c:v>
                </c:pt>
                <c:pt idx="17">
                  <c:v>21</c:v>
                </c:pt>
              </c:numCache>
            </c:numRef>
          </c:val>
        </c:ser>
        <c:marker val="1"/>
        <c:axId val="104231680"/>
        <c:axId val="104233216"/>
      </c:lineChart>
      <c:catAx>
        <c:axId val="104231680"/>
        <c:scaling>
          <c:orientation val="minMax"/>
        </c:scaling>
        <c:axPos val="b"/>
        <c:tickLblPos val="nextTo"/>
        <c:crossAx val="104233216"/>
        <c:crosses val="autoZero"/>
        <c:auto val="1"/>
        <c:lblAlgn val="ctr"/>
        <c:lblOffset val="100"/>
      </c:catAx>
      <c:valAx>
        <c:axId val="104233216"/>
        <c:scaling>
          <c:orientation val="minMax"/>
        </c:scaling>
        <c:axPos val="l"/>
        <c:majorGridlines/>
        <c:numFmt formatCode="General" sourceLinked="1"/>
        <c:tickLblPos val="nextTo"/>
        <c:crossAx val="10423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Sheet1!$AF$4</c:f>
              <c:strCache>
                <c:ptCount val="1"/>
                <c:pt idx="0">
                  <c:v>Boutiquefeel</c:v>
                </c:pt>
              </c:strCache>
            </c:strRef>
          </c:tx>
          <c:marker>
            <c:symbol val="none"/>
          </c:marker>
          <c:val>
            <c:numRef>
              <c:f>Sheet1!$AF$5:$AF$23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27.5</c:v>
                </c:pt>
                <c:pt idx="3">
                  <c:v>22</c:v>
                </c:pt>
                <c:pt idx="4">
                  <c:v>33</c:v>
                </c:pt>
                <c:pt idx="5">
                  <c:v>22</c:v>
                </c:pt>
                <c:pt idx="6">
                  <c:v>49.5</c:v>
                </c:pt>
                <c:pt idx="7">
                  <c:v>38.5</c:v>
                </c:pt>
                <c:pt idx="8">
                  <c:v>33</c:v>
                </c:pt>
                <c:pt idx="9">
                  <c:v>38.5</c:v>
                </c:pt>
                <c:pt idx="10">
                  <c:v>49.5</c:v>
                </c:pt>
                <c:pt idx="11">
                  <c:v>5</c:v>
                </c:pt>
                <c:pt idx="12">
                  <c:v>25</c:v>
                </c:pt>
                <c:pt idx="13">
                  <c:v>38.5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Sheet1!$AG$4</c:f>
              <c:strCache>
                <c:ptCount val="1"/>
                <c:pt idx="0">
                  <c:v>Lightinthebox</c:v>
                </c:pt>
              </c:strCache>
            </c:strRef>
          </c:tx>
          <c:marker>
            <c:symbol val="none"/>
          </c:marker>
          <c:val>
            <c:numRef>
              <c:f>Sheet1!$AG$5:$AG$23</c:f>
              <c:numCache>
                <c:formatCode>General</c:formatCode>
                <c:ptCount val="19"/>
                <c:pt idx="0">
                  <c:v>72</c:v>
                </c:pt>
                <c:pt idx="1">
                  <c:v>26.400000000000002</c:v>
                </c:pt>
                <c:pt idx="2">
                  <c:v>16.399999999999999</c:v>
                </c:pt>
                <c:pt idx="3">
                  <c:v>24</c:v>
                </c:pt>
                <c:pt idx="4">
                  <c:v>28</c:v>
                </c:pt>
                <c:pt idx="5">
                  <c:v>26.400000000000002</c:v>
                </c:pt>
                <c:pt idx="6">
                  <c:v>28</c:v>
                </c:pt>
                <c:pt idx="7">
                  <c:v>22</c:v>
                </c:pt>
                <c:pt idx="8">
                  <c:v>28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28</c:v>
                </c:pt>
                <c:pt idx="13">
                  <c:v>32</c:v>
                </c:pt>
                <c:pt idx="14">
                  <c:v>20</c:v>
                </c:pt>
                <c:pt idx="15">
                  <c:v>28</c:v>
                </c:pt>
                <c:pt idx="16">
                  <c:v>45</c:v>
                </c:pt>
                <c:pt idx="17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Sheet1!$AH$4</c:f>
              <c:strCache>
                <c:ptCount val="1"/>
                <c:pt idx="0">
                  <c:v>Tmart</c:v>
                </c:pt>
              </c:strCache>
            </c:strRef>
          </c:tx>
          <c:marker>
            <c:symbol val="none"/>
          </c:marker>
          <c:val>
            <c:numRef>
              <c:f>Sheet1!$AH$5:$AH$23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Sheet1!$AI$4</c:f>
              <c:strCache>
                <c:ptCount val="1"/>
                <c:pt idx="0">
                  <c:v>Banggood</c:v>
                </c:pt>
              </c:strCache>
            </c:strRef>
          </c:tx>
          <c:marker>
            <c:symbol val="none"/>
          </c:marker>
          <c:val>
            <c:numRef>
              <c:f>Sheet1!$AI$5:$AI$23</c:f>
              <c:numCache>
                <c:formatCode>General</c:formatCode>
                <c:ptCount val="19"/>
                <c:pt idx="0">
                  <c:v>11</c:v>
                </c:pt>
                <c:pt idx="1">
                  <c:v>27.5</c:v>
                </c:pt>
                <c:pt idx="2">
                  <c:v>27.75</c:v>
                </c:pt>
                <c:pt idx="3">
                  <c:v>27.5</c:v>
                </c:pt>
                <c:pt idx="4">
                  <c:v>27.75</c:v>
                </c:pt>
                <c:pt idx="5">
                  <c:v>28.3</c:v>
                </c:pt>
                <c:pt idx="6">
                  <c:v>35</c:v>
                </c:pt>
                <c:pt idx="7">
                  <c:v>22</c:v>
                </c:pt>
                <c:pt idx="8">
                  <c:v>32.5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30</c:v>
                </c:pt>
                <c:pt idx="13">
                  <c:v>35</c:v>
                </c:pt>
                <c:pt idx="14">
                  <c:v>45</c:v>
                </c:pt>
                <c:pt idx="15">
                  <c:v>37.5</c:v>
                </c:pt>
                <c:pt idx="16">
                  <c:v>33</c:v>
                </c:pt>
                <c:pt idx="17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Sheet1!$AJ$4</c:f>
              <c:strCache>
                <c:ptCount val="1"/>
                <c:pt idx="0">
                  <c:v>Newchic</c:v>
                </c:pt>
              </c:strCache>
            </c:strRef>
          </c:tx>
          <c:marker>
            <c:symbol val="none"/>
          </c:marker>
          <c:val>
            <c:numRef>
              <c:f>Sheet1!$AJ$5:$AJ$23</c:f>
              <c:numCache>
                <c:formatCode>General</c:formatCode>
                <c:ptCount val="19"/>
                <c:pt idx="0">
                  <c:v>21.000000000000004</c:v>
                </c:pt>
                <c:pt idx="1">
                  <c:v>35</c:v>
                </c:pt>
                <c:pt idx="2">
                  <c:v>63.000000000000007</c:v>
                </c:pt>
                <c:pt idx="3">
                  <c:v>56.000000000000007</c:v>
                </c:pt>
                <c:pt idx="4">
                  <c:v>42.000000000000007</c:v>
                </c:pt>
                <c:pt idx="5">
                  <c:v>49.000000000000007</c:v>
                </c:pt>
                <c:pt idx="6">
                  <c:v>56.000000000000007</c:v>
                </c:pt>
                <c:pt idx="7">
                  <c:v>63.000000000000007</c:v>
                </c:pt>
                <c:pt idx="8">
                  <c:v>49.000000000000007</c:v>
                </c:pt>
                <c:pt idx="9">
                  <c:v>42.000000000000007</c:v>
                </c:pt>
                <c:pt idx="10">
                  <c:v>49.000000000000007</c:v>
                </c:pt>
                <c:pt idx="11">
                  <c:v>63.000000000000007</c:v>
                </c:pt>
                <c:pt idx="12">
                  <c:v>56.000000000000007</c:v>
                </c:pt>
                <c:pt idx="13">
                  <c:v>35</c:v>
                </c:pt>
                <c:pt idx="14">
                  <c:v>42.000000000000007</c:v>
                </c:pt>
                <c:pt idx="15">
                  <c:v>49.000000000000007</c:v>
                </c:pt>
                <c:pt idx="16">
                  <c:v>42.000000000000007</c:v>
                </c:pt>
                <c:pt idx="17">
                  <c:v>42.000000000000007</c:v>
                </c:pt>
              </c:numCache>
            </c:numRef>
          </c:val>
        </c:ser>
        <c:ser>
          <c:idx val="5"/>
          <c:order val="5"/>
          <c:tx>
            <c:strRef>
              <c:f>Sheet1!$AK$4</c:f>
              <c:strCache>
                <c:ptCount val="1"/>
                <c:pt idx="0">
                  <c:v>Rosegal</c:v>
                </c:pt>
              </c:strCache>
            </c:strRef>
          </c:tx>
          <c:marker>
            <c:symbol val="none"/>
          </c:marker>
          <c:val>
            <c:numRef>
              <c:f>Sheet1!$AK$5:$AK$23</c:f>
              <c:numCache>
                <c:formatCode>General</c:formatCode>
                <c:ptCount val="19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32</c:v>
                </c:pt>
                <c:pt idx="4">
                  <c:v>24</c:v>
                </c:pt>
                <c:pt idx="5">
                  <c:v>32</c:v>
                </c:pt>
                <c:pt idx="6">
                  <c:v>2.8000000000000003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24</c:v>
                </c:pt>
                <c:pt idx="13">
                  <c:v>16</c:v>
                </c:pt>
                <c:pt idx="14">
                  <c:v>36</c:v>
                </c:pt>
                <c:pt idx="15">
                  <c:v>28</c:v>
                </c:pt>
                <c:pt idx="16">
                  <c:v>24</c:v>
                </c:pt>
                <c:pt idx="17">
                  <c:v>28</c:v>
                </c:pt>
              </c:numCache>
            </c:numRef>
          </c:val>
        </c:ser>
        <c:ser>
          <c:idx val="6"/>
          <c:order val="6"/>
          <c:tx>
            <c:strRef>
              <c:f>Sheet1!$AL$4</c:f>
              <c:strCache>
                <c:ptCount val="1"/>
                <c:pt idx="0">
                  <c:v>Dx</c:v>
                </c:pt>
              </c:strCache>
            </c:strRef>
          </c:tx>
          <c:marker>
            <c:symbol val="none"/>
          </c:marker>
          <c:val>
            <c:numRef>
              <c:f>Sheet1!$AL$5:$AL$23</c:f>
              <c:numCache>
                <c:formatCode>General</c:formatCode>
                <c:ptCount val="19"/>
                <c:pt idx="0">
                  <c:v>6</c:v>
                </c:pt>
                <c:pt idx="1">
                  <c:v>9.6000000000000002E-2</c:v>
                </c:pt>
                <c:pt idx="2">
                  <c:v>1.2E-2</c:v>
                </c:pt>
                <c:pt idx="3">
                  <c:v>2.6640000000000001</c:v>
                </c:pt>
                <c:pt idx="4">
                  <c:v>6.2039999999999997</c:v>
                </c:pt>
                <c:pt idx="5">
                  <c:v>1.2</c:v>
                </c:pt>
                <c:pt idx="6">
                  <c:v>1.1879999999999999</c:v>
                </c:pt>
                <c:pt idx="7">
                  <c:v>9.6</c:v>
                </c:pt>
                <c:pt idx="8">
                  <c:v>8.4</c:v>
                </c:pt>
                <c:pt idx="9">
                  <c:v>10.8</c:v>
                </c:pt>
                <c:pt idx="10">
                  <c:v>10.8</c:v>
                </c:pt>
                <c:pt idx="11">
                  <c:v>1.2</c:v>
                </c:pt>
                <c:pt idx="12">
                  <c:v>9.6</c:v>
                </c:pt>
                <c:pt idx="13">
                  <c:v>10.8</c:v>
                </c:pt>
                <c:pt idx="14">
                  <c:v>12</c:v>
                </c:pt>
                <c:pt idx="15">
                  <c:v>9.6</c:v>
                </c:pt>
                <c:pt idx="16">
                  <c:v>10.8</c:v>
                </c:pt>
                <c:pt idx="17">
                  <c:v>1.2</c:v>
                </c:pt>
              </c:numCache>
            </c:numRef>
          </c:val>
        </c:ser>
        <c:ser>
          <c:idx val="7"/>
          <c:order val="7"/>
          <c:tx>
            <c:strRef>
              <c:f>Sheet1!$AM$4</c:f>
              <c:strCache>
                <c:ptCount val="1"/>
                <c:pt idx="0">
                  <c:v>Etihad Airways</c:v>
                </c:pt>
              </c:strCache>
            </c:strRef>
          </c:tx>
          <c:marker>
            <c:symbol val="none"/>
          </c:marker>
          <c:val>
            <c:numRef>
              <c:f>Sheet1!$AM$5:$AM$23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5659392"/>
        <c:axId val="105665280"/>
      </c:lineChart>
      <c:catAx>
        <c:axId val="105659392"/>
        <c:scaling>
          <c:orientation val="minMax"/>
        </c:scaling>
        <c:axPos val="b"/>
        <c:tickLblPos val="nextTo"/>
        <c:crossAx val="105665280"/>
        <c:crosses val="autoZero"/>
        <c:auto val="1"/>
        <c:lblAlgn val="ctr"/>
        <c:lblOffset val="100"/>
      </c:catAx>
      <c:valAx>
        <c:axId val="105665280"/>
        <c:scaling>
          <c:orientation val="minMax"/>
        </c:scaling>
        <c:axPos val="l"/>
        <c:majorGridlines/>
        <c:numFmt formatCode="General" sourceLinked="1"/>
        <c:tickLblPos val="nextTo"/>
        <c:crossAx val="1056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Sheet1!$AP$4</c:f>
              <c:strCache>
                <c:ptCount val="1"/>
                <c:pt idx="0">
                  <c:v>Paradox</c:v>
                </c:pt>
              </c:strCache>
            </c:strRef>
          </c:tx>
          <c:marker>
            <c:symbol val="none"/>
          </c:marker>
          <c:val>
            <c:numRef>
              <c:f>Sheet1!$AP$5:$AP$22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11.1</c:v>
                </c:pt>
                <c:pt idx="10">
                  <c:v>10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16</c:v>
                </c:pt>
                <c:pt idx="17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Sheet1!$AQ$4</c:f>
              <c:strCache>
                <c:ptCount val="1"/>
                <c:pt idx="0">
                  <c:v>Tomtop</c:v>
                </c:pt>
              </c:strCache>
            </c:strRef>
          </c:tx>
          <c:marker>
            <c:symbol val="none"/>
          </c:marker>
          <c:val>
            <c:numRef>
              <c:f>Sheet1!$AQ$5:$AQ$22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Sheet1!$AR$4</c:f>
              <c:strCache>
                <c:ptCount val="1"/>
                <c:pt idx="0">
                  <c:v>Yoins</c:v>
                </c:pt>
              </c:strCache>
            </c:strRef>
          </c:tx>
          <c:marker>
            <c:symbol val="none"/>
          </c:marker>
          <c:val>
            <c:numRef>
              <c:f>Sheet1!$AR$5:$AR$22</c:f>
              <c:numCache>
                <c:formatCode>General</c:formatCode>
                <c:ptCount val="18"/>
                <c:pt idx="0">
                  <c:v>40</c:v>
                </c:pt>
                <c:pt idx="1">
                  <c:v>25</c:v>
                </c:pt>
                <c:pt idx="2">
                  <c:v>20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45</c:v>
                </c:pt>
                <c:pt idx="8">
                  <c:v>25</c:v>
                </c:pt>
                <c:pt idx="9">
                  <c:v>10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30</c:v>
                </c:pt>
                <c:pt idx="15">
                  <c:v>25</c:v>
                </c:pt>
                <c:pt idx="16">
                  <c:v>45</c:v>
                </c:pt>
                <c:pt idx="17">
                  <c:v>40</c:v>
                </c:pt>
              </c:numCache>
            </c:numRef>
          </c:val>
        </c:ser>
        <c:ser>
          <c:idx val="3"/>
          <c:order val="3"/>
          <c:tx>
            <c:strRef>
              <c:f>Sheet1!$AS$4</c:f>
              <c:strCache>
                <c:ptCount val="1"/>
                <c:pt idx="0">
                  <c:v>MrPhoneDeals</c:v>
                </c:pt>
              </c:strCache>
            </c:strRef>
          </c:tx>
          <c:marker>
            <c:symbol val="none"/>
          </c:marker>
          <c:val>
            <c:numRef>
              <c:f>Sheet1!$AS$5:$AS$22</c:f>
              <c:numCache>
                <c:formatCode>General</c:formatCode>
                <c:ptCount val="18"/>
                <c:pt idx="0">
                  <c:v>28</c:v>
                </c:pt>
                <c:pt idx="1">
                  <c:v>40</c:v>
                </c:pt>
                <c:pt idx="2">
                  <c:v>80</c:v>
                </c:pt>
                <c:pt idx="3">
                  <c:v>32</c:v>
                </c:pt>
                <c:pt idx="4">
                  <c:v>36</c:v>
                </c:pt>
                <c:pt idx="5">
                  <c:v>24</c:v>
                </c:pt>
                <c:pt idx="6">
                  <c:v>36</c:v>
                </c:pt>
                <c:pt idx="7">
                  <c:v>12</c:v>
                </c:pt>
                <c:pt idx="8">
                  <c:v>24</c:v>
                </c:pt>
                <c:pt idx="9">
                  <c:v>32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32</c:v>
                </c:pt>
                <c:pt idx="14">
                  <c:v>36</c:v>
                </c:pt>
                <c:pt idx="15">
                  <c:v>12</c:v>
                </c:pt>
                <c:pt idx="16">
                  <c:v>16</c:v>
                </c:pt>
                <c:pt idx="17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Sheet1!$AT$4</c:f>
              <c:strCache>
                <c:ptCount val="1"/>
                <c:pt idx="0">
                  <c:v>Dresslily</c:v>
                </c:pt>
              </c:strCache>
            </c:strRef>
          </c:tx>
          <c:marker>
            <c:symbol val="none"/>
          </c:marker>
          <c:val>
            <c:numRef>
              <c:f>Sheet1!$AT$5:$AT$22</c:f>
              <c:numCache>
                <c:formatCode>General</c:formatCode>
                <c:ptCount val="18"/>
                <c:pt idx="0">
                  <c:v>0</c:v>
                </c:pt>
                <c:pt idx="1">
                  <c:v>72</c:v>
                </c:pt>
                <c:pt idx="2">
                  <c:v>64</c:v>
                </c:pt>
                <c:pt idx="3">
                  <c:v>35.200000000000003</c:v>
                </c:pt>
                <c:pt idx="4">
                  <c:v>64</c:v>
                </c:pt>
                <c:pt idx="5">
                  <c:v>72</c:v>
                </c:pt>
                <c:pt idx="6">
                  <c:v>70.400000000000006</c:v>
                </c:pt>
                <c:pt idx="7">
                  <c:v>56</c:v>
                </c:pt>
                <c:pt idx="8">
                  <c:v>48</c:v>
                </c:pt>
                <c:pt idx="9">
                  <c:v>24</c:v>
                </c:pt>
                <c:pt idx="10">
                  <c:v>56</c:v>
                </c:pt>
                <c:pt idx="11">
                  <c:v>24</c:v>
                </c:pt>
                <c:pt idx="12">
                  <c:v>32</c:v>
                </c:pt>
                <c:pt idx="13">
                  <c:v>48</c:v>
                </c:pt>
                <c:pt idx="14">
                  <c:v>56</c:v>
                </c:pt>
                <c:pt idx="15">
                  <c:v>72</c:v>
                </c:pt>
                <c:pt idx="16">
                  <c:v>48</c:v>
                </c:pt>
                <c:pt idx="17">
                  <c:v>72</c:v>
                </c:pt>
              </c:numCache>
            </c:numRef>
          </c:val>
        </c:ser>
        <c:marker val="1"/>
        <c:axId val="105704448"/>
        <c:axId val="105722624"/>
      </c:lineChart>
      <c:catAx>
        <c:axId val="105704448"/>
        <c:scaling>
          <c:orientation val="minMax"/>
        </c:scaling>
        <c:axPos val="b"/>
        <c:tickLblPos val="nextTo"/>
        <c:crossAx val="105722624"/>
        <c:crosses val="autoZero"/>
        <c:auto val="1"/>
        <c:lblAlgn val="ctr"/>
        <c:lblOffset val="100"/>
      </c:catAx>
      <c:valAx>
        <c:axId val="105722624"/>
        <c:scaling>
          <c:orientation val="minMax"/>
        </c:scaling>
        <c:axPos val="l"/>
        <c:majorGridlines/>
        <c:numFmt formatCode="General" sourceLinked="1"/>
        <c:tickLblPos val="nextTo"/>
        <c:crossAx val="10570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  <a:r>
              <a:rPr lang="en-US" baseline="0"/>
              <a:t> Performance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chart!$C$4</c:f>
              <c:strCache>
                <c:ptCount val="1"/>
                <c:pt idx="0">
                  <c:v>Admitat</c:v>
                </c:pt>
              </c:strCache>
            </c:strRef>
          </c:tx>
          <c:val>
            <c:numRef>
              <c:f>chart!$C$5:$C$19</c:f>
              <c:numCache>
                <c:formatCode>General</c:formatCode>
                <c:ptCount val="15"/>
                <c:pt idx="0">
                  <c:v>975.76</c:v>
                </c:pt>
                <c:pt idx="1">
                  <c:v>735.98</c:v>
                </c:pt>
                <c:pt idx="2">
                  <c:v>253.58</c:v>
                </c:pt>
                <c:pt idx="3">
                  <c:v>104</c:v>
                </c:pt>
                <c:pt idx="4">
                  <c:v>305.95999999999998</c:v>
                </c:pt>
                <c:pt idx="5">
                  <c:v>801.36</c:v>
                </c:pt>
                <c:pt idx="6">
                  <c:v>0</c:v>
                </c:pt>
                <c:pt idx="7">
                  <c:v>925.52</c:v>
                </c:pt>
                <c:pt idx="8">
                  <c:v>160</c:v>
                </c:pt>
                <c:pt idx="9">
                  <c:v>559.4</c:v>
                </c:pt>
                <c:pt idx="10">
                  <c:v>4.5</c:v>
                </c:pt>
                <c:pt idx="11">
                  <c:v>84</c:v>
                </c:pt>
                <c:pt idx="12">
                  <c:v>66</c:v>
                </c:pt>
              </c:numCache>
            </c:numRef>
          </c:val>
        </c:ser>
        <c:ser>
          <c:idx val="1"/>
          <c:order val="1"/>
          <c:tx>
            <c:strRef>
              <c:f>chart!$D$4</c:f>
              <c:strCache>
                <c:ptCount val="1"/>
                <c:pt idx="0">
                  <c:v>Comission Junction</c:v>
                </c:pt>
              </c:strCache>
            </c:strRef>
          </c:tx>
          <c:val>
            <c:numRef>
              <c:f>chart!$D$5:$D$19</c:f>
              <c:numCache>
                <c:formatCode>General</c:formatCode>
                <c:ptCount val="15"/>
                <c:pt idx="0">
                  <c:v>233.04</c:v>
                </c:pt>
                <c:pt idx="1">
                  <c:v>0</c:v>
                </c:pt>
                <c:pt idx="2">
                  <c:v>985</c:v>
                </c:pt>
                <c:pt idx="3">
                  <c:v>786.55</c:v>
                </c:pt>
                <c:pt idx="4">
                  <c:v>684</c:v>
                </c:pt>
              </c:numCache>
            </c:numRef>
          </c:val>
        </c:ser>
        <c:ser>
          <c:idx val="2"/>
          <c:order val="2"/>
          <c:tx>
            <c:strRef>
              <c:f>chart!$E$4</c:f>
              <c:strCache>
                <c:ptCount val="1"/>
                <c:pt idx="0">
                  <c:v>Trade Doubler</c:v>
                </c:pt>
              </c:strCache>
            </c:strRef>
          </c:tx>
          <c:val>
            <c:numRef>
              <c:f>chart!$E$5:$E$19</c:f>
              <c:numCache>
                <c:formatCode>General</c:formatCode>
                <c:ptCount val="15"/>
                <c:pt idx="0">
                  <c:v>307.24</c:v>
                </c:pt>
                <c:pt idx="1">
                  <c:v>328.6</c:v>
                </c:pt>
                <c:pt idx="2">
                  <c:v>864</c:v>
                </c:pt>
                <c:pt idx="3">
                  <c:v>1138.5</c:v>
                </c:pt>
                <c:pt idx="4">
                  <c:v>244.2</c:v>
                </c:pt>
                <c:pt idx="5">
                  <c:v>27</c:v>
                </c:pt>
                <c:pt idx="6">
                  <c:v>292.69</c:v>
                </c:pt>
              </c:numCache>
            </c:numRef>
          </c:val>
        </c:ser>
        <c:ser>
          <c:idx val="3"/>
          <c:order val="3"/>
          <c:tx>
            <c:strRef>
              <c:f>chart!$F$4</c:f>
              <c:strCache>
                <c:ptCount val="1"/>
                <c:pt idx="0">
                  <c:v>Trade Track</c:v>
                </c:pt>
              </c:strCache>
            </c:strRef>
          </c:tx>
          <c:val>
            <c:numRef>
              <c:f>chart!$F$5:$F$19</c:f>
              <c:numCache>
                <c:formatCode>General</c:formatCode>
                <c:ptCount val="15"/>
                <c:pt idx="0">
                  <c:v>627</c:v>
                </c:pt>
                <c:pt idx="1">
                  <c:v>555.20000000000005</c:v>
                </c:pt>
                <c:pt idx="2">
                  <c:v>20.25</c:v>
                </c:pt>
                <c:pt idx="3">
                  <c:v>574.79999999999995</c:v>
                </c:pt>
                <c:pt idx="4">
                  <c:v>854</c:v>
                </c:pt>
                <c:pt idx="5">
                  <c:v>426.8</c:v>
                </c:pt>
                <c:pt idx="6">
                  <c:v>112.16</c:v>
                </c:pt>
              </c:numCache>
            </c:numRef>
          </c:val>
        </c:ser>
        <c:ser>
          <c:idx val="4"/>
          <c:order val="4"/>
          <c:tx>
            <c:strRef>
              <c:f>chart!$G$4</c:f>
              <c:strCache>
                <c:ptCount val="1"/>
                <c:pt idx="0">
                  <c:v>Awin</c:v>
                </c:pt>
              </c:strCache>
            </c:strRef>
          </c:tx>
          <c:val>
            <c:numRef>
              <c:f>chart!$G$5:$G$19</c:f>
              <c:numCache>
                <c:formatCode>General</c:formatCode>
                <c:ptCount val="15"/>
                <c:pt idx="0">
                  <c:v>215.1</c:v>
                </c:pt>
                <c:pt idx="1">
                  <c:v>0</c:v>
                </c:pt>
                <c:pt idx="2">
                  <c:v>595</c:v>
                </c:pt>
                <c:pt idx="3">
                  <c:v>530</c:v>
                </c:pt>
                <c:pt idx="4">
                  <c:v>913.6</c:v>
                </c:pt>
              </c:numCache>
            </c:numRef>
          </c:val>
        </c:ser>
        <c:dLbls/>
        <c:gapWidth val="55"/>
        <c:overlap val="100"/>
        <c:axId val="40112896"/>
        <c:axId val="40244352"/>
      </c:barChart>
      <c:catAx>
        <c:axId val="40112896"/>
        <c:scaling>
          <c:orientation val="minMax"/>
        </c:scaling>
        <c:axPos val="b"/>
        <c:majorTickMark val="none"/>
        <c:tickLblPos val="nextTo"/>
        <c:crossAx val="40244352"/>
        <c:crosses val="autoZero"/>
        <c:auto val="1"/>
        <c:lblAlgn val="ctr"/>
        <c:lblOffset val="100"/>
      </c:catAx>
      <c:valAx>
        <c:axId val="40244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011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29</xdr:row>
      <xdr:rowOff>133350</xdr:rowOff>
    </xdr:from>
    <xdr:to>
      <xdr:col>7</xdr:col>
      <xdr:colOff>400050</xdr:colOff>
      <xdr:row>44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29</xdr:row>
      <xdr:rowOff>142875</xdr:rowOff>
    </xdr:from>
    <xdr:to>
      <xdr:col>13</xdr:col>
      <xdr:colOff>857250</xdr:colOff>
      <xdr:row>44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29</xdr:row>
      <xdr:rowOff>114300</xdr:rowOff>
    </xdr:from>
    <xdr:to>
      <xdr:col>20</xdr:col>
      <xdr:colOff>600075</xdr:colOff>
      <xdr:row>43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238125</xdr:colOff>
      <xdr:row>29</xdr:row>
      <xdr:rowOff>85725</xdr:rowOff>
    </xdr:from>
    <xdr:to>
      <xdr:col>29</xdr:col>
      <xdr:colOff>419100</xdr:colOff>
      <xdr:row>43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85725</xdr:colOff>
      <xdr:row>29</xdr:row>
      <xdr:rowOff>57150</xdr:rowOff>
    </xdr:from>
    <xdr:to>
      <xdr:col>39</xdr:col>
      <xdr:colOff>133350</xdr:colOff>
      <xdr:row>43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4</xdr:row>
      <xdr:rowOff>95250</xdr:rowOff>
    </xdr:from>
    <xdr:to>
      <xdr:col>16</xdr:col>
      <xdr:colOff>542925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mitad.com/en/webmaster/websites/1149366/offers/18486/" TargetMode="External"/><Relationship Id="rId13" Type="http://schemas.openxmlformats.org/officeDocument/2006/relationships/hyperlink" Target="https://www.admitad.com/en/webmaster/websites/1149366/offers/21217/" TargetMode="External"/><Relationship Id="rId18" Type="http://schemas.openxmlformats.org/officeDocument/2006/relationships/hyperlink" Target="https://www.admitad.com/en/webmaster/websites/1149366/offers/13623/" TargetMode="External"/><Relationship Id="rId26" Type="http://schemas.openxmlformats.org/officeDocument/2006/relationships/hyperlink" Target="https://www.admitad.com/en/webmaster/websites/1149366/offers/22102/" TargetMode="External"/><Relationship Id="rId3" Type="http://schemas.openxmlformats.org/officeDocument/2006/relationships/hyperlink" Target="https://www.admitad.com/en/webmaster/websites/1149366/offers/18541/" TargetMode="External"/><Relationship Id="rId21" Type="http://schemas.openxmlformats.org/officeDocument/2006/relationships/hyperlink" Target="https://www.admitad.com/en/webmaster/websites/1149366/offers/7077/" TargetMode="External"/><Relationship Id="rId7" Type="http://schemas.openxmlformats.org/officeDocument/2006/relationships/hyperlink" Target="https://www.admitad.com/en/webmaster/websites/1149366/offers/19857/" TargetMode="External"/><Relationship Id="rId12" Type="http://schemas.openxmlformats.org/officeDocument/2006/relationships/hyperlink" Target="https://www.admitad.com/en/webmaster/websites/1149366/offers/18350/" TargetMode="External"/><Relationship Id="rId17" Type="http://schemas.openxmlformats.org/officeDocument/2006/relationships/hyperlink" Target="https://www.admitad.com/en/webmaster/websites/1149366/offers/15914/" TargetMode="External"/><Relationship Id="rId25" Type="http://schemas.openxmlformats.org/officeDocument/2006/relationships/hyperlink" Target="https://www.admitad.com/en/webmaster/websites/1149366/offers/15672/" TargetMode="External"/><Relationship Id="rId2" Type="http://schemas.openxmlformats.org/officeDocument/2006/relationships/hyperlink" Target="https://www.admitad.com/en/webmaster/websites/1149366/offers/16145/" TargetMode="External"/><Relationship Id="rId16" Type="http://schemas.openxmlformats.org/officeDocument/2006/relationships/hyperlink" Target="https://www.admitad.com/en/webmaster/websites/1149366/offers/5631/" TargetMode="External"/><Relationship Id="rId20" Type="http://schemas.openxmlformats.org/officeDocument/2006/relationships/hyperlink" Target="https://www.admitad.com/en/webmaster/websites/1149366/offers/15415/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www.admitad.com/en/webmaster/websites/1149366/offers/21102/" TargetMode="External"/><Relationship Id="rId6" Type="http://schemas.openxmlformats.org/officeDocument/2006/relationships/hyperlink" Target="https://www.admitad.com/en/webmaster/websites/1149366/offers/15218/" TargetMode="External"/><Relationship Id="rId11" Type="http://schemas.openxmlformats.org/officeDocument/2006/relationships/hyperlink" Target="https://www.admitad.com/en/webmaster/websites/1149366/offers/17314/" TargetMode="External"/><Relationship Id="rId24" Type="http://schemas.openxmlformats.org/officeDocument/2006/relationships/hyperlink" Target="https://www.admitad.com/en/webmaster/websites/1149366/offers/14350/" TargetMode="External"/><Relationship Id="rId5" Type="http://schemas.openxmlformats.org/officeDocument/2006/relationships/hyperlink" Target="https://www.admitad.com/en/webmaster/websites/1149366/offers/16494/" TargetMode="External"/><Relationship Id="rId15" Type="http://schemas.openxmlformats.org/officeDocument/2006/relationships/hyperlink" Target="https://www.admitad.com/en/webmaster/websites/1149366/offers/18429/" TargetMode="External"/><Relationship Id="rId23" Type="http://schemas.openxmlformats.org/officeDocument/2006/relationships/hyperlink" Target="https://www.admitad.com/en/webmaster/websites/1149366/offers/21708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admitad.com/en/webmaster/websites/1149366/offers/18071/" TargetMode="External"/><Relationship Id="rId19" Type="http://schemas.openxmlformats.org/officeDocument/2006/relationships/hyperlink" Target="https://www.admitad.com/en/webmaster/websites/1149366/offers/15671/" TargetMode="External"/><Relationship Id="rId4" Type="http://schemas.openxmlformats.org/officeDocument/2006/relationships/hyperlink" Target="https://www.admitad.com/en/webmaster/websites/1149366/offers/14986/" TargetMode="External"/><Relationship Id="rId9" Type="http://schemas.openxmlformats.org/officeDocument/2006/relationships/hyperlink" Target="https://www.admitad.com/en/webmaster/websites/1149366/offers/19829/" TargetMode="External"/><Relationship Id="rId14" Type="http://schemas.openxmlformats.org/officeDocument/2006/relationships/hyperlink" Target="https://www.admitad.com/en/webmaster/websites/1149366/offers/15352/" TargetMode="External"/><Relationship Id="rId22" Type="http://schemas.openxmlformats.org/officeDocument/2006/relationships/hyperlink" Target="https://www.admitad.com/en/webmaster/websites/1149366/offers/16553/" TargetMode="External"/><Relationship Id="rId27" Type="http://schemas.openxmlformats.org/officeDocument/2006/relationships/hyperlink" Target="https://www.admitad.com/en/webmaster/websites/1149366/offers/15504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W47"/>
  <sheetViews>
    <sheetView topLeftCell="Z1" workbookViewId="0">
      <selection activeCell="C4" sqref="C4:AT22"/>
    </sheetView>
  </sheetViews>
  <sheetFormatPr defaultRowHeight="15"/>
  <cols>
    <col min="2" max="2" width="11.5703125" bestFit="1" customWidth="1"/>
    <col min="3" max="3" width="18.28515625" bestFit="1" customWidth="1"/>
    <col min="4" max="4" width="9.28515625" bestFit="1" customWidth="1"/>
    <col min="5" max="5" width="10.85546875" bestFit="1" customWidth="1"/>
    <col min="6" max="6" width="12" customWidth="1"/>
    <col min="7" max="7" width="13.42578125" bestFit="1" customWidth="1"/>
    <col min="8" max="15" width="13.28515625" customWidth="1"/>
    <col min="16" max="16" width="14" bestFit="1" customWidth="1"/>
    <col min="17" max="17" width="18.28515625" bestFit="1" customWidth="1"/>
    <col min="18" max="18" width="15.42578125" customWidth="1"/>
    <col min="19" max="19" width="19.5703125" customWidth="1"/>
    <col min="20" max="20" width="12.140625" customWidth="1"/>
    <col min="21" max="21" width="11.85546875" customWidth="1"/>
    <col min="22" max="22" width="12.140625" customWidth="1"/>
    <col min="23" max="23" width="13.7109375" bestFit="1" customWidth="1"/>
    <col min="25" max="25" width="11.85546875" customWidth="1"/>
    <col min="26" max="26" width="10.5703125" customWidth="1"/>
    <col min="27" max="27" width="14.140625" customWidth="1"/>
    <col min="29" max="29" width="11" customWidth="1"/>
    <col min="31" max="31" width="12.85546875" bestFit="1" customWidth="1"/>
    <col min="32" max="32" width="12.28515625" customWidth="1"/>
    <col min="33" max="33" width="13" customWidth="1"/>
    <col min="41" max="41" width="0.140625" customWidth="1"/>
    <col min="45" max="45" width="13.42578125" customWidth="1"/>
    <col min="47" max="47" width="10.28515625" bestFit="1" customWidth="1"/>
  </cols>
  <sheetData>
    <row r="3" spans="2:49">
      <c r="C3" s="1" t="s">
        <v>46</v>
      </c>
    </row>
    <row r="4" spans="2:49">
      <c r="B4" s="1" t="s">
        <v>7</v>
      </c>
      <c r="C4" s="28" t="s">
        <v>0</v>
      </c>
      <c r="D4" s="1" t="s">
        <v>5</v>
      </c>
      <c r="E4" s="1" t="s">
        <v>6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5" t="s">
        <v>15</v>
      </c>
      <c r="L4" s="1" t="s">
        <v>16</v>
      </c>
      <c r="M4" s="5" t="s">
        <v>17</v>
      </c>
      <c r="N4" s="6" t="s">
        <v>18</v>
      </c>
      <c r="O4" s="1" t="s">
        <v>19</v>
      </c>
      <c r="P4" s="1" t="s">
        <v>13</v>
      </c>
      <c r="Q4" s="32" t="s">
        <v>1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33" t="s">
        <v>2</v>
      </c>
      <c r="X4" s="7" t="s">
        <v>25</v>
      </c>
      <c r="Y4" s="6" t="s">
        <v>26</v>
      </c>
      <c r="Z4" s="6" t="s">
        <v>27</v>
      </c>
      <c r="AA4" s="6" t="s">
        <v>28</v>
      </c>
      <c r="AB4" s="6" t="s">
        <v>29</v>
      </c>
      <c r="AC4" s="6" t="s">
        <v>30</v>
      </c>
      <c r="AD4" s="6" t="s">
        <v>31</v>
      </c>
      <c r="AE4" s="32" t="s">
        <v>3</v>
      </c>
      <c r="AF4" s="6" t="s">
        <v>32</v>
      </c>
      <c r="AG4" s="6" t="s">
        <v>33</v>
      </c>
      <c r="AH4" s="6" t="s">
        <v>34</v>
      </c>
      <c r="AI4" s="6" t="s">
        <v>35</v>
      </c>
      <c r="AJ4" s="6" t="s">
        <v>36</v>
      </c>
      <c r="AK4" s="6" t="s">
        <v>37</v>
      </c>
      <c r="AL4" s="8" t="s">
        <v>38</v>
      </c>
      <c r="AM4" s="6" t="s">
        <v>39</v>
      </c>
      <c r="AN4" s="31" t="s">
        <v>4</v>
      </c>
      <c r="AO4" s="4"/>
      <c r="AP4" s="6" t="s">
        <v>40</v>
      </c>
      <c r="AQ4" s="6" t="s">
        <v>41</v>
      </c>
      <c r="AR4" s="6" t="s">
        <v>42</v>
      </c>
      <c r="AS4" s="6" t="s">
        <v>43</v>
      </c>
      <c r="AT4" s="15" t="s">
        <v>44</v>
      </c>
      <c r="AU4" s="16"/>
      <c r="AV4" s="2"/>
      <c r="AW4" s="3"/>
    </row>
    <row r="5" spans="2:49">
      <c r="B5" s="9">
        <v>43743</v>
      </c>
      <c r="C5" s="29"/>
      <c r="D5" s="4">
        <f>200*0.08</f>
        <v>16</v>
      </c>
      <c r="E5" s="4">
        <f>(800*0.07)</f>
        <v>56.000000000000007</v>
      </c>
      <c r="F5" s="4">
        <f>(455*0.012)</f>
        <v>5.46</v>
      </c>
      <c r="G5" s="4">
        <f>(0*0.04)</f>
        <v>0</v>
      </c>
      <c r="H5" s="4">
        <f>(0*0.04)</f>
        <v>0</v>
      </c>
      <c r="I5" s="4">
        <f>(54*0.08)</f>
        <v>4.32</v>
      </c>
      <c r="J5" s="4">
        <f>(0*0.08)</f>
        <v>0</v>
      </c>
      <c r="K5" s="4">
        <f>(0*0.08)</f>
        <v>0</v>
      </c>
      <c r="L5" s="4">
        <f>(0*0.08)</f>
        <v>0</v>
      </c>
      <c r="M5" s="4">
        <f>(850*0.05)</f>
        <v>42.5</v>
      </c>
      <c r="N5" s="4">
        <f>(0*0.04)</f>
        <v>0</v>
      </c>
      <c r="O5" s="4">
        <f>(0*0.01)</f>
        <v>0</v>
      </c>
      <c r="P5" s="4">
        <f>(0*0.03)</f>
        <v>0</v>
      </c>
      <c r="Q5" s="32"/>
      <c r="R5" s="4">
        <f>500*0.02</f>
        <v>10</v>
      </c>
      <c r="S5" s="4">
        <f>0*0.02</f>
        <v>0</v>
      </c>
      <c r="T5" s="4">
        <f>1000*0.05</f>
        <v>50</v>
      </c>
      <c r="U5" s="4">
        <f>500*0.08</f>
        <v>40</v>
      </c>
      <c r="V5" s="4">
        <f>600*0.04</f>
        <v>24</v>
      </c>
      <c r="W5" s="33"/>
      <c r="X5" s="4">
        <f>800*0.02</f>
        <v>16</v>
      </c>
      <c r="Y5" s="4">
        <f>700*0.03</f>
        <v>21</v>
      </c>
      <c r="Z5" s="4">
        <f>500*0.09</f>
        <v>45</v>
      </c>
      <c r="AA5" s="4">
        <f>500*0.09</f>
        <v>45</v>
      </c>
      <c r="AB5" s="4">
        <f>500*0.02</f>
        <v>10</v>
      </c>
      <c r="AC5" s="4">
        <f>50*0.03</f>
        <v>1.5</v>
      </c>
      <c r="AD5" s="4">
        <f>50*0.05</f>
        <v>2.5</v>
      </c>
      <c r="AE5" s="32"/>
      <c r="AF5" s="4">
        <f>500*0.04</f>
        <v>20</v>
      </c>
      <c r="AG5" s="4">
        <f>800*0.09</f>
        <v>72</v>
      </c>
      <c r="AH5" s="4">
        <f>0*0.09</f>
        <v>0</v>
      </c>
      <c r="AI5" s="4">
        <f>220*0.05</f>
        <v>11</v>
      </c>
      <c r="AJ5" s="4">
        <f>300*0.07</f>
        <v>21.000000000000004</v>
      </c>
      <c r="AK5" s="4">
        <f>400*0.04</f>
        <v>16</v>
      </c>
      <c r="AL5" s="4">
        <f>500*0.012</f>
        <v>6</v>
      </c>
      <c r="AM5" s="4">
        <f>0*0.01</f>
        <v>0</v>
      </c>
      <c r="AN5" s="31"/>
      <c r="AO5" s="4"/>
      <c r="AP5" s="4">
        <f>300*0.02</f>
        <v>6</v>
      </c>
      <c r="AQ5" s="4">
        <f>0*0.05</f>
        <v>0</v>
      </c>
      <c r="AR5" s="4">
        <f>800*0.05</f>
        <v>40</v>
      </c>
      <c r="AS5" s="4">
        <f>700*0.04</f>
        <v>28</v>
      </c>
      <c r="AT5" s="4">
        <f>0*0.08</f>
        <v>0</v>
      </c>
    </row>
    <row r="6" spans="2:49">
      <c r="B6" s="9">
        <v>43744</v>
      </c>
      <c r="C6" s="29"/>
      <c r="D6" s="4">
        <f>800*0.08</f>
        <v>64</v>
      </c>
      <c r="E6" s="4">
        <f>(80*0.07)</f>
        <v>5.6000000000000005</v>
      </c>
      <c r="F6" s="4">
        <f>(455*0.04)</f>
        <v>18.2</v>
      </c>
      <c r="G6" s="4">
        <f t="shared" ref="G6:H22" si="0">(0*0.04)</f>
        <v>0</v>
      </c>
      <c r="H6" s="4">
        <f t="shared" si="0"/>
        <v>0</v>
      </c>
      <c r="I6" s="4">
        <f>(99*0.08)</f>
        <v>7.92</v>
      </c>
      <c r="J6" s="4">
        <f t="shared" ref="J6:J22" si="1">(0*0.08)</f>
        <v>0</v>
      </c>
      <c r="K6" s="4">
        <v>50</v>
      </c>
      <c r="L6" s="4">
        <f t="shared" ref="L6:L22" si="2">(0*0.08)</f>
        <v>0</v>
      </c>
      <c r="M6" s="4">
        <f>(700*0.05)</f>
        <v>35</v>
      </c>
      <c r="N6" s="4">
        <f t="shared" ref="N6:P22" si="3">(0*0.03)</f>
        <v>0</v>
      </c>
      <c r="O6" s="4">
        <f t="shared" si="3"/>
        <v>0</v>
      </c>
      <c r="P6" s="4">
        <f t="shared" si="3"/>
        <v>0</v>
      </c>
      <c r="Q6" s="32"/>
      <c r="R6" s="4">
        <f>600*0.02</f>
        <v>12</v>
      </c>
      <c r="S6" s="4">
        <f t="shared" ref="S6:S22" si="4">0*0.02</f>
        <v>0</v>
      </c>
      <c r="T6" s="4">
        <f>2000*0.05</f>
        <v>100</v>
      </c>
      <c r="U6" s="4">
        <f>600*0.05</f>
        <v>30</v>
      </c>
      <c r="V6" s="4">
        <f>600*0.08</f>
        <v>48</v>
      </c>
      <c r="W6" s="33"/>
      <c r="X6" s="4">
        <f>700*0.02</f>
        <v>14</v>
      </c>
      <c r="Y6" s="4">
        <f>850*0.02</f>
        <v>17</v>
      </c>
      <c r="Z6" s="4">
        <f>600*0.09</f>
        <v>54</v>
      </c>
      <c r="AA6" s="4">
        <f>800*0.09</f>
        <v>72</v>
      </c>
      <c r="AB6" s="4">
        <f>600*0.02</f>
        <v>12</v>
      </c>
      <c r="AC6" s="4">
        <f t="shared" ref="AC6:AD22" si="5">50*0.03</f>
        <v>1.5</v>
      </c>
      <c r="AD6" s="4">
        <f>555*0.03</f>
        <v>16.649999999999999</v>
      </c>
      <c r="AE6" s="32"/>
      <c r="AF6" s="4">
        <f>800*0.05</f>
        <v>40</v>
      </c>
      <c r="AG6" s="4">
        <f>660*0.04</f>
        <v>26.400000000000002</v>
      </c>
      <c r="AH6" s="4">
        <f t="shared" ref="AH6:AH22" si="6">0*0.09</f>
        <v>0</v>
      </c>
      <c r="AI6" s="4">
        <f>550*0.05</f>
        <v>27.5</v>
      </c>
      <c r="AJ6" s="4">
        <f>500*0.07</f>
        <v>35</v>
      </c>
      <c r="AK6" s="4">
        <f>500*0.04</f>
        <v>20</v>
      </c>
      <c r="AL6" s="4">
        <f>8*0.012</f>
        <v>9.6000000000000002E-2</v>
      </c>
      <c r="AM6" s="4">
        <f t="shared" ref="AM6:AM22" si="7">0*0.01</f>
        <v>0</v>
      </c>
      <c r="AN6" s="31"/>
      <c r="AO6" s="4"/>
      <c r="AP6" s="4">
        <f>400*0.02</f>
        <v>8</v>
      </c>
      <c r="AQ6" s="4">
        <f t="shared" ref="AQ6:AQ22" si="8">0*0.02</f>
        <v>0</v>
      </c>
      <c r="AR6" s="4">
        <f>500*0.05</f>
        <v>25</v>
      </c>
      <c r="AS6" s="4">
        <f>1000*0.04</f>
        <v>40</v>
      </c>
      <c r="AT6" s="4">
        <f>900*0.08</f>
        <v>72</v>
      </c>
    </row>
    <row r="7" spans="2:49">
      <c r="B7" s="9">
        <v>43745</v>
      </c>
      <c r="C7" s="29"/>
      <c r="D7" s="4">
        <f>550*0.08</f>
        <v>44</v>
      </c>
      <c r="E7" s="4">
        <f>(799*0.07)</f>
        <v>55.930000000000007</v>
      </c>
      <c r="F7" s="4">
        <f>(455*0.04)</f>
        <v>18.2</v>
      </c>
      <c r="G7" s="4">
        <f>(500*0.04)</f>
        <v>20</v>
      </c>
      <c r="H7" s="4">
        <f t="shared" si="0"/>
        <v>0</v>
      </c>
      <c r="I7" s="4">
        <f>(599*0.08)</f>
        <v>47.92</v>
      </c>
      <c r="J7" s="4">
        <f t="shared" si="1"/>
        <v>0</v>
      </c>
      <c r="K7" s="4">
        <v>90</v>
      </c>
      <c r="L7" s="4">
        <f t="shared" si="2"/>
        <v>0</v>
      </c>
      <c r="M7" s="4">
        <f>(88*0.05)</f>
        <v>4.4000000000000004</v>
      </c>
      <c r="N7" s="4">
        <f t="shared" si="3"/>
        <v>0</v>
      </c>
      <c r="O7" s="4">
        <f t="shared" si="3"/>
        <v>0</v>
      </c>
      <c r="P7" s="4">
        <f t="shared" si="3"/>
        <v>0</v>
      </c>
      <c r="Q7" s="32"/>
      <c r="R7" s="4">
        <f>660*0.02</f>
        <v>13.200000000000001</v>
      </c>
      <c r="S7" s="4">
        <f t="shared" si="4"/>
        <v>0</v>
      </c>
      <c r="T7" s="4">
        <f>1500*0.05</f>
        <v>75</v>
      </c>
      <c r="U7" s="4">
        <f>999*0.05</f>
        <v>49.95</v>
      </c>
      <c r="V7" s="4">
        <f>100*0.08</f>
        <v>8</v>
      </c>
      <c r="W7" s="33"/>
      <c r="X7" s="4">
        <f>1200*0.02</f>
        <v>24</v>
      </c>
      <c r="Y7" s="4">
        <f>670*0.02</f>
        <v>13.4</v>
      </c>
      <c r="Z7" s="4">
        <f>500*0.09</f>
        <v>45</v>
      </c>
      <c r="AA7" s="4">
        <f>500*0.09</f>
        <v>45</v>
      </c>
      <c r="AB7" s="4">
        <f>700*0.02</f>
        <v>14</v>
      </c>
      <c r="AC7" s="4">
        <f t="shared" si="5"/>
        <v>1.5</v>
      </c>
      <c r="AD7" s="4">
        <f>300*0.03</f>
        <v>9</v>
      </c>
      <c r="AE7" s="32"/>
      <c r="AF7" s="4">
        <f>550*0.05</f>
        <v>27.5</v>
      </c>
      <c r="AG7" s="4">
        <f>410*0.04</f>
        <v>16.399999999999999</v>
      </c>
      <c r="AH7" s="4">
        <f t="shared" si="6"/>
        <v>0</v>
      </c>
      <c r="AI7" s="4">
        <f>555*0.05</f>
        <v>27.75</v>
      </c>
      <c r="AJ7" s="4">
        <f>900*0.07</f>
        <v>63.000000000000007</v>
      </c>
      <c r="AK7" s="4">
        <f>600*0.04</f>
        <v>24</v>
      </c>
      <c r="AL7" s="4">
        <f t="shared" ref="AL7" si="9">1*0.012</f>
        <v>1.2E-2</v>
      </c>
      <c r="AM7" s="4">
        <f t="shared" si="7"/>
        <v>0</v>
      </c>
      <c r="AN7" s="31"/>
      <c r="AO7" s="4"/>
      <c r="AP7" s="4">
        <f>600*0.02</f>
        <v>12</v>
      </c>
      <c r="AQ7" s="4">
        <f t="shared" si="8"/>
        <v>0</v>
      </c>
      <c r="AR7" s="4">
        <f>400*0.05</f>
        <v>20</v>
      </c>
      <c r="AS7" s="4">
        <f>2000*0.04</f>
        <v>80</v>
      </c>
      <c r="AT7" s="4">
        <f>800*0.08</f>
        <v>64</v>
      </c>
    </row>
    <row r="8" spans="2:49">
      <c r="B8" s="9">
        <v>43746</v>
      </c>
      <c r="C8" s="29"/>
      <c r="D8" s="4">
        <f>668*0.08</f>
        <v>53.44</v>
      </c>
      <c r="E8" s="4">
        <f>(870*0.07)</f>
        <v>60.900000000000006</v>
      </c>
      <c r="F8" s="4">
        <f>(84*0.04)</f>
        <v>3.36</v>
      </c>
      <c r="G8" s="4">
        <f t="shared" si="0"/>
        <v>0</v>
      </c>
      <c r="H8" s="4">
        <f t="shared" si="0"/>
        <v>0</v>
      </c>
      <c r="I8" s="4">
        <f>(699*0.08)</f>
        <v>55.92</v>
      </c>
      <c r="J8" s="4">
        <f t="shared" si="1"/>
        <v>0</v>
      </c>
      <c r="K8" s="4">
        <f>(599*0.08)</f>
        <v>47.92</v>
      </c>
      <c r="L8" s="4">
        <f t="shared" si="2"/>
        <v>0</v>
      </c>
      <c r="M8" s="4">
        <f>(300*0.05)</f>
        <v>15</v>
      </c>
      <c r="N8" s="4">
        <f t="shared" si="3"/>
        <v>0</v>
      </c>
      <c r="O8" s="4">
        <f>(900*0.03)</f>
        <v>27</v>
      </c>
      <c r="P8" s="4">
        <f t="shared" si="3"/>
        <v>0</v>
      </c>
      <c r="Q8" s="32"/>
      <c r="R8" s="4">
        <f>607*0.02</f>
        <v>12.14</v>
      </c>
      <c r="S8" s="4">
        <f t="shared" si="4"/>
        <v>0</v>
      </c>
      <c r="T8" s="4">
        <f>1200*0.05</f>
        <v>60</v>
      </c>
      <c r="U8" s="4">
        <f>660*0.05</f>
        <v>33</v>
      </c>
      <c r="V8" s="4">
        <f>400*0.08</f>
        <v>32</v>
      </c>
      <c r="W8" s="33"/>
      <c r="X8" s="4">
        <f>500*0.02</f>
        <v>10</v>
      </c>
      <c r="Y8" s="4">
        <f>900*0.02</f>
        <v>18</v>
      </c>
      <c r="Z8" s="4">
        <f>800*0.09</f>
        <v>72</v>
      </c>
      <c r="AA8" s="4">
        <f>800*0.09</f>
        <v>72</v>
      </c>
      <c r="AB8" s="4">
        <f>800*0.02</f>
        <v>16</v>
      </c>
      <c r="AC8" s="4">
        <f t="shared" si="5"/>
        <v>1.5</v>
      </c>
      <c r="AD8" s="4">
        <f>710*0.03</f>
        <v>21.3</v>
      </c>
      <c r="AE8" s="32"/>
      <c r="AF8" s="4">
        <f>440*0.05</f>
        <v>22</v>
      </c>
      <c r="AG8" s="4">
        <f>600*0.04</f>
        <v>24</v>
      </c>
      <c r="AH8" s="4">
        <f t="shared" si="6"/>
        <v>0</v>
      </c>
      <c r="AI8" s="4">
        <f>550*0.05</f>
        <v>27.5</v>
      </c>
      <c r="AJ8" s="4">
        <f>800*0.07</f>
        <v>56.000000000000007</v>
      </c>
      <c r="AK8" s="4">
        <f>800*0.04</f>
        <v>32</v>
      </c>
      <c r="AL8" s="4">
        <f>222*0.012</f>
        <v>2.6640000000000001</v>
      </c>
      <c r="AM8" s="4">
        <f t="shared" si="7"/>
        <v>0</v>
      </c>
      <c r="AN8" s="31"/>
      <c r="AO8" s="4"/>
      <c r="AP8" s="4">
        <f>500*0.02</f>
        <v>10</v>
      </c>
      <c r="AQ8" s="4">
        <f t="shared" si="8"/>
        <v>0</v>
      </c>
      <c r="AR8" s="4">
        <f>900*0.05</f>
        <v>45</v>
      </c>
      <c r="AS8" s="4">
        <f>800*0.04</f>
        <v>32</v>
      </c>
      <c r="AT8" s="4">
        <f>440*0.08</f>
        <v>35.200000000000003</v>
      </c>
    </row>
    <row r="9" spans="2:49">
      <c r="B9" s="9">
        <v>43747</v>
      </c>
      <c r="C9" s="29"/>
      <c r="D9" s="4">
        <f>550*0.08</f>
        <v>44</v>
      </c>
      <c r="E9" s="4">
        <f>(790*0.07)</f>
        <v>55.300000000000004</v>
      </c>
      <c r="F9" s="4">
        <f>(521*0.04)</f>
        <v>20.84</v>
      </c>
      <c r="G9" s="4">
        <f t="shared" si="0"/>
        <v>0</v>
      </c>
      <c r="H9" s="4">
        <f>(1000*0.04)</f>
        <v>40</v>
      </c>
      <c r="I9" s="4">
        <f>(100*0.08)</f>
        <v>8</v>
      </c>
      <c r="J9" s="4">
        <f t="shared" si="1"/>
        <v>0</v>
      </c>
      <c r="K9" s="4">
        <f>(660*0.08)</f>
        <v>52.800000000000004</v>
      </c>
      <c r="L9" s="4">
        <f t="shared" si="2"/>
        <v>0</v>
      </c>
      <c r="M9" s="4">
        <f>(900*0.05)</f>
        <v>45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32"/>
      <c r="R9" s="4">
        <f>400*0.02</f>
        <v>8</v>
      </c>
      <c r="S9" s="4">
        <f t="shared" si="4"/>
        <v>0</v>
      </c>
      <c r="T9" s="4">
        <f>1300*0.05</f>
        <v>65</v>
      </c>
      <c r="U9" s="4">
        <f>770*0.05</f>
        <v>38.5</v>
      </c>
      <c r="V9" s="4">
        <f>300*0.08</f>
        <v>24</v>
      </c>
      <c r="W9" s="33"/>
      <c r="X9" s="4">
        <f>220*0.02</f>
        <v>4.4000000000000004</v>
      </c>
      <c r="Y9" s="4">
        <f>900*0.02</f>
        <v>18</v>
      </c>
      <c r="Z9" s="4">
        <f>600*0.09</f>
        <v>54</v>
      </c>
      <c r="AA9" s="4">
        <f>2500*0.09</f>
        <v>225</v>
      </c>
      <c r="AB9" s="4">
        <f>600*0.02</f>
        <v>12</v>
      </c>
      <c r="AC9" s="4">
        <f t="shared" si="5"/>
        <v>1.5</v>
      </c>
      <c r="AD9" s="4">
        <f>500*0.03</f>
        <v>15</v>
      </c>
      <c r="AE9" s="32"/>
      <c r="AF9" s="4">
        <f>660*0.05</f>
        <v>33</v>
      </c>
      <c r="AG9" s="4">
        <f>700*0.04</f>
        <v>28</v>
      </c>
      <c r="AH9" s="4">
        <f t="shared" si="6"/>
        <v>0</v>
      </c>
      <c r="AI9" s="4">
        <f>555*0.05</f>
        <v>27.75</v>
      </c>
      <c r="AJ9" s="4">
        <f>600*0.07</f>
        <v>42.000000000000007</v>
      </c>
      <c r="AK9" s="4">
        <f>600*0.04</f>
        <v>24</v>
      </c>
      <c r="AL9" s="4">
        <f>517*0.012</f>
        <v>6.2039999999999997</v>
      </c>
      <c r="AM9" s="4">
        <f t="shared" si="7"/>
        <v>0</v>
      </c>
      <c r="AN9" s="31"/>
      <c r="AO9" s="4"/>
      <c r="AP9" s="4">
        <f>700*0.02</f>
        <v>14</v>
      </c>
      <c r="AQ9" s="4">
        <f t="shared" si="8"/>
        <v>0</v>
      </c>
      <c r="AR9" s="4">
        <f>800*0.05</f>
        <v>40</v>
      </c>
      <c r="AS9" s="4">
        <f>900*0.04</f>
        <v>36</v>
      </c>
      <c r="AT9" s="4">
        <f>800*0.08</f>
        <v>64</v>
      </c>
    </row>
    <row r="10" spans="2:49">
      <c r="B10" s="9">
        <v>43748</v>
      </c>
      <c r="C10" s="29"/>
      <c r="D10" s="4">
        <f>854*0.08</f>
        <v>68.320000000000007</v>
      </c>
      <c r="E10" s="4">
        <f>(660*0.07)</f>
        <v>46.2</v>
      </c>
      <c r="F10" s="4">
        <f>(54*0.04)</f>
        <v>2.16</v>
      </c>
      <c r="G10" s="4">
        <f>(1000*0.04)</f>
        <v>40</v>
      </c>
      <c r="H10" s="4">
        <f>(400*0.04)</f>
        <v>16</v>
      </c>
      <c r="I10" s="4">
        <f>(500*0.08)</f>
        <v>40</v>
      </c>
      <c r="J10" s="4">
        <f t="shared" si="1"/>
        <v>0</v>
      </c>
      <c r="K10" s="4">
        <f>(770*0.08)</f>
        <v>61.6</v>
      </c>
      <c r="L10" s="4">
        <f>(300*0.08)</f>
        <v>24</v>
      </c>
      <c r="M10" s="4">
        <f>(800*0.05)</f>
        <v>40</v>
      </c>
      <c r="N10" s="4">
        <f t="shared" si="3"/>
        <v>0</v>
      </c>
      <c r="O10" s="4">
        <f t="shared" si="3"/>
        <v>0</v>
      </c>
      <c r="P10" s="4">
        <f t="shared" si="3"/>
        <v>0</v>
      </c>
      <c r="Q10" s="32"/>
      <c r="R10" s="4">
        <f>600*0.02</f>
        <v>12</v>
      </c>
      <c r="S10" s="4">
        <f t="shared" si="4"/>
        <v>0</v>
      </c>
      <c r="T10" s="4">
        <f>1050*0.05</f>
        <v>52.5</v>
      </c>
      <c r="U10" s="4">
        <f>800*0.05</f>
        <v>40</v>
      </c>
      <c r="V10" s="4">
        <f>440*0.08</f>
        <v>35.200000000000003</v>
      </c>
      <c r="W10" s="33"/>
      <c r="X10" s="4">
        <f>60*0.02</f>
        <v>1.2</v>
      </c>
      <c r="Y10" s="4">
        <f>500*0.02</f>
        <v>10</v>
      </c>
      <c r="Z10" s="4">
        <f>300*0.09</f>
        <v>27</v>
      </c>
      <c r="AA10" s="4">
        <f>250*0.09</f>
        <v>22.5</v>
      </c>
      <c r="AB10" s="4">
        <f>700*0.02</f>
        <v>14</v>
      </c>
      <c r="AC10" s="4">
        <f t="shared" si="5"/>
        <v>1.5</v>
      </c>
      <c r="AD10" s="4">
        <f t="shared" si="5"/>
        <v>1.5</v>
      </c>
      <c r="AE10" s="32"/>
      <c r="AF10" s="4">
        <f>440*0.05</f>
        <v>22</v>
      </c>
      <c r="AG10" s="4">
        <f>660*0.04</f>
        <v>26.400000000000002</v>
      </c>
      <c r="AH10" s="4">
        <f t="shared" si="6"/>
        <v>0</v>
      </c>
      <c r="AI10" s="4">
        <f>566*0.05</f>
        <v>28.3</v>
      </c>
      <c r="AJ10" s="4">
        <f>700*0.07</f>
        <v>49.000000000000007</v>
      </c>
      <c r="AK10" s="4">
        <f>800*0.04</f>
        <v>32</v>
      </c>
      <c r="AL10" s="4">
        <f>100*0.012</f>
        <v>1.2</v>
      </c>
      <c r="AM10" s="4">
        <f t="shared" si="7"/>
        <v>0</v>
      </c>
      <c r="AN10" s="31"/>
      <c r="AO10" s="4"/>
      <c r="AP10" s="4">
        <f>500*0.02</f>
        <v>10</v>
      </c>
      <c r="AQ10" s="4">
        <f t="shared" si="8"/>
        <v>0</v>
      </c>
      <c r="AR10" s="4">
        <f>700*0.05</f>
        <v>35</v>
      </c>
      <c r="AS10" s="4">
        <f>600*0.04</f>
        <v>24</v>
      </c>
      <c r="AT10" s="4">
        <f>900*0.08</f>
        <v>72</v>
      </c>
    </row>
    <row r="11" spans="2:49">
      <c r="B11" s="9">
        <v>43749</v>
      </c>
      <c r="C11" s="29"/>
      <c r="D11" s="4">
        <f>652*0.08</f>
        <v>52.160000000000004</v>
      </c>
      <c r="E11" s="4">
        <f>(550*0.07)</f>
        <v>38.500000000000007</v>
      </c>
      <c r="F11" s="4">
        <f>(542*0.04)</f>
        <v>21.68</v>
      </c>
      <c r="G11" s="4">
        <f t="shared" si="0"/>
        <v>0</v>
      </c>
      <c r="H11" s="4">
        <f>(1800*0.04)</f>
        <v>72</v>
      </c>
      <c r="I11" s="4">
        <f>(600*0.08)</f>
        <v>48</v>
      </c>
      <c r="J11" s="4">
        <f t="shared" si="1"/>
        <v>0</v>
      </c>
      <c r="K11" s="4">
        <f>(880*0.08)</f>
        <v>70.400000000000006</v>
      </c>
      <c r="L11" s="4">
        <f>(200*0.08)</f>
        <v>16</v>
      </c>
      <c r="M11" s="4">
        <f>(300*0.05)</f>
        <v>15</v>
      </c>
      <c r="N11" s="4">
        <f t="shared" si="3"/>
        <v>0</v>
      </c>
      <c r="O11" s="4">
        <f t="shared" si="3"/>
        <v>0</v>
      </c>
      <c r="P11" s="4">
        <f t="shared" si="3"/>
        <v>0</v>
      </c>
      <c r="Q11" s="32"/>
      <c r="R11" s="4">
        <f>800*0.02</f>
        <v>16</v>
      </c>
      <c r="S11" s="4">
        <f t="shared" si="4"/>
        <v>0</v>
      </c>
      <c r="T11" s="4">
        <f>1000*0.05</f>
        <v>50</v>
      </c>
      <c r="U11" s="4">
        <f>550*0.05</f>
        <v>27.5</v>
      </c>
      <c r="V11" s="4">
        <f>550*0.08</f>
        <v>44</v>
      </c>
      <c r="W11" s="33"/>
      <c r="X11" s="4">
        <f>660*0.02</f>
        <v>13.200000000000001</v>
      </c>
      <c r="Y11" s="4">
        <f>400*0.02</f>
        <v>8</v>
      </c>
      <c r="Z11" s="4">
        <f>400*0.09</f>
        <v>36</v>
      </c>
      <c r="AA11" s="4">
        <f>800*0.09</f>
        <v>72</v>
      </c>
      <c r="AB11" s="4">
        <f>600*0.02</f>
        <v>12</v>
      </c>
      <c r="AC11" s="4">
        <f t="shared" si="5"/>
        <v>1.5</v>
      </c>
      <c r="AD11" s="4">
        <f t="shared" si="5"/>
        <v>1.5</v>
      </c>
      <c r="AE11" s="32"/>
      <c r="AF11" s="4">
        <f>990*0.05</f>
        <v>49.5</v>
      </c>
      <c r="AG11" s="4">
        <f>700*0.04</f>
        <v>28</v>
      </c>
      <c r="AH11" s="4">
        <f t="shared" si="6"/>
        <v>0</v>
      </c>
      <c r="AI11" s="4">
        <f>700*0.05</f>
        <v>35</v>
      </c>
      <c r="AJ11" s="4">
        <f>800*0.07</f>
        <v>56.000000000000007</v>
      </c>
      <c r="AK11" s="4">
        <f>70*0.04</f>
        <v>2.8000000000000003</v>
      </c>
      <c r="AL11" s="4">
        <f>99*0.012</f>
        <v>1.1879999999999999</v>
      </c>
      <c r="AM11" s="4">
        <f t="shared" si="7"/>
        <v>0</v>
      </c>
      <c r="AN11" s="31"/>
      <c r="AO11" s="4"/>
      <c r="AP11" s="4">
        <f>700*0.02</f>
        <v>14</v>
      </c>
      <c r="AQ11" s="4">
        <f t="shared" si="8"/>
        <v>0</v>
      </c>
      <c r="AR11" s="4">
        <f>600*0.05</f>
        <v>30</v>
      </c>
      <c r="AS11" s="4">
        <f>900*0.04</f>
        <v>36</v>
      </c>
      <c r="AT11" s="4">
        <f>880*0.08</f>
        <v>70.400000000000006</v>
      </c>
    </row>
    <row r="12" spans="2:49">
      <c r="B12" s="9">
        <v>43750</v>
      </c>
      <c r="C12" s="29"/>
      <c r="D12" s="4">
        <f>654*0.08</f>
        <v>52.32</v>
      </c>
      <c r="E12" s="4">
        <f>(449*0.07)</f>
        <v>31.430000000000003</v>
      </c>
      <c r="F12" s="4">
        <f>(541*0.04)</f>
        <v>21.64</v>
      </c>
      <c r="G12" s="4">
        <f t="shared" si="0"/>
        <v>0</v>
      </c>
      <c r="H12" s="4">
        <f t="shared" si="0"/>
        <v>0</v>
      </c>
      <c r="I12" s="4">
        <f>(700*0.08)</f>
        <v>56</v>
      </c>
      <c r="J12" s="4">
        <f t="shared" si="1"/>
        <v>0</v>
      </c>
      <c r="K12" s="4">
        <f>(990*0.08)</f>
        <v>79.2</v>
      </c>
      <c r="L12" s="4">
        <f t="shared" si="2"/>
        <v>0</v>
      </c>
      <c r="M12" s="4">
        <f>(600*0.05)</f>
        <v>30</v>
      </c>
      <c r="N12" s="4">
        <f t="shared" si="3"/>
        <v>0</v>
      </c>
      <c r="O12" s="4">
        <f>(500*0.03)</f>
        <v>15</v>
      </c>
      <c r="P12" s="4">
        <f t="shared" si="3"/>
        <v>0</v>
      </c>
      <c r="Q12" s="32"/>
      <c r="R12" s="4">
        <f>550*0.02</f>
        <v>11</v>
      </c>
      <c r="S12" s="4">
        <f t="shared" si="4"/>
        <v>0</v>
      </c>
      <c r="T12" s="4">
        <f>500*0.05</f>
        <v>25</v>
      </c>
      <c r="U12" s="4">
        <f>560*0.05</f>
        <v>28</v>
      </c>
      <c r="V12" s="4">
        <f>660*0.08</f>
        <v>52.800000000000004</v>
      </c>
      <c r="W12" s="33"/>
      <c r="X12" s="4">
        <f>800*0.02</f>
        <v>16</v>
      </c>
      <c r="Y12" s="4">
        <f>660*0.02</f>
        <v>13.200000000000001</v>
      </c>
      <c r="Z12" s="4">
        <f>600*0.09</f>
        <v>54</v>
      </c>
      <c r="AA12" s="4">
        <f>800*0.09</f>
        <v>72</v>
      </c>
      <c r="AB12" s="4">
        <f>440*0.02</f>
        <v>8.8000000000000007</v>
      </c>
      <c r="AC12" s="4">
        <f t="shared" si="5"/>
        <v>1.5</v>
      </c>
      <c r="AD12" s="4">
        <f>60*0.03</f>
        <v>1.7999999999999998</v>
      </c>
      <c r="AE12" s="32"/>
      <c r="AF12" s="4">
        <f>770*0.05</f>
        <v>38.5</v>
      </c>
      <c r="AG12" s="4">
        <f>550*0.04</f>
        <v>22</v>
      </c>
      <c r="AH12" s="4">
        <f t="shared" si="6"/>
        <v>0</v>
      </c>
      <c r="AI12" s="4">
        <f>440*0.05</f>
        <v>22</v>
      </c>
      <c r="AJ12" s="4">
        <f>900*0.07</f>
        <v>63.000000000000007</v>
      </c>
      <c r="AK12" s="4">
        <f>600*0.04</f>
        <v>24</v>
      </c>
      <c r="AL12" s="4">
        <f>800*0.012</f>
        <v>9.6</v>
      </c>
      <c r="AM12" s="4">
        <f t="shared" si="7"/>
        <v>0</v>
      </c>
      <c r="AN12" s="31"/>
      <c r="AO12" s="4"/>
      <c r="AP12" s="4">
        <f>700*0.02</f>
        <v>14</v>
      </c>
      <c r="AQ12" s="4">
        <f t="shared" si="8"/>
        <v>0</v>
      </c>
      <c r="AR12" s="4">
        <f>900*0.05</f>
        <v>45</v>
      </c>
      <c r="AS12" s="4">
        <f>300*0.04</f>
        <v>12</v>
      </c>
      <c r="AT12" s="4">
        <f>700*0.08</f>
        <v>56</v>
      </c>
    </row>
    <row r="13" spans="2:49">
      <c r="B13" s="9">
        <v>43751</v>
      </c>
      <c r="C13" s="29"/>
      <c r="D13" s="4">
        <f>854*0.08</f>
        <v>68.320000000000007</v>
      </c>
      <c r="E13" s="4">
        <f>(599*0.07)</f>
        <v>41.930000000000007</v>
      </c>
      <c r="F13" s="4">
        <f>(87*0.04)</f>
        <v>3.48</v>
      </c>
      <c r="G13" s="4">
        <f t="shared" si="0"/>
        <v>0</v>
      </c>
      <c r="H13" s="4">
        <f>(500*0.04)</f>
        <v>20</v>
      </c>
      <c r="I13" s="4">
        <f>(900*0.08)</f>
        <v>72</v>
      </c>
      <c r="J13" s="4">
        <f t="shared" si="1"/>
        <v>0</v>
      </c>
      <c r="K13" s="4">
        <f>(110*0.08)</f>
        <v>8.8000000000000007</v>
      </c>
      <c r="L13" s="4">
        <f t="shared" si="2"/>
        <v>0</v>
      </c>
      <c r="M13" s="4">
        <f>(500*0.05)</f>
        <v>25</v>
      </c>
      <c r="N13" s="4">
        <f t="shared" si="3"/>
        <v>0</v>
      </c>
      <c r="O13" s="4">
        <f t="shared" si="3"/>
        <v>0</v>
      </c>
      <c r="P13" s="4">
        <f t="shared" si="3"/>
        <v>0</v>
      </c>
      <c r="Q13" s="32"/>
      <c r="R13" s="4">
        <f>700*0.02</f>
        <v>14</v>
      </c>
      <c r="S13" s="4">
        <f t="shared" si="4"/>
        <v>0</v>
      </c>
      <c r="T13" s="4">
        <f>600*0.05</f>
        <v>30</v>
      </c>
      <c r="U13" s="4">
        <f>550*0.05</f>
        <v>27.5</v>
      </c>
      <c r="V13" s="4">
        <f>0*0.08</f>
        <v>0</v>
      </c>
      <c r="W13" s="33"/>
      <c r="X13" s="4">
        <f>802*0.02</f>
        <v>16.04</v>
      </c>
      <c r="Y13" s="4">
        <f>200*0.02</f>
        <v>4</v>
      </c>
      <c r="Z13" s="4">
        <f>500*0.09</f>
        <v>45</v>
      </c>
      <c r="AA13" s="4">
        <f>500*0.09</f>
        <v>45</v>
      </c>
      <c r="AB13" s="4">
        <f>800*0.02</f>
        <v>16</v>
      </c>
      <c r="AC13" s="4">
        <f t="shared" si="5"/>
        <v>1.5</v>
      </c>
      <c r="AD13" s="4">
        <f>150*0.03</f>
        <v>4.5</v>
      </c>
      <c r="AE13" s="32"/>
      <c r="AF13" s="4">
        <f>660*0.05</f>
        <v>33</v>
      </c>
      <c r="AG13" s="4">
        <f>700*0.04</f>
        <v>28</v>
      </c>
      <c r="AH13" s="4">
        <f t="shared" si="6"/>
        <v>0</v>
      </c>
      <c r="AI13" s="4">
        <f>650*0.05</f>
        <v>32.5</v>
      </c>
      <c r="AJ13" s="4">
        <f>700*0.07</f>
        <v>49.000000000000007</v>
      </c>
      <c r="AK13" s="4">
        <f>600*0.04</f>
        <v>24</v>
      </c>
      <c r="AL13" s="4">
        <f>700*0.012</f>
        <v>8.4</v>
      </c>
      <c r="AM13" s="4">
        <f t="shared" si="7"/>
        <v>0</v>
      </c>
      <c r="AN13" s="31"/>
      <c r="AO13" s="4"/>
      <c r="AP13" s="4">
        <f>800*0.02</f>
        <v>16</v>
      </c>
      <c r="AQ13" s="4">
        <f t="shared" si="8"/>
        <v>0</v>
      </c>
      <c r="AR13" s="4">
        <f>500*0.05</f>
        <v>25</v>
      </c>
      <c r="AS13" s="4">
        <f>600*0.04</f>
        <v>24</v>
      </c>
      <c r="AT13" s="4">
        <f>600*0.08</f>
        <v>48</v>
      </c>
    </row>
    <row r="14" spans="2:49">
      <c r="B14" s="9">
        <v>43752</v>
      </c>
      <c r="C14" s="29"/>
      <c r="D14" s="4">
        <f>140*0.08</f>
        <v>11.200000000000001</v>
      </c>
      <c r="E14" s="4">
        <f>(690*0.07)</f>
        <v>48.300000000000004</v>
      </c>
      <c r="F14" s="4">
        <f>(656*0.04)</f>
        <v>26.240000000000002</v>
      </c>
      <c r="G14" s="4">
        <f t="shared" si="0"/>
        <v>0</v>
      </c>
      <c r="H14" s="4">
        <f t="shared" si="0"/>
        <v>0</v>
      </c>
      <c r="I14" s="4">
        <f>(800*0.08)</f>
        <v>64</v>
      </c>
      <c r="J14" s="4">
        <f t="shared" si="1"/>
        <v>0</v>
      </c>
      <c r="K14" s="4">
        <f>(220*0.08)</f>
        <v>17.600000000000001</v>
      </c>
      <c r="L14" s="4">
        <f t="shared" si="2"/>
        <v>0</v>
      </c>
      <c r="M14" s="4">
        <f>(400*0.05)</f>
        <v>20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32"/>
      <c r="R14" s="4">
        <f>770*0.02</f>
        <v>15.4</v>
      </c>
      <c r="S14" s="4">
        <f t="shared" si="4"/>
        <v>0</v>
      </c>
      <c r="T14" s="4">
        <f>500*0.05</f>
        <v>25</v>
      </c>
      <c r="U14" s="4">
        <f>880*0.05</f>
        <v>44</v>
      </c>
      <c r="V14" s="4">
        <f>0*0.08</f>
        <v>0</v>
      </c>
      <c r="W14" s="33"/>
      <c r="X14" s="4">
        <f>850*0.02</f>
        <v>17</v>
      </c>
      <c r="Y14" s="4">
        <f>1200*0.02</f>
        <v>24</v>
      </c>
      <c r="Z14" s="4">
        <f>200*0.09</f>
        <v>18</v>
      </c>
      <c r="AA14" s="4">
        <f>500*0.09</f>
        <v>45</v>
      </c>
      <c r="AB14" s="4">
        <f>550*0.02</f>
        <v>11</v>
      </c>
      <c r="AC14" s="4">
        <f t="shared" si="5"/>
        <v>1.5</v>
      </c>
      <c r="AD14" s="4">
        <f>500*0.03</f>
        <v>15</v>
      </c>
      <c r="AE14" s="32"/>
      <c r="AF14" s="4">
        <f>770*0.05</f>
        <v>38.5</v>
      </c>
      <c r="AG14" s="4">
        <f>700*0.04</f>
        <v>28</v>
      </c>
      <c r="AH14" s="4">
        <f t="shared" si="6"/>
        <v>0</v>
      </c>
      <c r="AI14" s="4">
        <f>800*0.05</f>
        <v>40</v>
      </c>
      <c r="AJ14" s="4">
        <f>600*0.07</f>
        <v>42.000000000000007</v>
      </c>
      <c r="AK14" s="4">
        <f>700*0.04</f>
        <v>28</v>
      </c>
      <c r="AL14" s="4">
        <f>900*0.012</f>
        <v>10.8</v>
      </c>
      <c r="AM14" s="4">
        <f t="shared" si="7"/>
        <v>0</v>
      </c>
      <c r="AN14" s="31"/>
      <c r="AO14" s="4"/>
      <c r="AP14" s="4">
        <f>555*0.02</f>
        <v>11.1</v>
      </c>
      <c r="AQ14" s="4">
        <f t="shared" si="8"/>
        <v>0</v>
      </c>
      <c r="AR14" s="4">
        <f>200*0.05</f>
        <v>10</v>
      </c>
      <c r="AS14" s="4">
        <f>800*0.04</f>
        <v>32</v>
      </c>
      <c r="AT14" s="4">
        <f>300*0.08</f>
        <v>24</v>
      </c>
    </row>
    <row r="15" spans="2:49">
      <c r="B15" s="9">
        <v>43753</v>
      </c>
      <c r="C15" s="29"/>
      <c r="D15" s="4">
        <f>520*0.08</f>
        <v>41.6</v>
      </c>
      <c r="E15" s="4">
        <f>(660*0.07)</f>
        <v>46.2</v>
      </c>
      <c r="F15" s="4">
        <f>(785*0.04)</f>
        <v>31.400000000000002</v>
      </c>
      <c r="G15" s="4">
        <f>(300*0.04)</f>
        <v>12</v>
      </c>
      <c r="H15" s="4">
        <f t="shared" si="0"/>
        <v>0</v>
      </c>
      <c r="I15" s="4">
        <f>(600*0.08)</f>
        <v>48</v>
      </c>
      <c r="J15" s="4">
        <f t="shared" si="1"/>
        <v>0</v>
      </c>
      <c r="K15" s="4">
        <f>(660*0.08)</f>
        <v>52.800000000000004</v>
      </c>
      <c r="L15" s="4">
        <f t="shared" si="2"/>
        <v>0</v>
      </c>
      <c r="M15" s="4">
        <f>(520*0.05)</f>
        <v>26</v>
      </c>
      <c r="N15" s="4">
        <f t="shared" si="3"/>
        <v>0</v>
      </c>
      <c r="O15" s="4">
        <f t="shared" si="3"/>
        <v>0</v>
      </c>
      <c r="P15" s="4">
        <f t="shared" si="3"/>
        <v>0</v>
      </c>
      <c r="Q15" s="32"/>
      <c r="R15" s="4">
        <f>880*0.02</f>
        <v>17.600000000000001</v>
      </c>
      <c r="S15" s="4">
        <f t="shared" si="4"/>
        <v>0</v>
      </c>
      <c r="T15" s="4">
        <f>400*0.05</f>
        <v>20</v>
      </c>
      <c r="U15" s="4">
        <f>1500*0.05</f>
        <v>75</v>
      </c>
      <c r="V15" s="4">
        <f>300*0.08</f>
        <v>24</v>
      </c>
      <c r="W15" s="33"/>
      <c r="X15" s="4">
        <f>1200*0.02</f>
        <v>24</v>
      </c>
      <c r="Y15" s="4">
        <f>1800*0.02</f>
        <v>36</v>
      </c>
      <c r="Z15" s="4">
        <f>300*0.09</f>
        <v>27</v>
      </c>
      <c r="AA15" s="4">
        <f>500*0.09</f>
        <v>45</v>
      </c>
      <c r="AB15" s="4">
        <f>570*0.02</f>
        <v>11.4</v>
      </c>
      <c r="AC15" s="4">
        <f t="shared" si="5"/>
        <v>1.5</v>
      </c>
      <c r="AD15" s="4">
        <f>600*0.03</f>
        <v>18</v>
      </c>
      <c r="AE15" s="32"/>
      <c r="AF15" s="4">
        <f>990*0.05</f>
        <v>49.5</v>
      </c>
      <c r="AG15" s="4">
        <f>800*0.04</f>
        <v>32</v>
      </c>
      <c r="AH15" s="4">
        <f>225*0.09</f>
        <v>20.25</v>
      </c>
      <c r="AI15" s="4">
        <f>900*0.05</f>
        <v>45</v>
      </c>
      <c r="AJ15" s="4">
        <f>700*0.07</f>
        <v>49.000000000000007</v>
      </c>
      <c r="AK15" s="4">
        <f>600*0.04</f>
        <v>24</v>
      </c>
      <c r="AL15" s="4">
        <f>900*0.012</f>
        <v>10.8</v>
      </c>
      <c r="AM15" s="4">
        <f t="shared" si="7"/>
        <v>0</v>
      </c>
      <c r="AN15" s="31"/>
      <c r="AO15" s="4"/>
      <c r="AP15" s="4">
        <f>500*0.02</f>
        <v>10</v>
      </c>
      <c r="AQ15" s="4">
        <f t="shared" si="8"/>
        <v>0</v>
      </c>
      <c r="AR15" s="4">
        <f>700*0.05</f>
        <v>35</v>
      </c>
      <c r="AS15" s="4">
        <f>500*0.04</f>
        <v>20</v>
      </c>
      <c r="AT15" s="4">
        <f>700*0.08</f>
        <v>56</v>
      </c>
    </row>
    <row r="16" spans="2:49">
      <c r="B16" s="9">
        <v>43754</v>
      </c>
      <c r="C16" s="29"/>
      <c r="D16" s="4">
        <f>999*0.08</f>
        <v>79.92</v>
      </c>
      <c r="E16" s="4">
        <f>(299*0.07)</f>
        <v>20.930000000000003</v>
      </c>
      <c r="F16" s="4">
        <f>(785*0.04)</f>
        <v>31.400000000000002</v>
      </c>
      <c r="G16" s="4">
        <f>(400*0.04)</f>
        <v>16</v>
      </c>
      <c r="H16" s="4">
        <f t="shared" si="0"/>
        <v>0</v>
      </c>
      <c r="I16" s="4">
        <f>(400*0.08)</f>
        <v>32</v>
      </c>
      <c r="J16" s="4">
        <f t="shared" si="1"/>
        <v>0</v>
      </c>
      <c r="K16" s="4">
        <f>(770*0.08)</f>
        <v>61.6</v>
      </c>
      <c r="L16" s="4">
        <f t="shared" si="2"/>
        <v>0</v>
      </c>
      <c r="M16" s="4">
        <f>(820*0.05)</f>
        <v>41</v>
      </c>
      <c r="N16" s="4">
        <f>(50*0.03)</f>
        <v>1.5</v>
      </c>
      <c r="O16" s="4">
        <f t="shared" si="3"/>
        <v>0</v>
      </c>
      <c r="P16" s="4">
        <f t="shared" si="3"/>
        <v>0</v>
      </c>
      <c r="Q16" s="32"/>
      <c r="R16" s="4">
        <f>800*0.02</f>
        <v>16</v>
      </c>
      <c r="S16" s="4">
        <f t="shared" si="4"/>
        <v>0</v>
      </c>
      <c r="T16" s="4">
        <f>300*0.05</f>
        <v>15</v>
      </c>
      <c r="U16" s="4">
        <f>1400*0.05</f>
        <v>70</v>
      </c>
      <c r="V16" s="4">
        <f>700*0.08</f>
        <v>56</v>
      </c>
      <c r="W16" s="33"/>
      <c r="X16" s="4">
        <f>1300*0.02</f>
        <v>26</v>
      </c>
      <c r="Y16" s="4">
        <f>1700*0.02</f>
        <v>34</v>
      </c>
      <c r="Z16" s="4">
        <f>700*0.09</f>
        <v>63</v>
      </c>
      <c r="AA16" s="4">
        <f>900*0.09</f>
        <v>81</v>
      </c>
      <c r="AB16" s="4">
        <f>600*0.02</f>
        <v>12</v>
      </c>
      <c r="AC16" s="4">
        <f t="shared" si="5"/>
        <v>1.5</v>
      </c>
      <c r="AD16" s="4">
        <f>770*0.03</f>
        <v>23.099999999999998</v>
      </c>
      <c r="AE16" s="32"/>
      <c r="AF16" s="4">
        <f>100*0.05</f>
        <v>5</v>
      </c>
      <c r="AG16" s="4">
        <f>900*0.04</f>
        <v>36</v>
      </c>
      <c r="AH16" s="4">
        <f t="shared" si="6"/>
        <v>0</v>
      </c>
      <c r="AI16" s="4">
        <f>700*0.05</f>
        <v>35</v>
      </c>
      <c r="AJ16" s="4">
        <f>900*0.07</f>
        <v>63.000000000000007</v>
      </c>
      <c r="AK16" s="4">
        <f>500*0.04</f>
        <v>20</v>
      </c>
      <c r="AL16" s="4">
        <f>100*0.012</f>
        <v>1.2</v>
      </c>
      <c r="AM16" s="4">
        <f t="shared" si="7"/>
        <v>0</v>
      </c>
      <c r="AN16" s="31"/>
      <c r="AO16" s="4"/>
      <c r="AP16" s="4">
        <f>800*0.02</f>
        <v>16</v>
      </c>
      <c r="AQ16" s="4">
        <f t="shared" si="8"/>
        <v>0</v>
      </c>
      <c r="AR16" s="4">
        <f>600*0.05</f>
        <v>30</v>
      </c>
      <c r="AS16" s="4">
        <f>600*0.04</f>
        <v>24</v>
      </c>
      <c r="AT16" s="4">
        <f>300*0.08</f>
        <v>24</v>
      </c>
    </row>
    <row r="17" spans="2:47">
      <c r="B17" s="9">
        <v>43755</v>
      </c>
      <c r="C17" s="29"/>
      <c r="D17" s="4">
        <f>889*0.08</f>
        <v>71.12</v>
      </c>
      <c r="E17" s="4">
        <f>(355*0.07)</f>
        <v>24.85</v>
      </c>
      <c r="F17" s="4">
        <f>(564*0.04)</f>
        <v>22.56</v>
      </c>
      <c r="G17" s="4">
        <f t="shared" si="0"/>
        <v>0</v>
      </c>
      <c r="H17" s="4">
        <f t="shared" si="0"/>
        <v>0</v>
      </c>
      <c r="I17" s="4">
        <f>(600*0.08)</f>
        <v>48</v>
      </c>
      <c r="J17" s="4">
        <f t="shared" si="1"/>
        <v>0</v>
      </c>
      <c r="K17" s="4">
        <f>(650*0.08)</f>
        <v>52</v>
      </c>
      <c r="L17" s="4">
        <f t="shared" si="2"/>
        <v>0</v>
      </c>
      <c r="M17" s="4">
        <f>(700*0.05)</f>
        <v>35</v>
      </c>
      <c r="N17" s="4">
        <f>(100*0.03)</f>
        <v>3</v>
      </c>
      <c r="O17" s="4">
        <f t="shared" si="3"/>
        <v>0</v>
      </c>
      <c r="P17" s="4">
        <f t="shared" si="3"/>
        <v>0</v>
      </c>
      <c r="Q17" s="32"/>
      <c r="R17" s="4">
        <f>400*0.02</f>
        <v>8</v>
      </c>
      <c r="S17" s="4">
        <f t="shared" si="4"/>
        <v>0</v>
      </c>
      <c r="T17" s="4">
        <f>1800*0.05</f>
        <v>90</v>
      </c>
      <c r="U17" s="4">
        <f>1200*0.05</f>
        <v>60</v>
      </c>
      <c r="V17" s="4">
        <f>600*0.08</f>
        <v>48</v>
      </c>
      <c r="W17" s="33"/>
      <c r="X17" s="4">
        <f>1400*0.02</f>
        <v>28</v>
      </c>
      <c r="Y17" s="4">
        <f>1800*0.02</f>
        <v>36</v>
      </c>
      <c r="Z17" s="4">
        <f>200*0.09</f>
        <v>18</v>
      </c>
      <c r="AA17" s="4">
        <f>700*0.09</f>
        <v>63</v>
      </c>
      <c r="AB17" s="4">
        <f>800*0.02</f>
        <v>16</v>
      </c>
      <c r="AC17" s="4">
        <f t="shared" si="5"/>
        <v>1.5</v>
      </c>
      <c r="AD17" s="4">
        <f>999*0.03</f>
        <v>29.97</v>
      </c>
      <c r="AE17" s="32"/>
      <c r="AF17" s="4">
        <f>500*0.05</f>
        <v>25</v>
      </c>
      <c r="AG17" s="4">
        <f>700*0.04</f>
        <v>28</v>
      </c>
      <c r="AH17" s="4">
        <f t="shared" si="6"/>
        <v>0</v>
      </c>
      <c r="AI17" s="4">
        <f>600*0.05</f>
        <v>30</v>
      </c>
      <c r="AJ17" s="4">
        <f>800*0.07</f>
        <v>56.000000000000007</v>
      </c>
      <c r="AK17" s="4">
        <f>600*0.04</f>
        <v>24</v>
      </c>
      <c r="AL17" s="4">
        <f>800*0.012</f>
        <v>9.6</v>
      </c>
      <c r="AM17" s="4">
        <f t="shared" si="7"/>
        <v>0</v>
      </c>
      <c r="AN17" s="31"/>
      <c r="AO17" s="4"/>
      <c r="AP17" s="4">
        <f>700*0.02</f>
        <v>14</v>
      </c>
      <c r="AQ17" s="4">
        <f t="shared" si="8"/>
        <v>0</v>
      </c>
      <c r="AR17" s="4">
        <f>700*0.05</f>
        <v>35</v>
      </c>
      <c r="AS17" s="4">
        <f>550*0.04</f>
        <v>22</v>
      </c>
      <c r="AT17" s="4">
        <f>400*0.08</f>
        <v>32</v>
      </c>
    </row>
    <row r="18" spans="2:47">
      <c r="B18" s="9">
        <v>43756</v>
      </c>
      <c r="C18" s="29"/>
      <c r="D18" s="4">
        <f>500*0.08</f>
        <v>40</v>
      </c>
      <c r="E18" s="4">
        <f>(55*0.07)</f>
        <v>3.8500000000000005</v>
      </c>
      <c r="F18" s="4">
        <f>(87*0.04)</f>
        <v>3.48</v>
      </c>
      <c r="G18" s="4">
        <f t="shared" si="0"/>
        <v>0</v>
      </c>
      <c r="H18" s="4">
        <f>(1899*0.04)</f>
        <v>75.960000000000008</v>
      </c>
      <c r="I18" s="4">
        <f>(699*0.08)</f>
        <v>55.92</v>
      </c>
      <c r="J18" s="4">
        <f t="shared" si="1"/>
        <v>0</v>
      </c>
      <c r="K18" s="4">
        <f>(900*0.08)</f>
        <v>72</v>
      </c>
      <c r="L18" s="4">
        <f t="shared" si="2"/>
        <v>0</v>
      </c>
      <c r="M18" s="4">
        <f>(660*0.05)</f>
        <v>33</v>
      </c>
      <c r="N18" s="4"/>
      <c r="O18" s="4">
        <f t="shared" si="3"/>
        <v>0</v>
      </c>
      <c r="P18" s="4">
        <f t="shared" si="3"/>
        <v>0</v>
      </c>
      <c r="Q18" s="32"/>
      <c r="R18" s="4">
        <f>600*0.02</f>
        <v>12</v>
      </c>
      <c r="S18" s="4">
        <f t="shared" si="4"/>
        <v>0</v>
      </c>
      <c r="T18" s="4">
        <f>1500*0.05</f>
        <v>75</v>
      </c>
      <c r="U18" s="4">
        <f>1250*0.05</f>
        <v>62.5</v>
      </c>
      <c r="V18" s="4">
        <f>900*0.08</f>
        <v>72</v>
      </c>
      <c r="W18" s="33"/>
      <c r="X18" s="4">
        <f>1500*0.02</f>
        <v>30</v>
      </c>
      <c r="Y18" s="4">
        <f>600*0.02</f>
        <v>12</v>
      </c>
      <c r="Z18" s="4">
        <f>300*0.09</f>
        <v>27</v>
      </c>
      <c r="AA18" s="4">
        <f>300*0.09</f>
        <v>27</v>
      </c>
      <c r="AB18" s="4">
        <f>50*0.02</f>
        <v>1</v>
      </c>
      <c r="AC18" s="4">
        <f t="shared" si="5"/>
        <v>1.5</v>
      </c>
      <c r="AD18" s="4">
        <f>1299*0.03</f>
        <v>38.97</v>
      </c>
      <c r="AE18" s="32"/>
      <c r="AF18" s="4">
        <f>770*0.05</f>
        <v>38.5</v>
      </c>
      <c r="AG18" s="4">
        <f>800*0.04</f>
        <v>32</v>
      </c>
      <c r="AH18" s="4">
        <f t="shared" si="6"/>
        <v>0</v>
      </c>
      <c r="AI18" s="4">
        <f>700*0.05</f>
        <v>35</v>
      </c>
      <c r="AJ18" s="4">
        <f>500*0.07</f>
        <v>35</v>
      </c>
      <c r="AK18" s="4">
        <f>400*0.04</f>
        <v>16</v>
      </c>
      <c r="AL18" s="4">
        <f>900*0.012</f>
        <v>10.8</v>
      </c>
      <c r="AM18" s="4">
        <f t="shared" si="7"/>
        <v>0</v>
      </c>
      <c r="AN18" s="31"/>
      <c r="AO18" s="4"/>
      <c r="AP18" s="4">
        <f>700*0.02</f>
        <v>14</v>
      </c>
      <c r="AQ18" s="4">
        <f t="shared" si="8"/>
        <v>0</v>
      </c>
      <c r="AR18" s="4">
        <f>800*0.05</f>
        <v>40</v>
      </c>
      <c r="AS18" s="4">
        <f>800*0.04</f>
        <v>32</v>
      </c>
      <c r="AT18" s="4">
        <f>600*0.08</f>
        <v>48</v>
      </c>
    </row>
    <row r="19" spans="2:47">
      <c r="B19" s="9">
        <v>43757</v>
      </c>
      <c r="C19" s="29"/>
      <c r="D19" s="4">
        <f>599*0.08</f>
        <v>47.92</v>
      </c>
      <c r="E19" s="4">
        <f>(840*0.07)</f>
        <v>58.800000000000004</v>
      </c>
      <c r="F19" s="4">
        <f>(54*0.04)</f>
        <v>2.16</v>
      </c>
      <c r="G19" s="4">
        <f t="shared" si="0"/>
        <v>0</v>
      </c>
      <c r="H19" s="4">
        <f>(1200*0.04)</f>
        <v>48</v>
      </c>
      <c r="I19" s="4">
        <f>(669*0.08)</f>
        <v>53.52</v>
      </c>
      <c r="J19" s="4">
        <f t="shared" si="1"/>
        <v>0</v>
      </c>
      <c r="K19" s="4">
        <f>(770*0.08)</f>
        <v>61.6</v>
      </c>
      <c r="L19" s="4">
        <f>(1500*0.08)</f>
        <v>120</v>
      </c>
      <c r="M19" s="4">
        <f>(600*0.05)</f>
        <v>30</v>
      </c>
      <c r="N19" s="4">
        <f t="shared" si="3"/>
        <v>0</v>
      </c>
      <c r="O19" s="4">
        <f>(900*0.03)</f>
        <v>27</v>
      </c>
      <c r="P19" s="4">
        <f>(2200*0.03)</f>
        <v>66</v>
      </c>
      <c r="Q19" s="32"/>
      <c r="R19" s="4">
        <f>1200*0.02</f>
        <v>24</v>
      </c>
      <c r="S19" s="4">
        <f t="shared" si="4"/>
        <v>0</v>
      </c>
      <c r="T19" s="4">
        <f>1250*0.05</f>
        <v>62.5</v>
      </c>
      <c r="U19" s="4">
        <f>1100*0.05</f>
        <v>55</v>
      </c>
      <c r="V19" s="4">
        <f>800*0.08</f>
        <v>64</v>
      </c>
      <c r="W19" s="33"/>
      <c r="X19" s="4">
        <f>1320*0.02</f>
        <v>26.400000000000002</v>
      </c>
      <c r="Y19" s="4">
        <f>700*0.02</f>
        <v>14</v>
      </c>
      <c r="Z19" s="4">
        <f>900*0.09</f>
        <v>81</v>
      </c>
      <c r="AA19" s="4">
        <f>400*0.09</f>
        <v>36</v>
      </c>
      <c r="AB19" s="4">
        <f>1200*0.02</f>
        <v>24</v>
      </c>
      <c r="AC19" s="4">
        <f t="shared" si="5"/>
        <v>1.5</v>
      </c>
      <c r="AD19" s="4">
        <f>770*0.03</f>
        <v>23.099999999999998</v>
      </c>
      <c r="AE19" s="32"/>
      <c r="AF19" s="4">
        <f>800*0.05</f>
        <v>40</v>
      </c>
      <c r="AG19" s="4">
        <f>500*0.04</f>
        <v>20</v>
      </c>
      <c r="AH19" s="4">
        <f t="shared" si="6"/>
        <v>0</v>
      </c>
      <c r="AI19" s="4">
        <f>900*0.05</f>
        <v>45</v>
      </c>
      <c r="AJ19" s="4">
        <f>600*0.07</f>
        <v>42.000000000000007</v>
      </c>
      <c r="AK19" s="4">
        <f>900*0.04</f>
        <v>36</v>
      </c>
      <c r="AL19" s="4">
        <f>1000*0.012</f>
        <v>12</v>
      </c>
      <c r="AM19" s="4">
        <f t="shared" si="7"/>
        <v>0</v>
      </c>
      <c r="AN19" s="31"/>
      <c r="AO19" s="4"/>
      <c r="AP19" s="4">
        <f>700*0.02</f>
        <v>14</v>
      </c>
      <c r="AQ19" s="4">
        <f t="shared" si="8"/>
        <v>0</v>
      </c>
      <c r="AR19" s="4">
        <f>600*0.05</f>
        <v>30</v>
      </c>
      <c r="AS19" s="4">
        <f>900*0.04</f>
        <v>36</v>
      </c>
      <c r="AT19" s="4">
        <f>700*0.08</f>
        <v>56</v>
      </c>
    </row>
    <row r="20" spans="2:47">
      <c r="B20" s="9">
        <v>43758</v>
      </c>
      <c r="C20" s="29"/>
      <c r="D20" s="4">
        <f>1299*0.08</f>
        <v>103.92</v>
      </c>
      <c r="E20" s="4">
        <f>(320*0.07)</f>
        <v>22.400000000000002</v>
      </c>
      <c r="F20" s="4">
        <f>(78*0.04)</f>
        <v>3.12</v>
      </c>
      <c r="G20" s="4">
        <f t="shared" si="0"/>
        <v>0</v>
      </c>
      <c r="H20" s="4">
        <f t="shared" si="0"/>
        <v>0</v>
      </c>
      <c r="I20" s="4">
        <f>(499*0.08)</f>
        <v>39.92</v>
      </c>
      <c r="J20" s="4">
        <f t="shared" si="1"/>
        <v>0</v>
      </c>
      <c r="K20" s="4">
        <f>(880*0.08)</f>
        <v>70.400000000000006</v>
      </c>
      <c r="L20" s="4">
        <f t="shared" si="2"/>
        <v>0</v>
      </c>
      <c r="M20" s="4">
        <f t="shared" ref="M20" si="10">(800*0.05)</f>
        <v>40</v>
      </c>
      <c r="N20" s="4">
        <f t="shared" si="3"/>
        <v>0</v>
      </c>
      <c r="O20" s="4">
        <f t="shared" si="3"/>
        <v>0</v>
      </c>
      <c r="P20" s="4">
        <f>(0*0.03)</f>
        <v>0</v>
      </c>
      <c r="Q20" s="32"/>
      <c r="R20" s="4">
        <f>225*0.02</f>
        <v>4.5</v>
      </c>
      <c r="S20" s="4">
        <f t="shared" si="4"/>
        <v>0</v>
      </c>
      <c r="T20" s="4">
        <f>1600*0.05</f>
        <v>80</v>
      </c>
      <c r="U20" s="4">
        <f>1050*0.05</f>
        <v>52.5</v>
      </c>
      <c r="V20" s="4">
        <f>600*0.08</f>
        <v>48</v>
      </c>
      <c r="W20" s="33"/>
      <c r="X20" s="4">
        <f>1250*0.02</f>
        <v>25</v>
      </c>
      <c r="Y20" s="4">
        <f>800*0.02</f>
        <v>16</v>
      </c>
      <c r="Z20" s="4">
        <f>700*0.09</f>
        <v>63</v>
      </c>
      <c r="AA20" s="4">
        <f>600*0.09</f>
        <v>54</v>
      </c>
      <c r="AB20" s="4">
        <f>1300*0.02</f>
        <v>26</v>
      </c>
      <c r="AC20" s="4">
        <f t="shared" si="5"/>
        <v>1.5</v>
      </c>
      <c r="AD20" s="4">
        <f>660*0.03</f>
        <v>19.8</v>
      </c>
      <c r="AE20" s="32"/>
      <c r="AF20" s="4">
        <f>900*0.05</f>
        <v>45</v>
      </c>
      <c r="AG20" s="4">
        <f>700*0.04</f>
        <v>28</v>
      </c>
      <c r="AH20" s="4">
        <f t="shared" si="6"/>
        <v>0</v>
      </c>
      <c r="AI20" s="4">
        <f>750*0.05</f>
        <v>37.5</v>
      </c>
      <c r="AJ20" s="4">
        <f>700*0.07</f>
        <v>49.000000000000007</v>
      </c>
      <c r="AK20" s="4">
        <f>700*0.04</f>
        <v>28</v>
      </c>
      <c r="AL20" s="4">
        <f>800*0.012</f>
        <v>9.6</v>
      </c>
      <c r="AM20" s="4">
        <f t="shared" si="7"/>
        <v>0</v>
      </c>
      <c r="AN20" s="31"/>
      <c r="AO20" s="4"/>
      <c r="AP20" s="4">
        <f>500*0.02</f>
        <v>10</v>
      </c>
      <c r="AQ20" s="4">
        <f t="shared" si="8"/>
        <v>0</v>
      </c>
      <c r="AR20" s="4">
        <f>500*0.05</f>
        <v>25</v>
      </c>
      <c r="AS20" s="4">
        <f>300*0.04</f>
        <v>12</v>
      </c>
      <c r="AT20" s="4">
        <f>900*0.08</f>
        <v>72</v>
      </c>
    </row>
    <row r="21" spans="2:47">
      <c r="B21" s="9">
        <v>43759</v>
      </c>
      <c r="C21" s="29"/>
      <c r="D21" s="4">
        <f>800*0.08</f>
        <v>64</v>
      </c>
      <c r="E21" s="4">
        <f>(899*0.07)</f>
        <v>62.930000000000007</v>
      </c>
      <c r="F21" s="4">
        <f>(0*0.04)</f>
        <v>0</v>
      </c>
      <c r="G21" s="4">
        <f>(400*0.04)</f>
        <v>16</v>
      </c>
      <c r="H21" s="4">
        <f t="shared" si="0"/>
        <v>0</v>
      </c>
      <c r="I21" s="4">
        <f>(899*0.08)</f>
        <v>71.92</v>
      </c>
      <c r="J21" s="4">
        <f t="shared" si="1"/>
        <v>0</v>
      </c>
      <c r="K21" s="4">
        <f>(660*0.08)</f>
        <v>52.800000000000004</v>
      </c>
      <c r="L21" s="4">
        <f t="shared" si="2"/>
        <v>0</v>
      </c>
      <c r="M21" s="4">
        <f>(850*0.05)</f>
        <v>42.5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32"/>
      <c r="R21" s="4">
        <f>700*0.02</f>
        <v>14</v>
      </c>
      <c r="S21" s="4">
        <f t="shared" si="4"/>
        <v>0</v>
      </c>
      <c r="T21" s="4">
        <f>1200*0.05</f>
        <v>60</v>
      </c>
      <c r="U21" s="4">
        <f>1012*0.05</f>
        <v>50.6</v>
      </c>
      <c r="V21" s="4">
        <f>800*0.08</f>
        <v>64</v>
      </c>
      <c r="W21" s="33"/>
      <c r="X21" s="4">
        <f>0*0.02</f>
        <v>0</v>
      </c>
      <c r="Y21" s="4">
        <f>900*0.02</f>
        <v>18</v>
      </c>
      <c r="Z21" s="4">
        <f>800*0.09</f>
        <v>72</v>
      </c>
      <c r="AA21" s="4">
        <f>600*0.09</f>
        <v>54</v>
      </c>
      <c r="AB21" s="4">
        <f>1200*0.02</f>
        <v>24</v>
      </c>
      <c r="AC21" s="4">
        <f t="shared" si="5"/>
        <v>1.5</v>
      </c>
      <c r="AD21" s="4">
        <f>1000*0.03</f>
        <v>30</v>
      </c>
      <c r="AE21" s="32"/>
      <c r="AF21" s="4">
        <f>1000*0.05</f>
        <v>50</v>
      </c>
      <c r="AG21" s="4">
        <f>900*0.05</f>
        <v>45</v>
      </c>
      <c r="AH21" s="4">
        <f t="shared" si="6"/>
        <v>0</v>
      </c>
      <c r="AI21" s="4">
        <f>660*0.05</f>
        <v>33</v>
      </c>
      <c r="AJ21" s="4">
        <f>600*0.07</f>
        <v>42.000000000000007</v>
      </c>
      <c r="AK21" s="4">
        <f>600*0.04</f>
        <v>24</v>
      </c>
      <c r="AL21" s="4">
        <f>900*0.012</f>
        <v>10.8</v>
      </c>
      <c r="AM21" s="4">
        <f t="shared" si="7"/>
        <v>0</v>
      </c>
      <c r="AN21" s="31"/>
      <c r="AO21" s="4"/>
      <c r="AP21" s="4">
        <f>800*0.02</f>
        <v>16</v>
      </c>
      <c r="AQ21" s="4">
        <f t="shared" si="8"/>
        <v>0</v>
      </c>
      <c r="AR21" s="4">
        <f>900*0.05</f>
        <v>45</v>
      </c>
      <c r="AS21" s="4">
        <f>400*0.04</f>
        <v>16</v>
      </c>
      <c r="AT21" s="4">
        <f>600*0.08</f>
        <v>48</v>
      </c>
    </row>
    <row r="22" spans="2:47">
      <c r="B22" s="12">
        <v>43760</v>
      </c>
      <c r="C22" s="30"/>
      <c r="D22" s="4">
        <f>669*0.08</f>
        <v>53.52</v>
      </c>
      <c r="E22" s="4">
        <f>(799*0.07)</f>
        <v>55.930000000000007</v>
      </c>
      <c r="F22" s="4">
        <f t="shared" ref="F22" si="11">(455*0.04)</f>
        <v>18.2</v>
      </c>
      <c r="G22" s="4">
        <f t="shared" si="0"/>
        <v>0</v>
      </c>
      <c r="H22" s="4">
        <f>(850*0.04)</f>
        <v>34</v>
      </c>
      <c r="I22" s="4">
        <f>(600*0.08)</f>
        <v>48</v>
      </c>
      <c r="J22" s="4">
        <f t="shared" si="1"/>
        <v>0</v>
      </c>
      <c r="K22" s="4">
        <f>(300*0.08)</f>
        <v>24</v>
      </c>
      <c r="L22" s="4">
        <f t="shared" si="2"/>
        <v>0</v>
      </c>
      <c r="M22" s="4">
        <f>(800*0.05)</f>
        <v>40</v>
      </c>
      <c r="N22" s="4">
        <f t="shared" si="3"/>
        <v>0</v>
      </c>
      <c r="O22" s="4">
        <f>(500*0.03)</f>
        <v>15</v>
      </c>
      <c r="P22" s="4">
        <f t="shared" si="3"/>
        <v>0</v>
      </c>
      <c r="Q22" s="32"/>
      <c r="R22" s="4">
        <f>660*0.02</f>
        <v>13.200000000000001</v>
      </c>
      <c r="S22" s="4">
        <f t="shared" si="4"/>
        <v>0</v>
      </c>
      <c r="T22" s="4">
        <f>1000*0.05</f>
        <v>50</v>
      </c>
      <c r="U22" s="4">
        <f>50*0.05</f>
        <v>2.5</v>
      </c>
      <c r="V22" s="4">
        <f>500*0.08</f>
        <v>40</v>
      </c>
      <c r="W22" s="33"/>
      <c r="X22" s="4">
        <f t="shared" ref="X22" si="12">800*0.02</f>
        <v>16</v>
      </c>
      <c r="Y22" s="4">
        <f t="shared" ref="Y22" si="13">800*0.02</f>
        <v>16</v>
      </c>
      <c r="Z22" s="4">
        <f t="shared" ref="Z22" si="14">700*0.09</f>
        <v>63</v>
      </c>
      <c r="AA22" s="4">
        <f>700*0.09</f>
        <v>63</v>
      </c>
      <c r="AB22" s="4">
        <f>200*0.02</f>
        <v>4</v>
      </c>
      <c r="AC22" s="4">
        <f t="shared" si="5"/>
        <v>1.5</v>
      </c>
      <c r="AD22" s="4">
        <f>700*0.03</f>
        <v>21</v>
      </c>
      <c r="AE22" s="32"/>
      <c r="AF22" s="4">
        <f>1000*0.05</f>
        <v>50</v>
      </c>
      <c r="AG22" s="4">
        <f>700*0.05</f>
        <v>35</v>
      </c>
      <c r="AH22" s="4">
        <f t="shared" si="6"/>
        <v>0</v>
      </c>
      <c r="AI22" s="4">
        <f t="shared" ref="AI22" si="15">700*0.05</f>
        <v>35</v>
      </c>
      <c r="AJ22" s="4">
        <f>600*0.07</f>
        <v>42.000000000000007</v>
      </c>
      <c r="AK22" s="4">
        <f>700*0.04</f>
        <v>28</v>
      </c>
      <c r="AL22" s="4">
        <f>100*0.012</f>
        <v>1.2</v>
      </c>
      <c r="AM22" s="4">
        <f t="shared" si="7"/>
        <v>0</v>
      </c>
      <c r="AN22" s="31"/>
      <c r="AO22" s="4"/>
      <c r="AP22" s="4">
        <f t="shared" ref="AP22" si="16">300*0.02</f>
        <v>6</v>
      </c>
      <c r="AQ22" s="4">
        <f t="shared" si="8"/>
        <v>0</v>
      </c>
      <c r="AR22" s="4">
        <f>800*0.05</f>
        <v>40</v>
      </c>
      <c r="AS22" s="4">
        <f>600*0.04</f>
        <v>24</v>
      </c>
      <c r="AT22" s="4">
        <f t="shared" ref="AT22" si="17">900*0.08</f>
        <v>72</v>
      </c>
    </row>
    <row r="23" spans="2:47">
      <c r="B23" s="13"/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2:47">
      <c r="B24" s="14"/>
      <c r="C24" s="11" t="s">
        <v>14</v>
      </c>
      <c r="D24" s="4">
        <f>SUM(D5:D23)</f>
        <v>975.75999999999988</v>
      </c>
      <c r="E24" s="4">
        <f t="shared" ref="E24:P24" si="18">SUM(E5:E23)</f>
        <v>735.98</v>
      </c>
      <c r="F24" s="4">
        <f t="shared" si="18"/>
        <v>253.58</v>
      </c>
      <c r="G24" s="4">
        <f t="shared" si="18"/>
        <v>104</v>
      </c>
      <c r="H24" s="4">
        <f t="shared" si="18"/>
        <v>305.96000000000004</v>
      </c>
      <c r="I24" s="4">
        <f t="shared" si="18"/>
        <v>801.3599999999999</v>
      </c>
      <c r="J24" s="4">
        <f t="shared" si="18"/>
        <v>0</v>
      </c>
      <c r="K24" s="4">
        <f t="shared" si="18"/>
        <v>925.52</v>
      </c>
      <c r="L24" s="4">
        <f t="shared" si="18"/>
        <v>160</v>
      </c>
      <c r="M24" s="4">
        <f t="shared" si="18"/>
        <v>559.4</v>
      </c>
      <c r="N24" s="4">
        <f t="shared" si="18"/>
        <v>4.5</v>
      </c>
      <c r="O24" s="4">
        <f t="shared" si="18"/>
        <v>84</v>
      </c>
      <c r="P24" s="4">
        <f t="shared" si="18"/>
        <v>66</v>
      </c>
      <c r="Q24" s="4"/>
      <c r="R24" s="4">
        <f t="shared" ref="R24" si="19">SUM(R5:R23)</f>
        <v>233.04</v>
      </c>
      <c r="S24" s="4">
        <f t="shared" ref="S24" si="20">SUM(S5:S23)</f>
        <v>0</v>
      </c>
      <c r="T24" s="4">
        <f t="shared" ref="T24" si="21">SUM(T5:T23)</f>
        <v>985</v>
      </c>
      <c r="U24" s="4">
        <f t="shared" ref="U24" si="22">SUM(U5:U23)</f>
        <v>786.55000000000007</v>
      </c>
      <c r="V24" s="4">
        <f t="shared" ref="V24" si="23">SUM(V5:V23)</f>
        <v>684</v>
      </c>
      <c r="W24" s="4"/>
      <c r="X24" s="4">
        <f t="shared" ref="X24" si="24">SUM(X5:X23)</f>
        <v>307.24</v>
      </c>
      <c r="Y24" s="4">
        <f t="shared" ref="Y24" si="25">SUM(Y5:Y23)</f>
        <v>328.6</v>
      </c>
      <c r="Z24" s="4">
        <f t="shared" ref="Z24" si="26">SUM(Z5:Z23)</f>
        <v>864</v>
      </c>
      <c r="AA24" s="4">
        <f t="shared" ref="AA24" si="27">SUM(AA5:AA23)</f>
        <v>1138.5</v>
      </c>
      <c r="AB24" s="4">
        <f t="shared" ref="AB24" si="28">SUM(AB5:AB23)</f>
        <v>244.2</v>
      </c>
      <c r="AC24" s="4">
        <f t="shared" ref="AC24" si="29">SUM(AC5:AC23)</f>
        <v>27</v>
      </c>
      <c r="AD24" s="4">
        <f t="shared" ref="AD24" si="30">SUM(AD5:AD23)</f>
        <v>292.69</v>
      </c>
      <c r="AE24" s="4"/>
      <c r="AF24" s="4">
        <f t="shared" ref="AF24" si="31">SUM(AF5:AF23)</f>
        <v>627</v>
      </c>
      <c r="AG24" s="4">
        <f t="shared" ref="AG24" si="32">SUM(AG5:AG23)</f>
        <v>555.20000000000005</v>
      </c>
      <c r="AH24" s="4">
        <f t="shared" ref="AH24" si="33">SUM(AH5:AH23)</f>
        <v>20.25</v>
      </c>
      <c r="AI24" s="4">
        <f t="shared" ref="AI24" si="34">SUM(AI5:AI23)</f>
        <v>574.79999999999995</v>
      </c>
      <c r="AJ24" s="4">
        <f t="shared" ref="AJ24" si="35">SUM(AJ5:AJ23)</f>
        <v>854</v>
      </c>
      <c r="AK24" s="4">
        <f t="shared" ref="AK24" si="36">SUM(AK5:AK23)</f>
        <v>426.8</v>
      </c>
      <c r="AL24" s="4">
        <f t="shared" ref="AL24" si="37">SUM(AL5:AL23)</f>
        <v>112.16399999999999</v>
      </c>
      <c r="AM24" s="4">
        <f t="shared" ref="AM24" si="38">SUM(AM5:AM23)</f>
        <v>0</v>
      </c>
      <c r="AN24" s="4"/>
      <c r="AO24" s="4">
        <f t="shared" ref="AO24" si="39">SUM(AO5:AO23)</f>
        <v>0</v>
      </c>
      <c r="AP24" s="4">
        <f t="shared" ref="AP24" si="40">SUM(AP5:AP23)</f>
        <v>215.1</v>
      </c>
      <c r="AQ24" s="4">
        <f t="shared" ref="AQ24" si="41">SUM(AQ5:AQ23)</f>
        <v>0</v>
      </c>
      <c r="AR24" s="4">
        <f t="shared" ref="AR24" si="42">SUM(AR5:AR23)</f>
        <v>595</v>
      </c>
      <c r="AS24" s="4">
        <f t="shared" ref="AS24" si="43">SUM(AS5:AS23)</f>
        <v>530</v>
      </c>
      <c r="AT24" s="4">
        <f t="shared" ref="AT24" si="44">SUM(AT5:AT23)</f>
        <v>913.6</v>
      </c>
      <c r="AU24" s="17">
        <f>SUM(C24:AT24)</f>
        <v>16290.794000000002</v>
      </c>
    </row>
    <row r="25" spans="2:47" ht="15.75" thickBot="1"/>
    <row r="26" spans="2:47" ht="15.75" thickBot="1">
      <c r="C26" s="18" t="s">
        <v>45</v>
      </c>
      <c r="D26" s="19">
        <v>16290.794000000002</v>
      </c>
    </row>
    <row r="28" spans="2:47" ht="15.75" thickBot="1"/>
    <row r="29" spans="2:47" ht="15.75" thickBot="1">
      <c r="B29" s="26" t="s">
        <v>52</v>
      </c>
      <c r="C29" s="27"/>
    </row>
    <row r="43" spans="4:36" ht="15.75" thickBot="1"/>
    <row r="44" spans="4:36" ht="15.75" thickBot="1">
      <c r="AH44" s="20" t="s">
        <v>51</v>
      </c>
      <c r="AI44" s="21"/>
      <c r="AJ44" s="22"/>
    </row>
    <row r="45" spans="4:36" ht="15.75" thickBot="1">
      <c r="K45" s="20" t="s">
        <v>48</v>
      </c>
      <c r="L45" s="21"/>
      <c r="M45" s="22"/>
      <c r="R45" s="20" t="s">
        <v>49</v>
      </c>
      <c r="S45" s="21"/>
      <c r="T45" s="22"/>
      <c r="Z45" s="20" t="s">
        <v>50</v>
      </c>
      <c r="AA45" s="21"/>
      <c r="AB45" s="22"/>
      <c r="AH45" s="23"/>
      <c r="AI45" s="24"/>
      <c r="AJ45" s="25"/>
    </row>
    <row r="46" spans="4:36" ht="15.75" thickBot="1">
      <c r="D46" s="20" t="s">
        <v>47</v>
      </c>
      <c r="E46" s="21"/>
      <c r="F46" s="22"/>
      <c r="K46" s="23"/>
      <c r="L46" s="24"/>
      <c r="M46" s="25"/>
      <c r="R46" s="23"/>
      <c r="S46" s="24"/>
      <c r="T46" s="25"/>
      <c r="Z46" s="23"/>
      <c r="AA46" s="24"/>
      <c r="AB46" s="25"/>
    </row>
    <row r="47" spans="4:36" ht="15.75" thickBot="1">
      <c r="D47" s="23"/>
      <c r="E47" s="24"/>
      <c r="F47" s="25"/>
    </row>
  </sheetData>
  <mergeCells count="11">
    <mergeCell ref="AN4:AN22"/>
    <mergeCell ref="Q4:Q22"/>
    <mergeCell ref="W4:W22"/>
    <mergeCell ref="AE4:AE22"/>
    <mergeCell ref="AH44:AJ45"/>
    <mergeCell ref="B29:C29"/>
    <mergeCell ref="C4:C22"/>
    <mergeCell ref="D46:F47"/>
    <mergeCell ref="K45:M46"/>
    <mergeCell ref="R45:T46"/>
    <mergeCell ref="Z45:AB46"/>
  </mergeCells>
  <hyperlinks>
    <hyperlink ref="M4" r:id="rId1" display="https://www.admitad.com/en/webmaster/websites/1149366/offers/21102/"/>
    <hyperlink ref="N4" r:id="rId2" display="https://www.admitad.com/en/webmaster/websites/1149366/offers/16145/"/>
    <hyperlink ref="R4" r:id="rId3" display="https://www.admitad.com/en/webmaster/websites/1149366/offers/18541/"/>
    <hyperlink ref="S4" r:id="rId4" display="https://www.admitad.com/en/webmaster/websites/1149366/offers/14986/"/>
    <hyperlink ref="T4" r:id="rId5" display="https://www.admitad.com/en/webmaster/websites/1149366/offers/16494/"/>
    <hyperlink ref="U4" r:id="rId6" display="https://www.admitad.com/en/webmaster/websites/1149366/offers/15218/"/>
    <hyperlink ref="V4" r:id="rId7" display="https://www.admitad.com/en/webmaster/websites/1149366/offers/19857/"/>
    <hyperlink ref="X4" r:id="rId8" display="https://www.admitad.com/en/webmaster/websites/1149366/offers/18486/"/>
    <hyperlink ref="Y4" r:id="rId9" display="https://www.admitad.com/en/webmaster/websites/1149366/offers/19829/"/>
    <hyperlink ref="Z4" r:id="rId10" display="https://www.admitad.com/en/webmaster/websites/1149366/offers/18071/"/>
    <hyperlink ref="AA4" r:id="rId11" display="https://www.admitad.com/en/webmaster/websites/1149366/offers/17314/"/>
    <hyperlink ref="AB4" r:id="rId12" display="https://www.admitad.com/en/webmaster/websites/1149366/offers/18350/"/>
    <hyperlink ref="AC4" r:id="rId13" display="https://www.admitad.com/en/webmaster/websites/1149366/offers/21217/"/>
    <hyperlink ref="AD4" r:id="rId14" display="https://www.admitad.com/en/webmaster/websites/1149366/offers/15352/"/>
    <hyperlink ref="AF4" r:id="rId15" display="https://www.admitad.com/en/webmaster/websites/1149366/offers/18429/"/>
    <hyperlink ref="AG4" r:id="rId16" display="https://www.admitad.com/en/webmaster/websites/1149366/offers/5631/"/>
    <hyperlink ref="AH4" r:id="rId17" display="https://www.admitad.com/en/webmaster/websites/1149366/offers/15914/"/>
    <hyperlink ref="AI4" r:id="rId18" display="https://www.admitad.com/en/webmaster/websites/1149366/offers/13623/"/>
    <hyperlink ref="AJ4" r:id="rId19" display="https://www.admitad.com/en/webmaster/websites/1149366/offers/15671/"/>
    <hyperlink ref="AK4" r:id="rId20" display="https://www.admitad.com/en/webmaster/websites/1149366/offers/15415/"/>
    <hyperlink ref="AL4" r:id="rId21" display="https://www.admitad.com/en/webmaster/websites/1149366/offers/7077/"/>
    <hyperlink ref="AM4" r:id="rId22" display="https://www.admitad.com/en/webmaster/websites/1149366/offers/16553/"/>
    <hyperlink ref="AP4" r:id="rId23" display="https://www.admitad.com/en/webmaster/websites/1149366/offers/21708/"/>
    <hyperlink ref="AQ4" r:id="rId24" display="https://www.admitad.com/en/webmaster/websites/1149366/offers/14350/"/>
    <hyperlink ref="AR4" r:id="rId25" display="https://www.admitad.com/en/webmaster/websites/1149366/offers/15672/"/>
    <hyperlink ref="AS4" r:id="rId26" display="https://www.admitad.com/en/webmaster/websites/1149366/offers/22102/"/>
    <hyperlink ref="AT4" r:id="rId27" display="https://www.admitad.com/en/webmaster/websites/1149366/offers/15504/"/>
  </hyperlinks>
  <pageMargins left="0.7" right="0.7" top="0.75" bottom="0.75" header="0.3" footer="0.3"/>
  <pageSetup orientation="portrait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C4:G17"/>
  <sheetViews>
    <sheetView tabSelected="1" workbookViewId="0">
      <selection activeCell="H17" sqref="H17"/>
    </sheetView>
  </sheetViews>
  <sheetFormatPr defaultRowHeight="15"/>
  <cols>
    <col min="3" max="3" width="8.140625" bestFit="1" customWidth="1"/>
    <col min="4" max="4" width="18.28515625" bestFit="1" customWidth="1"/>
    <col min="5" max="5" width="13.7109375" bestFit="1" customWidth="1"/>
    <col min="6" max="6" width="11" bestFit="1" customWidth="1"/>
    <col min="7" max="7" width="6" bestFit="1" customWidth="1"/>
  </cols>
  <sheetData>
    <row r="4" spans="3:7">
      <c r="C4" t="s">
        <v>0</v>
      </c>
      <c r="D4" t="s">
        <v>1</v>
      </c>
      <c r="E4" t="s">
        <v>2</v>
      </c>
      <c r="F4" t="s">
        <v>53</v>
      </c>
      <c r="G4" t="s">
        <v>4</v>
      </c>
    </row>
    <row r="5" spans="3:7">
      <c r="C5">
        <v>975.76</v>
      </c>
      <c r="D5">
        <v>233.04</v>
      </c>
      <c r="E5">
        <v>307.24</v>
      </c>
      <c r="F5">
        <v>627</v>
      </c>
      <c r="G5">
        <v>215.1</v>
      </c>
    </row>
    <row r="6" spans="3:7">
      <c r="C6">
        <v>735.98</v>
      </c>
      <c r="D6">
        <v>0</v>
      </c>
      <c r="E6">
        <v>328.6</v>
      </c>
      <c r="F6">
        <v>555.20000000000005</v>
      </c>
      <c r="G6">
        <v>0</v>
      </c>
    </row>
    <row r="7" spans="3:7">
      <c r="C7">
        <v>253.58</v>
      </c>
      <c r="D7">
        <v>985</v>
      </c>
      <c r="E7">
        <v>864</v>
      </c>
      <c r="F7">
        <v>20.25</v>
      </c>
      <c r="G7">
        <v>595</v>
      </c>
    </row>
    <row r="8" spans="3:7">
      <c r="C8">
        <v>104</v>
      </c>
      <c r="D8">
        <v>786.55</v>
      </c>
      <c r="E8">
        <v>1138.5</v>
      </c>
      <c r="F8">
        <v>574.79999999999995</v>
      </c>
      <c r="G8">
        <v>530</v>
      </c>
    </row>
    <row r="9" spans="3:7">
      <c r="C9">
        <v>305.95999999999998</v>
      </c>
      <c r="D9">
        <v>684</v>
      </c>
      <c r="E9">
        <v>244.2</v>
      </c>
      <c r="F9">
        <v>854</v>
      </c>
      <c r="G9">
        <v>913.6</v>
      </c>
    </row>
    <row r="10" spans="3:7">
      <c r="C10">
        <v>801.36</v>
      </c>
      <c r="E10">
        <v>27</v>
      </c>
      <c r="F10">
        <v>426.8</v>
      </c>
    </row>
    <row r="11" spans="3:7">
      <c r="C11">
        <v>0</v>
      </c>
      <c r="E11">
        <v>292.69</v>
      </c>
      <c r="F11">
        <v>112.16</v>
      </c>
    </row>
    <row r="12" spans="3:7">
      <c r="C12">
        <v>925.52</v>
      </c>
    </row>
    <row r="13" spans="3:7">
      <c r="C13">
        <v>160</v>
      </c>
    </row>
    <row r="14" spans="3:7">
      <c r="C14">
        <v>559.4</v>
      </c>
    </row>
    <row r="15" spans="3:7">
      <c r="C15">
        <v>4.5</v>
      </c>
    </row>
    <row r="16" spans="3:7">
      <c r="C16">
        <v>84</v>
      </c>
    </row>
    <row r="17" spans="3:3">
      <c r="C17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2019-11-19T20:14:26Z</dcterms:modified>
</cp:coreProperties>
</file>