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im/Google Drive/VUT/NVER/MSP/Projekt/"/>
    </mc:Choice>
  </mc:AlternateContent>
  <xr:revisionPtr revIDLastSave="0" documentId="13_ncr:1_{093D8ADE-2640-1E4A-A29E-68E248A3A5A0}" xr6:coauthVersionLast="45" xr6:coauthVersionMax="45" xr10:uidLastSave="{00000000-0000-0000-0000-000000000000}"/>
  <bookViews>
    <workbookView xWindow="-6120" yWindow="-21140" windowWidth="38400" windowHeight="21140" activeTab="1" xr2:uid="{2738950E-B79B-4841-949D-6F671DC20716}"/>
  </bookViews>
  <sheets>
    <sheet name="Příklad 1" sheetId="1" r:id="rId1"/>
    <sheet name="Príklad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3" l="1"/>
  <c r="I4" i="3"/>
  <c r="B58" i="3"/>
  <c r="A58" i="3"/>
  <c r="E57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C57" i="3"/>
  <c r="D5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37" i="3"/>
  <c r="B57" i="3"/>
  <c r="A5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37" i="3"/>
  <c r="A56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37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4" i="3"/>
  <c r="H121" i="1"/>
  <c r="G121" i="1"/>
  <c r="D68" i="1"/>
  <c r="F35" i="1"/>
  <c r="E4" i="1"/>
  <c r="F17" i="1" s="1"/>
  <c r="B24" i="3" l="1"/>
  <c r="B25" i="3"/>
  <c r="B26" i="3"/>
  <c r="B27" i="3"/>
  <c r="B28" i="3"/>
  <c r="B29" i="3"/>
  <c r="B30" i="3" s="1"/>
  <c r="E4" i="3" s="1"/>
  <c r="B31" i="3"/>
  <c r="B32" i="3"/>
  <c r="H124" i="1"/>
  <c r="G124" i="1"/>
  <c r="H123" i="1"/>
  <c r="G123" i="1"/>
  <c r="H122" i="1"/>
  <c r="G122" i="1"/>
  <c r="E10" i="3" l="1"/>
  <c r="M21" i="3" s="1"/>
  <c r="H145" i="1"/>
  <c r="F145" i="1" s="1"/>
  <c r="I133" i="1"/>
  <c r="I130" i="1"/>
  <c r="H133" i="1"/>
  <c r="H130" i="1"/>
  <c r="D109" i="1"/>
  <c r="E112" i="1" s="1"/>
  <c r="F68" i="1"/>
  <c r="E68" i="1"/>
  <c r="G50" i="1"/>
  <c r="E50" i="1" s="1"/>
  <c r="I50" i="1" s="1"/>
  <c r="F130" i="1" l="1"/>
  <c r="F136" i="1" s="1"/>
  <c r="F133" i="1"/>
  <c r="G136" i="1" s="1"/>
  <c r="M19" i="3"/>
  <c r="M5" i="3"/>
  <c r="M11" i="3"/>
  <c r="M9" i="3"/>
  <c r="E13" i="3"/>
  <c r="M10" i="3"/>
  <c r="M16" i="3"/>
  <c r="M18" i="3"/>
  <c r="E28" i="3"/>
  <c r="M12" i="3"/>
  <c r="M20" i="3"/>
  <c r="M23" i="3"/>
  <c r="M8" i="3"/>
  <c r="M7" i="3"/>
  <c r="M22" i="3"/>
  <c r="M14" i="3"/>
  <c r="M15" i="3"/>
  <c r="M17" i="3"/>
  <c r="M6" i="3"/>
  <c r="E21" i="3"/>
  <c r="M13" i="3"/>
  <c r="G142" i="1"/>
  <c r="G127" i="1"/>
  <c r="G148" i="1"/>
  <c r="F148" i="1"/>
  <c r="D112" i="1"/>
  <c r="F38" i="1"/>
  <c r="E38" i="1"/>
  <c r="D38" i="1"/>
  <c r="G35" i="1"/>
  <c r="H35" i="1"/>
  <c r="E35" i="1"/>
  <c r="D35" i="1"/>
  <c r="E14" i="3" l="1"/>
  <c r="K4" i="1"/>
  <c r="G4" i="1"/>
  <c r="D4" i="1"/>
  <c r="E7" i="1" s="1"/>
  <c r="H11" i="3" l="1"/>
  <c r="H14" i="3"/>
  <c r="H17" i="3"/>
  <c r="H19" i="3"/>
  <c r="H22" i="3"/>
  <c r="H9" i="3"/>
  <c r="H4" i="3"/>
  <c r="H6" i="3"/>
  <c r="H8" i="3"/>
  <c r="H13" i="3"/>
  <c r="H21" i="3"/>
  <c r="H5" i="3"/>
  <c r="H7" i="3"/>
  <c r="H15" i="3"/>
  <c r="H10" i="3"/>
  <c r="H12" i="3"/>
  <c r="H16" i="3"/>
  <c r="H18" i="3"/>
  <c r="H20" i="3"/>
  <c r="H23" i="3"/>
  <c r="E15" i="3"/>
  <c r="E16" i="3" s="1"/>
  <c r="E29" i="3" s="1"/>
  <c r="G86" i="1"/>
  <c r="G89" i="1"/>
  <c r="D106" i="1"/>
  <c r="F76" i="1"/>
  <c r="D76" i="1" s="1"/>
  <c r="F73" i="1"/>
  <c r="D73" i="1" s="1"/>
  <c r="J4" i="1"/>
  <c r="F4" i="1"/>
  <c r="H4" i="1"/>
  <c r="E8" i="1" l="1"/>
  <c r="F7" i="1"/>
  <c r="F8" i="1"/>
  <c r="E9" i="1" s="1"/>
  <c r="J23" i="3"/>
  <c r="K23" i="3"/>
  <c r="I23" i="3"/>
  <c r="L23" i="3"/>
  <c r="J12" i="3"/>
  <c r="K12" i="3"/>
  <c r="I12" i="3"/>
  <c r="L12" i="3"/>
  <c r="I5" i="3"/>
  <c r="L5" i="3"/>
  <c r="J5" i="3"/>
  <c r="K5" i="3"/>
  <c r="K6" i="3"/>
  <c r="J6" i="3"/>
  <c r="L6" i="3"/>
  <c r="I6" i="3"/>
  <c r="L19" i="3"/>
  <c r="I19" i="3"/>
  <c r="J19" i="3"/>
  <c r="K19" i="3"/>
  <c r="J20" i="3"/>
  <c r="K20" i="3"/>
  <c r="I20" i="3"/>
  <c r="L20" i="3"/>
  <c r="J10" i="3"/>
  <c r="K10" i="3"/>
  <c r="I10" i="3"/>
  <c r="L10" i="3"/>
  <c r="K21" i="3"/>
  <c r="J21" i="3"/>
  <c r="L21" i="3"/>
  <c r="I21" i="3"/>
  <c r="K4" i="3"/>
  <c r="J4" i="3"/>
  <c r="L4" i="3"/>
  <c r="L17" i="3"/>
  <c r="I17" i="3"/>
  <c r="K17" i="3"/>
  <c r="J17" i="3"/>
  <c r="J18" i="3"/>
  <c r="K18" i="3"/>
  <c r="I18" i="3"/>
  <c r="L18" i="3"/>
  <c r="I15" i="3"/>
  <c r="J15" i="3"/>
  <c r="L15" i="3"/>
  <c r="K15" i="3"/>
  <c r="K13" i="3"/>
  <c r="J13" i="3"/>
  <c r="L13" i="3"/>
  <c r="I13" i="3"/>
  <c r="I9" i="3"/>
  <c r="L9" i="3"/>
  <c r="J9" i="3"/>
  <c r="K9" i="3"/>
  <c r="L14" i="3"/>
  <c r="I14" i="3"/>
  <c r="K14" i="3"/>
  <c r="J14" i="3"/>
  <c r="E22" i="3"/>
  <c r="J16" i="3"/>
  <c r="K16" i="3"/>
  <c r="I16" i="3"/>
  <c r="L16" i="3"/>
  <c r="I7" i="3"/>
  <c r="L7" i="3"/>
  <c r="J7" i="3"/>
  <c r="K7" i="3"/>
  <c r="K8" i="3"/>
  <c r="L8" i="3"/>
  <c r="J8" i="3"/>
  <c r="I8" i="3"/>
  <c r="L22" i="3"/>
  <c r="K22" i="3"/>
  <c r="I22" i="3"/>
  <c r="J22" i="3"/>
  <c r="L11" i="3"/>
  <c r="I11" i="3"/>
  <c r="K11" i="3"/>
  <c r="J11" i="3"/>
  <c r="E89" i="1"/>
  <c r="D95" i="1" s="1"/>
  <c r="D102" i="1" s="1"/>
  <c r="D89" i="1"/>
  <c r="E95" i="1" s="1"/>
  <c r="E102" i="1" s="1"/>
  <c r="G8" i="1"/>
  <c r="D86" i="1"/>
  <c r="E92" i="1" s="1"/>
  <c r="E99" i="1" s="1"/>
  <c r="E86" i="1"/>
  <c r="D92" i="1" s="1"/>
  <c r="D99" i="1" s="1"/>
  <c r="G7" i="1"/>
  <c r="I7" i="1"/>
  <c r="H7" i="1" s="1"/>
  <c r="E79" i="1"/>
  <c r="D79" i="1"/>
  <c r="E82" i="1"/>
  <c r="D82" i="1"/>
  <c r="I8" i="1"/>
  <c r="J8" i="1" s="1"/>
  <c r="F9" i="1" l="1"/>
  <c r="E10" i="1" s="1"/>
  <c r="F10" i="1"/>
  <c r="F42" i="1" s="1"/>
  <c r="G9" i="1"/>
  <c r="J7" i="1"/>
  <c r="K7" i="1"/>
  <c r="H8" i="1"/>
  <c r="I9" i="1" l="1"/>
  <c r="J9" i="1" s="1"/>
  <c r="G10" i="1"/>
  <c r="I10" i="1"/>
  <c r="J10" i="1" s="1"/>
  <c r="E11" i="1"/>
  <c r="I42" i="1"/>
  <c r="H42" i="1" s="1"/>
  <c r="E43" i="1"/>
  <c r="J42" i="1"/>
  <c r="G42" i="1"/>
  <c r="K8" i="1"/>
  <c r="H9" i="1" l="1"/>
  <c r="K9" i="1" s="1"/>
  <c r="F11" i="1"/>
  <c r="K42" i="1"/>
  <c r="F43" i="1"/>
  <c r="G43" i="1" s="1"/>
  <c r="H10" i="1"/>
  <c r="G11" i="1" l="1"/>
  <c r="I11" i="1"/>
  <c r="J11" i="1" s="1"/>
  <c r="E12" i="1"/>
  <c r="I43" i="1"/>
  <c r="H43" i="1" s="1"/>
  <c r="E44" i="1"/>
  <c r="J43" i="1"/>
  <c r="K10" i="1"/>
  <c r="F12" i="1" l="1"/>
  <c r="E13" i="1" s="1"/>
  <c r="H11" i="1"/>
  <c r="K11" i="1" s="1"/>
  <c r="K43" i="1"/>
  <c r="F44" i="1"/>
  <c r="G44" i="1" s="1"/>
  <c r="F13" i="1" l="1"/>
  <c r="E14" i="1" s="1"/>
  <c r="G12" i="1"/>
  <c r="I12" i="1"/>
  <c r="I44" i="1"/>
  <c r="H44" i="1" s="1"/>
  <c r="E45" i="1"/>
  <c r="J44" i="1"/>
  <c r="F14" i="1" l="1"/>
  <c r="E15" i="1" s="1"/>
  <c r="G13" i="1"/>
  <c r="I13" i="1"/>
  <c r="J13" i="1" s="1"/>
  <c r="J12" i="1"/>
  <c r="H12" i="1"/>
  <c r="K44" i="1"/>
  <c r="F45" i="1"/>
  <c r="G45" i="1" s="1"/>
  <c r="F15" i="1" l="1"/>
  <c r="E16" i="1" s="1"/>
  <c r="G14" i="1"/>
  <c r="K12" i="1"/>
  <c r="H13" i="1"/>
  <c r="I14" i="1"/>
  <c r="J14" i="1" s="1"/>
  <c r="I45" i="1"/>
  <c r="H45" i="1" s="1"/>
  <c r="J45" i="1"/>
  <c r="E46" i="1"/>
  <c r="F16" i="1" l="1"/>
  <c r="E17" i="1" s="1"/>
  <c r="G15" i="1"/>
  <c r="K13" i="1"/>
  <c r="H14" i="1"/>
  <c r="I15" i="1"/>
  <c r="J15" i="1" s="1"/>
  <c r="K45" i="1"/>
  <c r="F46" i="1"/>
  <c r="I46" i="1" s="1"/>
  <c r="H46" i="1" s="1"/>
  <c r="G17" i="1" l="1"/>
  <c r="I17" i="1"/>
  <c r="J17" i="1" s="1"/>
  <c r="I16" i="1"/>
  <c r="J16" i="1" s="1"/>
  <c r="H15" i="1"/>
  <c r="K14" i="1"/>
  <c r="G16" i="1"/>
  <c r="G46" i="1"/>
  <c r="E47" i="1"/>
  <c r="J46" i="1"/>
  <c r="K46" i="1" s="1"/>
  <c r="H16" i="1" l="1"/>
  <c r="K15" i="1"/>
  <c r="G47" i="1"/>
  <c r="I47" i="1"/>
  <c r="H47" i="1" s="1"/>
  <c r="J47" i="1"/>
  <c r="H17" i="1" l="1"/>
  <c r="K17" i="1" s="1"/>
  <c r="K16" i="1"/>
  <c r="K47" i="1"/>
  <c r="D50" i="1" s="1"/>
</calcChain>
</file>

<file path=xl/sharedStrings.xml><?xml version="1.0" encoding="utf-8"?>
<sst xmlns="http://schemas.openxmlformats.org/spreadsheetml/2006/main" count="176" uniqueCount="124">
  <si>
    <t>X [mm]</t>
  </si>
  <si>
    <t>Výška [cm]</t>
  </si>
  <si>
    <t>Váha [kg]</t>
  </si>
  <si>
    <t>Př.  1</t>
  </si>
  <si>
    <t>Př. 2</t>
  </si>
  <si>
    <t>Uspořádaný staticstický soubor</t>
  </si>
  <si>
    <t>x(1) = min xi</t>
  </si>
  <si>
    <t>x(n) = max xi</t>
  </si>
  <si>
    <t>Variační obor od</t>
  </si>
  <si>
    <t>Variační obor do</t>
  </si>
  <si>
    <t>Rozpětí</t>
  </si>
  <si>
    <t>Počet tříd m</t>
  </si>
  <si>
    <t>a)</t>
  </si>
  <si>
    <t>Délka třídy</t>
  </si>
  <si>
    <t>Tabulka četností</t>
  </si>
  <si>
    <t>xi-</t>
  </si>
  <si>
    <t>xi+</t>
  </si>
  <si>
    <t>střed třídy</t>
  </si>
  <si>
    <t>četnost</t>
  </si>
  <si>
    <t>kumulativní četnost</t>
  </si>
  <si>
    <t>počet n</t>
  </si>
  <si>
    <t>relativní četnost</t>
  </si>
  <si>
    <t>relativní kumulativní četnost</t>
  </si>
  <si>
    <t>třída</t>
  </si>
  <si>
    <t>b)</t>
  </si>
  <si>
    <t>průměr</t>
  </si>
  <si>
    <t>meidán</t>
  </si>
  <si>
    <t>modus</t>
  </si>
  <si>
    <t>směrodatná odchylka</t>
  </si>
  <si>
    <t>rozptyl</t>
  </si>
  <si>
    <t>c)</t>
  </si>
  <si>
    <t>bodový odhad střední hodnoty</t>
  </si>
  <si>
    <t>bodový odhad rozptylu</t>
  </si>
  <si>
    <t>bodový odhad směrodatné odchylky</t>
  </si>
  <si>
    <t>d)</t>
  </si>
  <si>
    <t>teoretická četnost</t>
  </si>
  <si>
    <t>rzdíl^2/teoretická četnost</t>
  </si>
  <si>
    <t>Testovací kritérium</t>
  </si>
  <si>
    <t>chi0.95^2 pro k = 6 - 2 -1</t>
  </si>
  <si>
    <t>hladina významnosti alfa</t>
  </si>
  <si>
    <t>stupně volnosti k</t>
  </si>
  <si>
    <t>doplněk kritického oboru od</t>
  </si>
  <si>
    <t>doplněk kritického oboru do</t>
  </si>
  <si>
    <t>Hypotéza se nezamítá, protože testovací kritérium spadá do doplňku kritického oboru.</t>
  </si>
  <si>
    <t>e)</t>
  </si>
  <si>
    <t>alfa</t>
  </si>
  <si>
    <t>k</t>
  </si>
  <si>
    <t>doplněk kritického oboru 0.05 od</t>
  </si>
  <si>
    <t>doplněk kritického oboru 0.05 do</t>
  </si>
  <si>
    <t>Intervalový odhad střední hodnoty</t>
  </si>
  <si>
    <t>Intervalový odhad rozptylu</t>
  </si>
  <si>
    <t>0.975 kvantil Stud. roz. 1-alfa</t>
  </si>
  <si>
    <t>0.995 kvantil Stud. roz. 1-alfa</t>
  </si>
  <si>
    <t>alfa/2</t>
  </si>
  <si>
    <t>0.975 kvantil Peras. roz. alfa/2</t>
  </si>
  <si>
    <t>0.995 kvantil Peras. roz. alfa/2</t>
  </si>
  <si>
    <t>0.975 kvantil Peras. roz. 1-alfa/2</t>
  </si>
  <si>
    <t>0.995 kvantil Peras. roz. 1-alfa/2</t>
  </si>
  <si>
    <t>doplněk kritického oboru 0.01 od</t>
  </si>
  <si>
    <t>doplněk kritického oboru 0.01 do</t>
  </si>
  <si>
    <t>Intervalový odhad směrodatné odchylky</t>
  </si>
  <si>
    <t>f)</t>
  </si>
  <si>
    <t>testovací kritérium</t>
  </si>
  <si>
    <t>0.975 kvantil Stud. roz. 1-alfa/2</t>
  </si>
  <si>
    <t>Hypotéza H0 se zamítá a alernativní hypotéza Ha se nezamítá.</t>
  </si>
  <si>
    <t>g)</t>
  </si>
  <si>
    <t>x1:20 - X</t>
  </si>
  <si>
    <t>x21:50 - Y</t>
  </si>
  <si>
    <t>n</t>
  </si>
  <si>
    <t>směrodatná ochylka</t>
  </si>
  <si>
    <t>X</t>
  </si>
  <si>
    <t>Y</t>
  </si>
  <si>
    <t>0.95 kvantil Fish.-Sned. roz. alfa/2</t>
  </si>
  <si>
    <t>0.95 kvantil Fish.-Sned. roz. 1-alfa/2</t>
  </si>
  <si>
    <t>k1</t>
  </si>
  <si>
    <t>k2</t>
  </si>
  <si>
    <t>Hypotéza H0 se nezamítá.</t>
  </si>
  <si>
    <t>Test rovnosti rozptylů</t>
  </si>
  <si>
    <t>Studentův dvouvýběrový test</t>
  </si>
  <si>
    <t>0.95 kvantil Stud. roz. 1-alfa/2</t>
  </si>
  <si>
    <t>suma y</t>
  </si>
  <si>
    <r>
      <t xml:space="preserve">H: beta3 sa </t>
    </r>
    <r>
      <rPr>
        <b/>
        <sz val="11"/>
        <color theme="1"/>
        <rFont val="Calibri"/>
        <family val="2"/>
        <charset val="238"/>
        <scheme val="minor"/>
      </rPr>
      <t>nezamieta</t>
    </r>
  </si>
  <si>
    <t>suma x</t>
  </si>
  <si>
    <t>&lt;-2,100922037 ; 2,100922037&gt;</t>
  </si>
  <si>
    <t>W</t>
  </si>
  <si>
    <t>r</t>
  </si>
  <si>
    <t>t</t>
  </si>
  <si>
    <t>suma xy</t>
  </si>
  <si>
    <t>h22</t>
  </si>
  <si>
    <t>suma y2</t>
  </si>
  <si>
    <t>HA: beta1 not</t>
  </si>
  <si>
    <t>suma x2</t>
  </si>
  <si>
    <t>H: beta1</t>
  </si>
  <si>
    <t>h11</t>
  </si>
  <si>
    <t>HA: beta0 not</t>
  </si>
  <si>
    <t>H: beta0</t>
  </si>
  <si>
    <t>2)</t>
  </si>
  <si>
    <t>s2</t>
  </si>
  <si>
    <t>S*min</t>
  </si>
  <si>
    <t>b1</t>
  </si>
  <si>
    <t>b2</t>
  </si>
  <si>
    <t>1)</t>
  </si>
  <si>
    <t>det(H)</t>
  </si>
  <si>
    <t>&lt;0;2,100922037&gt;</t>
  </si>
  <si>
    <t>Walfa</t>
  </si>
  <si>
    <t>t 1-alfa/2(20-2)</t>
  </si>
  <si>
    <t>h*</t>
  </si>
  <si>
    <t>individuálne y</t>
  </si>
  <si>
    <t>stredne y</t>
  </si>
  <si>
    <t>Y - Váha [kg]</t>
  </si>
  <si>
    <t>X - Výška [cm]</t>
  </si>
  <si>
    <t>3)</t>
  </si>
  <si>
    <t>zamítá</t>
  </si>
  <si>
    <t>xi</t>
  </si>
  <si>
    <t>yi</t>
  </si>
  <si>
    <t>xi^2</t>
  </si>
  <si>
    <t>yi^2</t>
  </si>
  <si>
    <t>xi*yi</t>
  </si>
  <si>
    <t>suma</t>
  </si>
  <si>
    <t>x průmrěr</t>
  </si>
  <si>
    <t>y průmrěr</t>
  </si>
  <si>
    <r>
      <t xml:space="preserve">H: beta1 sa </t>
    </r>
    <r>
      <rPr>
        <b/>
        <sz val="11"/>
        <color theme="1"/>
        <rFont val="Calibri"/>
        <family val="2"/>
        <charset val="238"/>
        <scheme val="minor"/>
      </rPr>
      <t>nezamítá</t>
    </r>
  </si>
  <si>
    <t>dolní</t>
  </si>
  <si>
    <t>horní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</si>
</sst>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9" formatCode="0.0000000000000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6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i/>
      <sz val="12"/>
      <color theme="1"/>
      <name val="Calibri"/>
      <family val="2"/>
      <scheme val="minor"/>
    </font>
    <font>
      <sz val="11"/>
      <color rgb="FF00000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41">
    <xf numFmtId="0" fontId="0" fillId="0" borderId="0" xfId="0"/>
    <xf numFmtId="164" fontId="0" fillId="0" borderId="0" xfId="0" applyNumberFormat="1"/>
    <xf numFmtId="164" fontId="3" fillId="0" borderId="0" xfId="0" applyNumberFormat="1" applyFont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1" fillId="0" borderId="0" xfId="0" applyNumberFormat="1" applyFont="1"/>
    <xf numFmtId="164" fontId="7" fillId="0" borderId="0" xfId="0" applyNumberFormat="1" applyFont="1" applyAlignment="1">
      <alignment horizontal="center"/>
    </xf>
    <xf numFmtId="164" fontId="5" fillId="0" borderId="5" xfId="1" applyNumberFormat="1" applyFont="1" applyBorder="1" applyAlignment="1">
      <alignment horizontal="center" wrapText="1"/>
    </xf>
    <xf numFmtId="164" fontId="5" fillId="0" borderId="6" xfId="1" applyNumberFormat="1" applyFont="1" applyBorder="1" applyAlignment="1">
      <alignment horizontal="center" wrapText="1"/>
    </xf>
    <xf numFmtId="164" fontId="8" fillId="0" borderId="0" xfId="1" applyNumberFormat="1"/>
    <xf numFmtId="164" fontId="2" fillId="0" borderId="7" xfId="1" applyNumberFormat="1" applyFont="1" applyBorder="1" applyAlignment="1">
      <alignment horizontal="center" vertical="center"/>
    </xf>
    <xf numFmtId="164" fontId="2" fillId="0" borderId="8" xfId="1" applyNumberFormat="1" applyFont="1" applyBorder="1" applyAlignment="1">
      <alignment horizontal="center" vertical="center"/>
    </xf>
    <xf numFmtId="164" fontId="2" fillId="0" borderId="17" xfId="1" applyNumberFormat="1" applyFont="1" applyBorder="1" applyAlignment="1">
      <alignment horizontal="center" vertical="center"/>
    </xf>
    <xf numFmtId="164" fontId="9" fillId="0" borderId="19" xfId="1" applyNumberFormat="1" applyFont="1" applyBorder="1" applyAlignment="1">
      <alignment horizontal="center" vertical="center"/>
    </xf>
    <xf numFmtId="164" fontId="9" fillId="0" borderId="18" xfId="1" applyNumberFormat="1" applyFont="1" applyBorder="1" applyAlignment="1">
      <alignment horizontal="center" vertical="center"/>
    </xf>
    <xf numFmtId="164" fontId="9" fillId="0" borderId="17" xfId="1" applyNumberFormat="1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164" fontId="9" fillId="0" borderId="16" xfId="1" applyNumberFormat="1" applyFont="1" applyBorder="1" applyAlignment="1">
      <alignment horizontal="center" vertical="center"/>
    </xf>
    <xf numFmtId="164" fontId="9" fillId="0" borderId="15" xfId="1" applyNumberFormat="1" applyFont="1" applyBorder="1" applyAlignment="1">
      <alignment horizontal="center" vertical="center"/>
    </xf>
    <xf numFmtId="164" fontId="9" fillId="0" borderId="14" xfId="1" applyNumberFormat="1" applyFont="1" applyBorder="1" applyAlignment="1">
      <alignment horizontal="center" vertical="center"/>
    </xf>
    <xf numFmtId="164" fontId="8" fillId="0" borderId="0" xfId="1" applyNumberFormat="1" applyAlignment="1">
      <alignment horizontal="right"/>
    </xf>
    <xf numFmtId="164" fontId="8" fillId="0" borderId="0" xfId="1" applyNumberFormat="1" applyAlignment="1">
      <alignment horizontal="center"/>
    </xf>
    <xf numFmtId="164" fontId="3" fillId="0" borderId="0" xfId="1" applyNumberFormat="1" applyFont="1" applyAlignment="1">
      <alignment horizontal="center"/>
    </xf>
    <xf numFmtId="164" fontId="3" fillId="0" borderId="13" xfId="1" applyNumberFormat="1" applyFont="1" applyBorder="1" applyAlignment="1">
      <alignment horizontal="center"/>
    </xf>
    <xf numFmtId="164" fontId="8" fillId="0" borderId="12" xfId="1" applyNumberFormat="1" applyBorder="1"/>
    <xf numFmtId="164" fontId="8" fillId="0" borderId="9" xfId="1" applyNumberFormat="1" applyBorder="1"/>
    <xf numFmtId="164" fontId="3" fillId="0" borderId="11" xfId="1" applyNumberFormat="1" applyFont="1" applyBorder="1" applyAlignment="1">
      <alignment horizontal="center"/>
    </xf>
    <xf numFmtId="164" fontId="8" fillId="0" borderId="11" xfId="1" applyNumberFormat="1" applyBorder="1"/>
    <xf numFmtId="164" fontId="10" fillId="0" borderId="0" xfId="1" applyNumberFormat="1" applyFont="1" applyAlignment="1">
      <alignment horizontal="center"/>
    </xf>
    <xf numFmtId="164" fontId="3" fillId="0" borderId="10" xfId="1" applyNumberFormat="1" applyFont="1" applyBorder="1" applyAlignment="1">
      <alignment horizontal="center"/>
    </xf>
    <xf numFmtId="164" fontId="8" fillId="0" borderId="10" xfId="1" applyNumberFormat="1" applyBorder="1"/>
    <xf numFmtId="169" fontId="3" fillId="0" borderId="0" xfId="0" applyNumberFormat="1" applyFont="1" applyAlignment="1">
      <alignment horizontal="center"/>
    </xf>
    <xf numFmtId="164" fontId="11" fillId="0" borderId="0" xfId="1" applyNumberFormat="1" applyFont="1" applyAlignment="1">
      <alignment horizontal="center"/>
    </xf>
    <xf numFmtId="169" fontId="8" fillId="0" borderId="0" xfId="1" applyNumberFormat="1" applyAlignment="1">
      <alignment horizontal="center"/>
    </xf>
    <xf numFmtId="164" fontId="11" fillId="0" borderId="0" xfId="1" applyNumberFormat="1" applyFont="1" applyAlignment="1">
      <alignment horizontal="right"/>
    </xf>
    <xf numFmtId="164" fontId="11" fillId="0" borderId="0" xfId="1" applyNumberFormat="1" applyFont="1"/>
  </cellXfs>
  <cellStyles count="2">
    <cellStyle name="Normal" xfId="0" builtinId="0"/>
    <cellStyle name="Normal 2" xfId="1" xr:uid="{D18F5CFC-6E01-884F-B48F-8007CF199CC3}"/>
  </cellStyles>
  <dxfs count="0"/>
  <tableStyles count="0" defaultTableStyle="TableStyleMedium2" defaultPivotStyle="PivotStyleLight16"/>
  <colors>
    <mruColors>
      <color rgb="FFFF7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-</a:t>
            </a:r>
            <a:r>
              <a:rPr lang="en-US" baseline="0"/>
              <a:t> relativní četnost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'Příklad 1'!$I$6</c:f>
              <c:strCache>
                <c:ptCount val="1"/>
                <c:pt idx="0">
                  <c:v>četnost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'Příklad 1'!$J$7:$J$17</c:f>
              <c:numCache>
                <c:formatCode>0.0000</c:formatCode>
                <c:ptCount val="11"/>
                <c:pt idx="0">
                  <c:v>0.02</c:v>
                </c:pt>
                <c:pt idx="1">
                  <c:v>0</c:v>
                </c:pt>
                <c:pt idx="2">
                  <c:v>0.02</c:v>
                </c:pt>
                <c:pt idx="3">
                  <c:v>0.14000000000000001</c:v>
                </c:pt>
                <c:pt idx="4">
                  <c:v>0.12</c:v>
                </c:pt>
                <c:pt idx="5">
                  <c:v>0.2</c:v>
                </c:pt>
                <c:pt idx="6">
                  <c:v>0.22</c:v>
                </c:pt>
                <c:pt idx="7">
                  <c:v>0.1</c:v>
                </c:pt>
                <c:pt idx="8">
                  <c:v>0.06</c:v>
                </c:pt>
                <c:pt idx="9">
                  <c:v>0.04</c:v>
                </c:pt>
                <c:pt idx="10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8-D946-88DC-A507BDBF4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-27"/>
        <c:axId val="2120801727"/>
        <c:axId val="2120381615"/>
      </c:barChart>
      <c:catAx>
        <c:axId val="21208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81615"/>
        <c:crosses val="autoZero"/>
        <c:auto val="1"/>
        <c:lblAlgn val="ctr"/>
        <c:lblOffset val="100"/>
        <c:noMultiLvlLbl val="0"/>
      </c:catAx>
      <c:valAx>
        <c:axId val="212038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80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 -</a:t>
            </a:r>
            <a:r>
              <a:rPr lang="en-GB" baseline="0"/>
              <a:t> relevantní kumulativní četnost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'Příklad 1'!$K$7:$K$17</c:f>
              <c:numCache>
                <c:formatCode>0.0000</c:formatCode>
                <c:ptCount val="11"/>
                <c:pt idx="0">
                  <c:v>0.02</c:v>
                </c:pt>
                <c:pt idx="1">
                  <c:v>0.02</c:v>
                </c:pt>
                <c:pt idx="2">
                  <c:v>0.04</c:v>
                </c:pt>
                <c:pt idx="3">
                  <c:v>0.18</c:v>
                </c:pt>
                <c:pt idx="4">
                  <c:v>0.3</c:v>
                </c:pt>
                <c:pt idx="5">
                  <c:v>0.5</c:v>
                </c:pt>
                <c:pt idx="6">
                  <c:v>0.72</c:v>
                </c:pt>
                <c:pt idx="7">
                  <c:v>0.82</c:v>
                </c:pt>
                <c:pt idx="8">
                  <c:v>0.88</c:v>
                </c:pt>
                <c:pt idx="9">
                  <c:v>0.92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8-8746-9B8F-436811EB5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-27"/>
        <c:axId val="2121822079"/>
        <c:axId val="2097603039"/>
      </c:barChart>
      <c:catAx>
        <c:axId val="2121822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603039"/>
        <c:crosses val="autoZero"/>
        <c:auto val="1"/>
        <c:lblAlgn val="ctr"/>
        <c:lblOffset val="100"/>
        <c:noMultiLvlLbl val="0"/>
      </c:catAx>
      <c:valAx>
        <c:axId val="20976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2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 - četnost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'Příklad 1'!$I$41</c:f>
              <c:strCache>
                <c:ptCount val="1"/>
                <c:pt idx="0">
                  <c:v>četnost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'Příklad 1'!$G$42:$G$47</c:f>
              <c:numCache>
                <c:formatCode>0.0000</c:formatCode>
                <c:ptCount val="6"/>
                <c:pt idx="0">
                  <c:v>-500.14045454545453</c:v>
                </c:pt>
                <c:pt idx="1">
                  <c:v>-3.1363636363636233E-2</c:v>
                </c:pt>
                <c:pt idx="2">
                  <c:v>0.46772727272727288</c:v>
                </c:pt>
                <c:pt idx="3">
                  <c:v>0.96681818181818202</c:v>
                </c:pt>
                <c:pt idx="4">
                  <c:v>1.4659090909090911</c:v>
                </c:pt>
                <c:pt idx="5">
                  <c:v>500.85772727272729</c:v>
                </c:pt>
              </c:numCache>
            </c:numRef>
          </c:cat>
          <c:val>
            <c:numRef>
              <c:f>'Příklad 1'!$I$42:$I$47</c:f>
              <c:numCache>
                <c:formatCode>0.0000</c:formatCode>
                <c:ptCount val="6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11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B-B549-BCBD-A389CD726C92}"/>
            </c:ext>
          </c:extLst>
        </c:ser>
        <c:ser>
          <c:idx val="1"/>
          <c:order val="1"/>
          <c:tx>
            <c:strRef>
              <c:f>'Příklad 1'!$J$41</c:f>
              <c:strCache>
                <c:ptCount val="1"/>
                <c:pt idx="0">
                  <c:v>teoretická četnost</c:v>
                </c:pt>
              </c:strCache>
            </c:strRef>
          </c:tx>
          <c:spPr>
            <a:solidFill>
              <a:srgbClr val="FF7C6D"/>
            </a:solidFill>
            <a:ln>
              <a:noFill/>
            </a:ln>
            <a:effectLst/>
          </c:spPr>
          <c:invertIfNegative val="0"/>
          <c:cat>
            <c:numRef>
              <c:f>'Příklad 1'!$G$42:$G$47</c:f>
              <c:numCache>
                <c:formatCode>0.0000</c:formatCode>
                <c:ptCount val="6"/>
                <c:pt idx="0">
                  <c:v>-500.14045454545453</c:v>
                </c:pt>
                <c:pt idx="1">
                  <c:v>-3.1363636363636233E-2</c:v>
                </c:pt>
                <c:pt idx="2">
                  <c:v>0.46772727272727288</c:v>
                </c:pt>
                <c:pt idx="3">
                  <c:v>0.96681818181818202</c:v>
                </c:pt>
                <c:pt idx="4">
                  <c:v>1.4659090909090911</c:v>
                </c:pt>
                <c:pt idx="5">
                  <c:v>500.85772727272729</c:v>
                </c:pt>
              </c:numCache>
            </c:numRef>
          </c:cat>
          <c:val>
            <c:numRef>
              <c:f>'Příklad 1'!$J$42:$J$47</c:f>
              <c:numCache>
                <c:formatCode>0.0000</c:formatCode>
                <c:ptCount val="6"/>
                <c:pt idx="0">
                  <c:v>8.9207868386954203</c:v>
                </c:pt>
                <c:pt idx="1">
                  <c:v>6.9910282943689017</c:v>
                </c:pt>
                <c:pt idx="2">
                  <c:v>8.6124244785569939</c:v>
                </c:pt>
                <c:pt idx="3">
                  <c:v>8.7035623701424232</c:v>
                </c:pt>
                <c:pt idx="4">
                  <c:v>7.2153304718395148</c:v>
                </c:pt>
                <c:pt idx="5">
                  <c:v>9.556867546396747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B-B549-BCBD-A389CD726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14"/>
        <c:axId val="2063641599"/>
        <c:axId val="2139749007"/>
      </c:barChart>
      <c:catAx>
        <c:axId val="2063641599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49007"/>
        <c:crosses val="autoZero"/>
        <c:auto val="1"/>
        <c:lblAlgn val="ctr"/>
        <c:lblOffset val="100"/>
        <c:noMultiLvlLbl val="0"/>
      </c:catAx>
      <c:valAx>
        <c:axId val="21397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64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Regresní</a:t>
            </a:r>
            <a:r>
              <a:rPr lang="en-GB" baseline="0"/>
              <a:t> přímka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Výška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'Príklad 2'!$G$4:$G$23</c:f>
              <c:numCache>
                <c:formatCode>0.0000</c:formatCode>
                <c:ptCount val="20"/>
                <c:pt idx="0">
                  <c:v>150</c:v>
                </c:pt>
                <c:pt idx="1">
                  <c:v>177</c:v>
                </c:pt>
                <c:pt idx="2">
                  <c:v>154</c:v>
                </c:pt>
                <c:pt idx="3">
                  <c:v>152</c:v>
                </c:pt>
                <c:pt idx="4">
                  <c:v>169</c:v>
                </c:pt>
                <c:pt idx="5">
                  <c:v>200</c:v>
                </c:pt>
                <c:pt idx="6">
                  <c:v>196</c:v>
                </c:pt>
                <c:pt idx="7">
                  <c:v>181</c:v>
                </c:pt>
                <c:pt idx="8">
                  <c:v>152</c:v>
                </c:pt>
                <c:pt idx="9">
                  <c:v>172</c:v>
                </c:pt>
                <c:pt idx="10">
                  <c:v>152</c:v>
                </c:pt>
                <c:pt idx="11">
                  <c:v>150</c:v>
                </c:pt>
                <c:pt idx="12">
                  <c:v>178</c:v>
                </c:pt>
                <c:pt idx="13">
                  <c:v>154</c:v>
                </c:pt>
                <c:pt idx="14">
                  <c:v>190</c:v>
                </c:pt>
                <c:pt idx="15">
                  <c:v>195</c:v>
                </c:pt>
                <c:pt idx="16">
                  <c:v>182</c:v>
                </c:pt>
                <c:pt idx="17">
                  <c:v>184</c:v>
                </c:pt>
                <c:pt idx="18">
                  <c:v>156</c:v>
                </c:pt>
                <c:pt idx="19">
                  <c:v>154</c:v>
                </c:pt>
              </c:numCache>
            </c:numRef>
          </c:xVal>
          <c:yVal>
            <c:numRef>
              <c:f>'Príklad 2'!$H$4:$H$23</c:f>
              <c:numCache>
                <c:formatCode>0.0000</c:formatCode>
                <c:ptCount val="20"/>
                <c:pt idx="0">
                  <c:v>49.102002736813347</c:v>
                </c:pt>
                <c:pt idx="1">
                  <c:v>76.339091472360252</c:v>
                </c:pt>
                <c:pt idx="2">
                  <c:v>53.137126993931389</c:v>
                </c:pt>
                <c:pt idx="3">
                  <c:v>51.119564865372354</c:v>
                </c:pt>
                <c:pt idx="4">
                  <c:v>68.268842958124139</c:v>
                </c:pt>
                <c:pt idx="5">
                  <c:v>99.541055950789143</c:v>
                </c:pt>
                <c:pt idx="6">
                  <c:v>95.505931693671073</c:v>
                </c:pt>
                <c:pt idx="7">
                  <c:v>80.374215729478323</c:v>
                </c:pt>
                <c:pt idx="8">
                  <c:v>51.119564865372354</c:v>
                </c:pt>
                <c:pt idx="9">
                  <c:v>71.295186150962678</c:v>
                </c:pt>
                <c:pt idx="10">
                  <c:v>51.119564865372354</c:v>
                </c:pt>
                <c:pt idx="11">
                  <c:v>49.102002736813347</c:v>
                </c:pt>
                <c:pt idx="12">
                  <c:v>77.347872536639784</c:v>
                </c:pt>
                <c:pt idx="13">
                  <c:v>53.137126993931389</c:v>
                </c:pt>
                <c:pt idx="14">
                  <c:v>89.453245307993967</c:v>
                </c:pt>
                <c:pt idx="15">
                  <c:v>94.497150629391541</c:v>
                </c:pt>
                <c:pt idx="16">
                  <c:v>81.382996793757854</c:v>
                </c:pt>
                <c:pt idx="17">
                  <c:v>83.400558922316861</c:v>
                </c:pt>
                <c:pt idx="18">
                  <c:v>55.154689122490424</c:v>
                </c:pt>
                <c:pt idx="19">
                  <c:v>53.137126993931389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1-F249-B5C4-FF78518CB28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7C6D"/>
              </a:solidFill>
              <a:ln w="15875">
                <a:noFill/>
              </a:ln>
              <a:effectLst/>
            </c:spPr>
          </c:marker>
          <c:xVal>
            <c:numRef>
              <c:f>'Príklad 2'!$A$4:$A$23</c:f>
              <c:numCache>
                <c:formatCode>0.0000</c:formatCode>
                <c:ptCount val="20"/>
                <c:pt idx="0">
                  <c:v>150</c:v>
                </c:pt>
                <c:pt idx="1">
                  <c:v>177</c:v>
                </c:pt>
                <c:pt idx="2">
                  <c:v>154</c:v>
                </c:pt>
                <c:pt idx="3">
                  <c:v>152</c:v>
                </c:pt>
                <c:pt idx="4">
                  <c:v>169</c:v>
                </c:pt>
                <c:pt idx="5">
                  <c:v>200</c:v>
                </c:pt>
                <c:pt idx="6">
                  <c:v>196</c:v>
                </c:pt>
                <c:pt idx="7">
                  <c:v>181</c:v>
                </c:pt>
                <c:pt idx="8">
                  <c:v>152</c:v>
                </c:pt>
                <c:pt idx="9">
                  <c:v>172</c:v>
                </c:pt>
                <c:pt idx="10">
                  <c:v>152</c:v>
                </c:pt>
                <c:pt idx="11">
                  <c:v>150</c:v>
                </c:pt>
                <c:pt idx="12">
                  <c:v>178</c:v>
                </c:pt>
                <c:pt idx="13">
                  <c:v>154</c:v>
                </c:pt>
                <c:pt idx="14">
                  <c:v>190</c:v>
                </c:pt>
                <c:pt idx="15">
                  <c:v>195</c:v>
                </c:pt>
                <c:pt idx="16">
                  <c:v>182</c:v>
                </c:pt>
                <c:pt idx="17">
                  <c:v>184</c:v>
                </c:pt>
                <c:pt idx="18">
                  <c:v>156</c:v>
                </c:pt>
                <c:pt idx="19">
                  <c:v>154</c:v>
                </c:pt>
              </c:numCache>
            </c:numRef>
          </c:xVal>
          <c:yVal>
            <c:numRef>
              <c:f>'Príklad 2'!$B$4:$B$23</c:f>
              <c:numCache>
                <c:formatCode>0.0000000000000</c:formatCode>
                <c:ptCount val="20"/>
                <c:pt idx="0">
                  <c:v>50.439765218123881</c:v>
                </c:pt>
                <c:pt idx="1">
                  <c:v>73.187912440909315</c:v>
                </c:pt>
                <c:pt idx="2">
                  <c:v>53.223118804124248</c:v>
                </c:pt>
                <c:pt idx="3">
                  <c:v>43.763103903511222</c:v>
                </c:pt>
                <c:pt idx="4">
                  <c:v>68.508636005000128</c:v>
                </c:pt>
                <c:pt idx="5">
                  <c:v>94.464449979056482</c:v>
                </c:pt>
                <c:pt idx="6">
                  <c:v>99.424545369522093</c:v>
                </c:pt>
                <c:pt idx="7">
                  <c:v>73.703292268249257</c:v>
                </c:pt>
                <c:pt idx="8">
                  <c:v>49.888221905129662</c:v>
                </c:pt>
                <c:pt idx="9">
                  <c:v>73.995890168108957</c:v>
                </c:pt>
                <c:pt idx="10">
                  <c:v>58.037306645999138</c:v>
                </c:pt>
                <c:pt idx="11">
                  <c:v>46.007799123494053</c:v>
                </c:pt>
                <c:pt idx="12">
                  <c:v>77.631893722862657</c:v>
                </c:pt>
                <c:pt idx="13">
                  <c:v>57.209055967964801</c:v>
                </c:pt>
                <c:pt idx="14">
                  <c:v>90.179853518718915</c:v>
                </c:pt>
                <c:pt idx="15">
                  <c:v>98.141602375765785</c:v>
                </c:pt>
                <c:pt idx="16">
                  <c:v>79.708734856183924</c:v>
                </c:pt>
                <c:pt idx="17">
                  <c:v>88.405863665316872</c:v>
                </c:pt>
                <c:pt idx="18">
                  <c:v>41.795669608995773</c:v>
                </c:pt>
                <c:pt idx="19">
                  <c:v>65.818202772477463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F1-F249-B5C4-FF78518CB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23192"/>
        <c:axId val="471424504"/>
      </c:scatterChart>
      <c:valAx>
        <c:axId val="471423192"/>
        <c:scaling>
          <c:orientation val="minMax"/>
          <c:max val="210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Výška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24504"/>
        <c:crosses val="autoZero"/>
        <c:crossBetween val="midCat"/>
      </c:valAx>
      <c:valAx>
        <c:axId val="47142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Váha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2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Pás spolehlivosti pro střední hodnotu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'Príklad 2'!$G$4:$G$23</c:f>
              <c:numCache>
                <c:formatCode>0.0000</c:formatCode>
                <c:ptCount val="20"/>
                <c:pt idx="0">
                  <c:v>150</c:v>
                </c:pt>
                <c:pt idx="1">
                  <c:v>177</c:v>
                </c:pt>
                <c:pt idx="2">
                  <c:v>154</c:v>
                </c:pt>
                <c:pt idx="3">
                  <c:v>152</c:v>
                </c:pt>
                <c:pt idx="4">
                  <c:v>169</c:v>
                </c:pt>
                <c:pt idx="5">
                  <c:v>200</c:v>
                </c:pt>
                <c:pt idx="6">
                  <c:v>196</c:v>
                </c:pt>
                <c:pt idx="7">
                  <c:v>181</c:v>
                </c:pt>
                <c:pt idx="8">
                  <c:v>152</c:v>
                </c:pt>
                <c:pt idx="9">
                  <c:v>172</c:v>
                </c:pt>
                <c:pt idx="10">
                  <c:v>152</c:v>
                </c:pt>
                <c:pt idx="11">
                  <c:v>150</c:v>
                </c:pt>
                <c:pt idx="12">
                  <c:v>178</c:v>
                </c:pt>
                <c:pt idx="13">
                  <c:v>154</c:v>
                </c:pt>
                <c:pt idx="14">
                  <c:v>190</c:v>
                </c:pt>
                <c:pt idx="15">
                  <c:v>195</c:v>
                </c:pt>
                <c:pt idx="16">
                  <c:v>182</c:v>
                </c:pt>
                <c:pt idx="17">
                  <c:v>184</c:v>
                </c:pt>
                <c:pt idx="18">
                  <c:v>156</c:v>
                </c:pt>
                <c:pt idx="19">
                  <c:v>154</c:v>
                </c:pt>
              </c:numCache>
            </c:numRef>
          </c:xVal>
          <c:yVal>
            <c:numRef>
              <c:f>'Príklad 2'!$H$4:$H$23</c:f>
              <c:numCache>
                <c:formatCode>0.0000</c:formatCode>
                <c:ptCount val="20"/>
                <c:pt idx="0">
                  <c:v>49.102002736813347</c:v>
                </c:pt>
                <c:pt idx="1">
                  <c:v>76.339091472360252</c:v>
                </c:pt>
                <c:pt idx="2">
                  <c:v>53.137126993931389</c:v>
                </c:pt>
                <c:pt idx="3">
                  <c:v>51.119564865372354</c:v>
                </c:pt>
                <c:pt idx="4">
                  <c:v>68.268842958124139</c:v>
                </c:pt>
                <c:pt idx="5">
                  <c:v>99.541055950789143</c:v>
                </c:pt>
                <c:pt idx="6">
                  <c:v>95.505931693671073</c:v>
                </c:pt>
                <c:pt idx="7">
                  <c:v>80.374215729478323</c:v>
                </c:pt>
                <c:pt idx="8">
                  <c:v>51.119564865372354</c:v>
                </c:pt>
                <c:pt idx="9">
                  <c:v>71.295186150962678</c:v>
                </c:pt>
                <c:pt idx="10">
                  <c:v>51.119564865372354</c:v>
                </c:pt>
                <c:pt idx="11">
                  <c:v>49.102002736813347</c:v>
                </c:pt>
                <c:pt idx="12">
                  <c:v>77.347872536639784</c:v>
                </c:pt>
                <c:pt idx="13">
                  <c:v>53.137126993931389</c:v>
                </c:pt>
                <c:pt idx="14">
                  <c:v>89.453245307993967</c:v>
                </c:pt>
                <c:pt idx="15">
                  <c:v>94.497150629391541</c:v>
                </c:pt>
                <c:pt idx="16">
                  <c:v>81.382996793757854</c:v>
                </c:pt>
                <c:pt idx="17">
                  <c:v>83.400558922316861</c:v>
                </c:pt>
                <c:pt idx="18">
                  <c:v>55.154689122490424</c:v>
                </c:pt>
                <c:pt idx="19">
                  <c:v>53.137126993931389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62-D241-8E52-C6001817086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'Príklad 2'!$G$4:$G$23</c:f>
              <c:numCache>
                <c:formatCode>0.0000</c:formatCode>
                <c:ptCount val="20"/>
                <c:pt idx="0">
                  <c:v>150</c:v>
                </c:pt>
                <c:pt idx="1">
                  <c:v>177</c:v>
                </c:pt>
                <c:pt idx="2">
                  <c:v>154</c:v>
                </c:pt>
                <c:pt idx="3">
                  <c:v>152</c:v>
                </c:pt>
                <c:pt idx="4">
                  <c:v>169</c:v>
                </c:pt>
                <c:pt idx="5">
                  <c:v>200</c:v>
                </c:pt>
                <c:pt idx="6">
                  <c:v>196</c:v>
                </c:pt>
                <c:pt idx="7">
                  <c:v>181</c:v>
                </c:pt>
                <c:pt idx="8">
                  <c:v>152</c:v>
                </c:pt>
                <c:pt idx="9">
                  <c:v>172</c:v>
                </c:pt>
                <c:pt idx="10">
                  <c:v>152</c:v>
                </c:pt>
                <c:pt idx="11">
                  <c:v>150</c:v>
                </c:pt>
                <c:pt idx="12">
                  <c:v>178</c:v>
                </c:pt>
                <c:pt idx="13">
                  <c:v>154</c:v>
                </c:pt>
                <c:pt idx="14">
                  <c:v>190</c:v>
                </c:pt>
                <c:pt idx="15">
                  <c:v>195</c:v>
                </c:pt>
                <c:pt idx="16">
                  <c:v>182</c:v>
                </c:pt>
                <c:pt idx="17">
                  <c:v>184</c:v>
                </c:pt>
                <c:pt idx="18">
                  <c:v>156</c:v>
                </c:pt>
                <c:pt idx="19">
                  <c:v>154</c:v>
                </c:pt>
              </c:numCache>
            </c:numRef>
          </c:xVal>
          <c:yVal>
            <c:numRef>
              <c:f>'Príklad 2'!$I$4:$I$23</c:f>
              <c:numCache>
                <c:formatCode>0.0000</c:formatCode>
                <c:ptCount val="20"/>
                <c:pt idx="0">
                  <c:v>44.901265229211752</c:v>
                </c:pt>
                <c:pt idx="1">
                  <c:v>73.367433668989747</c:v>
                </c:pt>
                <c:pt idx="2">
                  <c:v>49.396338382306183</c:v>
                </c:pt>
                <c:pt idx="3">
                  <c:v>47.154994661299938</c:v>
                </c:pt>
                <c:pt idx="4">
                  <c:v>65.518284756408605</c:v>
                </c:pt>
                <c:pt idx="5">
                  <c:v>94.004351193589258</c:v>
                </c:pt>
                <c:pt idx="6">
                  <c:v>90.513840071535796</c:v>
                </c:pt>
                <c:pt idx="7">
                  <c:v>77.105009805775197</c:v>
                </c:pt>
                <c:pt idx="8">
                  <c:v>47.154994661299938</c:v>
                </c:pt>
                <c:pt idx="9">
                  <c:v>68.527985764580478</c:v>
                </c:pt>
                <c:pt idx="10">
                  <c:v>47.154994661299938</c:v>
                </c:pt>
                <c:pt idx="11">
                  <c:v>44.901265229211752</c:v>
                </c:pt>
                <c:pt idx="12">
                  <c:v>74.311679780296856</c:v>
                </c:pt>
                <c:pt idx="13">
                  <c:v>49.396338382306183</c:v>
                </c:pt>
                <c:pt idx="14">
                  <c:v>85.228288876695657</c:v>
                </c:pt>
                <c:pt idx="15">
                  <c:v>89.637625257838749</c:v>
                </c:pt>
                <c:pt idx="16">
                  <c:v>78.024502344825407</c:v>
                </c:pt>
                <c:pt idx="17">
                  <c:v>79.848645905880844</c:v>
                </c:pt>
                <c:pt idx="18">
                  <c:v>51.622941225300004</c:v>
                </c:pt>
                <c:pt idx="19">
                  <c:v>49.396338382306183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62-D241-8E52-C6001817086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'Príklad 2'!$G$4:$G$23</c:f>
              <c:numCache>
                <c:formatCode>0.0000</c:formatCode>
                <c:ptCount val="20"/>
                <c:pt idx="0">
                  <c:v>150</c:v>
                </c:pt>
                <c:pt idx="1">
                  <c:v>177</c:v>
                </c:pt>
                <c:pt idx="2">
                  <c:v>154</c:v>
                </c:pt>
                <c:pt idx="3">
                  <c:v>152</c:v>
                </c:pt>
                <c:pt idx="4">
                  <c:v>169</c:v>
                </c:pt>
                <c:pt idx="5">
                  <c:v>200</c:v>
                </c:pt>
                <c:pt idx="6">
                  <c:v>196</c:v>
                </c:pt>
                <c:pt idx="7">
                  <c:v>181</c:v>
                </c:pt>
                <c:pt idx="8">
                  <c:v>152</c:v>
                </c:pt>
                <c:pt idx="9">
                  <c:v>172</c:v>
                </c:pt>
                <c:pt idx="10">
                  <c:v>152</c:v>
                </c:pt>
                <c:pt idx="11">
                  <c:v>150</c:v>
                </c:pt>
                <c:pt idx="12">
                  <c:v>178</c:v>
                </c:pt>
                <c:pt idx="13">
                  <c:v>154</c:v>
                </c:pt>
                <c:pt idx="14">
                  <c:v>190</c:v>
                </c:pt>
                <c:pt idx="15">
                  <c:v>195</c:v>
                </c:pt>
                <c:pt idx="16">
                  <c:v>182</c:v>
                </c:pt>
                <c:pt idx="17">
                  <c:v>184</c:v>
                </c:pt>
                <c:pt idx="18">
                  <c:v>156</c:v>
                </c:pt>
                <c:pt idx="19">
                  <c:v>154</c:v>
                </c:pt>
              </c:numCache>
            </c:numRef>
          </c:xVal>
          <c:yVal>
            <c:numRef>
              <c:f>'Príklad 2'!$J$4:$J$23</c:f>
              <c:numCache>
                <c:formatCode>0.0000</c:formatCode>
                <c:ptCount val="20"/>
                <c:pt idx="0">
                  <c:v>53.302740244414942</c:v>
                </c:pt>
                <c:pt idx="1">
                  <c:v>79.310749275730757</c:v>
                </c:pt>
                <c:pt idx="2">
                  <c:v>56.877915605556595</c:v>
                </c:pt>
                <c:pt idx="3">
                  <c:v>55.08413506944477</c:v>
                </c:pt>
                <c:pt idx="4">
                  <c:v>71.019401159839674</c:v>
                </c:pt>
                <c:pt idx="5">
                  <c:v>105.07776070798903</c:v>
                </c:pt>
                <c:pt idx="6">
                  <c:v>100.49802331580635</c:v>
                </c:pt>
                <c:pt idx="7">
                  <c:v>83.643421653181449</c:v>
                </c:pt>
                <c:pt idx="8">
                  <c:v>55.08413506944477</c:v>
                </c:pt>
                <c:pt idx="9">
                  <c:v>74.062386537344878</c:v>
                </c:pt>
                <c:pt idx="10">
                  <c:v>55.08413506944477</c:v>
                </c:pt>
                <c:pt idx="11">
                  <c:v>53.302740244414942</c:v>
                </c:pt>
                <c:pt idx="12">
                  <c:v>80.384065292982712</c:v>
                </c:pt>
                <c:pt idx="13">
                  <c:v>56.877915605556595</c:v>
                </c:pt>
                <c:pt idx="14">
                  <c:v>93.678201739292277</c:v>
                </c:pt>
                <c:pt idx="15">
                  <c:v>99.356676000944333</c:v>
                </c:pt>
                <c:pt idx="16">
                  <c:v>84.741491242690302</c:v>
                </c:pt>
                <c:pt idx="17">
                  <c:v>86.952471938752879</c:v>
                </c:pt>
                <c:pt idx="18">
                  <c:v>58.686437019680845</c:v>
                </c:pt>
                <c:pt idx="19">
                  <c:v>56.877915605556595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62-D241-8E52-C60018170865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'Príklad 2'!$A$4:$A$23</c:f>
              <c:numCache>
                <c:formatCode>0.0000</c:formatCode>
                <c:ptCount val="20"/>
                <c:pt idx="0">
                  <c:v>150</c:v>
                </c:pt>
                <c:pt idx="1">
                  <c:v>177</c:v>
                </c:pt>
                <c:pt idx="2">
                  <c:v>154</c:v>
                </c:pt>
                <c:pt idx="3">
                  <c:v>152</c:v>
                </c:pt>
                <c:pt idx="4">
                  <c:v>169</c:v>
                </c:pt>
                <c:pt idx="5">
                  <c:v>200</c:v>
                </c:pt>
                <c:pt idx="6">
                  <c:v>196</c:v>
                </c:pt>
                <c:pt idx="7">
                  <c:v>181</c:v>
                </c:pt>
                <c:pt idx="8">
                  <c:v>152</c:v>
                </c:pt>
                <c:pt idx="9">
                  <c:v>172</c:v>
                </c:pt>
                <c:pt idx="10">
                  <c:v>152</c:v>
                </c:pt>
                <c:pt idx="11">
                  <c:v>150</c:v>
                </c:pt>
                <c:pt idx="12">
                  <c:v>178</c:v>
                </c:pt>
                <c:pt idx="13">
                  <c:v>154</c:v>
                </c:pt>
                <c:pt idx="14">
                  <c:v>190</c:v>
                </c:pt>
                <c:pt idx="15">
                  <c:v>195</c:v>
                </c:pt>
                <c:pt idx="16">
                  <c:v>182</c:v>
                </c:pt>
                <c:pt idx="17">
                  <c:v>184</c:v>
                </c:pt>
                <c:pt idx="18">
                  <c:v>156</c:v>
                </c:pt>
                <c:pt idx="19">
                  <c:v>154</c:v>
                </c:pt>
              </c:numCache>
            </c:numRef>
          </c:xVal>
          <c:yVal>
            <c:numRef>
              <c:f>'Príklad 2'!$B$4:$B$23</c:f>
              <c:numCache>
                <c:formatCode>0.0000000000000</c:formatCode>
                <c:ptCount val="20"/>
                <c:pt idx="0">
                  <c:v>50.439765218123881</c:v>
                </c:pt>
                <c:pt idx="1">
                  <c:v>73.187912440909315</c:v>
                </c:pt>
                <c:pt idx="2">
                  <c:v>53.223118804124248</c:v>
                </c:pt>
                <c:pt idx="3">
                  <c:v>43.763103903511222</c:v>
                </c:pt>
                <c:pt idx="4">
                  <c:v>68.508636005000128</c:v>
                </c:pt>
                <c:pt idx="5">
                  <c:v>94.464449979056482</c:v>
                </c:pt>
                <c:pt idx="6">
                  <c:v>99.424545369522093</c:v>
                </c:pt>
                <c:pt idx="7">
                  <c:v>73.703292268249257</c:v>
                </c:pt>
                <c:pt idx="8">
                  <c:v>49.888221905129662</c:v>
                </c:pt>
                <c:pt idx="9">
                  <c:v>73.995890168108957</c:v>
                </c:pt>
                <c:pt idx="10">
                  <c:v>58.037306645999138</c:v>
                </c:pt>
                <c:pt idx="11">
                  <c:v>46.007799123494053</c:v>
                </c:pt>
                <c:pt idx="12">
                  <c:v>77.631893722862657</c:v>
                </c:pt>
                <c:pt idx="13">
                  <c:v>57.209055967964801</c:v>
                </c:pt>
                <c:pt idx="14">
                  <c:v>90.179853518718915</c:v>
                </c:pt>
                <c:pt idx="15">
                  <c:v>98.141602375765785</c:v>
                </c:pt>
                <c:pt idx="16">
                  <c:v>79.708734856183924</c:v>
                </c:pt>
                <c:pt idx="17">
                  <c:v>88.405863665316872</c:v>
                </c:pt>
                <c:pt idx="18">
                  <c:v>41.795669608995773</c:v>
                </c:pt>
                <c:pt idx="19">
                  <c:v>65.818202772477463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62-D241-8E52-C60018170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18416"/>
        <c:axId val="661919072"/>
      </c:scatterChart>
      <c:valAx>
        <c:axId val="661918416"/>
        <c:scaling>
          <c:orientation val="minMax"/>
          <c:max val="210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Výška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19072"/>
        <c:crosses val="autoZero"/>
        <c:crossBetween val="midCat"/>
      </c:valAx>
      <c:valAx>
        <c:axId val="6619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Váha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1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Pás spolehlivosti pro individuální hodnotu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'Príklad 2'!$G$4:$G$23</c:f>
              <c:numCache>
                <c:formatCode>0.0000</c:formatCode>
                <c:ptCount val="20"/>
                <c:pt idx="0">
                  <c:v>150</c:v>
                </c:pt>
                <c:pt idx="1">
                  <c:v>177</c:v>
                </c:pt>
                <c:pt idx="2">
                  <c:v>154</c:v>
                </c:pt>
                <c:pt idx="3">
                  <c:v>152</c:v>
                </c:pt>
                <c:pt idx="4">
                  <c:v>169</c:v>
                </c:pt>
                <c:pt idx="5">
                  <c:v>200</c:v>
                </c:pt>
                <c:pt idx="6">
                  <c:v>196</c:v>
                </c:pt>
                <c:pt idx="7">
                  <c:v>181</c:v>
                </c:pt>
                <c:pt idx="8">
                  <c:v>152</c:v>
                </c:pt>
                <c:pt idx="9">
                  <c:v>172</c:v>
                </c:pt>
                <c:pt idx="10">
                  <c:v>152</c:v>
                </c:pt>
                <c:pt idx="11">
                  <c:v>150</c:v>
                </c:pt>
                <c:pt idx="12">
                  <c:v>178</c:v>
                </c:pt>
                <c:pt idx="13">
                  <c:v>154</c:v>
                </c:pt>
                <c:pt idx="14">
                  <c:v>190</c:v>
                </c:pt>
                <c:pt idx="15">
                  <c:v>195</c:v>
                </c:pt>
                <c:pt idx="16">
                  <c:v>182</c:v>
                </c:pt>
                <c:pt idx="17">
                  <c:v>184</c:v>
                </c:pt>
                <c:pt idx="18">
                  <c:v>156</c:v>
                </c:pt>
                <c:pt idx="19">
                  <c:v>154</c:v>
                </c:pt>
              </c:numCache>
            </c:numRef>
          </c:xVal>
          <c:yVal>
            <c:numRef>
              <c:f>'Príklad 2'!$H$4:$H$23</c:f>
              <c:numCache>
                <c:formatCode>0.0000</c:formatCode>
                <c:ptCount val="20"/>
                <c:pt idx="0">
                  <c:v>49.102002736813347</c:v>
                </c:pt>
                <c:pt idx="1">
                  <c:v>76.339091472360252</c:v>
                </c:pt>
                <c:pt idx="2">
                  <c:v>53.137126993931389</c:v>
                </c:pt>
                <c:pt idx="3">
                  <c:v>51.119564865372354</c:v>
                </c:pt>
                <c:pt idx="4">
                  <c:v>68.268842958124139</c:v>
                </c:pt>
                <c:pt idx="5">
                  <c:v>99.541055950789143</c:v>
                </c:pt>
                <c:pt idx="6">
                  <c:v>95.505931693671073</c:v>
                </c:pt>
                <c:pt idx="7">
                  <c:v>80.374215729478323</c:v>
                </c:pt>
                <c:pt idx="8">
                  <c:v>51.119564865372354</c:v>
                </c:pt>
                <c:pt idx="9">
                  <c:v>71.295186150962678</c:v>
                </c:pt>
                <c:pt idx="10">
                  <c:v>51.119564865372354</c:v>
                </c:pt>
                <c:pt idx="11">
                  <c:v>49.102002736813347</c:v>
                </c:pt>
                <c:pt idx="12">
                  <c:v>77.347872536639784</c:v>
                </c:pt>
                <c:pt idx="13">
                  <c:v>53.137126993931389</c:v>
                </c:pt>
                <c:pt idx="14">
                  <c:v>89.453245307993967</c:v>
                </c:pt>
                <c:pt idx="15">
                  <c:v>94.497150629391541</c:v>
                </c:pt>
                <c:pt idx="16">
                  <c:v>81.382996793757854</c:v>
                </c:pt>
                <c:pt idx="17">
                  <c:v>83.400558922316861</c:v>
                </c:pt>
                <c:pt idx="18">
                  <c:v>55.154689122490424</c:v>
                </c:pt>
                <c:pt idx="19">
                  <c:v>53.137126993931389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37-1B4B-8CFD-7213134DDAD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'Príklad 2'!$G$4:$G$23</c:f>
              <c:numCache>
                <c:formatCode>0.0000</c:formatCode>
                <c:ptCount val="20"/>
                <c:pt idx="0">
                  <c:v>150</c:v>
                </c:pt>
                <c:pt idx="1">
                  <c:v>177</c:v>
                </c:pt>
                <c:pt idx="2">
                  <c:v>154</c:v>
                </c:pt>
                <c:pt idx="3">
                  <c:v>152</c:v>
                </c:pt>
                <c:pt idx="4">
                  <c:v>169</c:v>
                </c:pt>
                <c:pt idx="5">
                  <c:v>200</c:v>
                </c:pt>
                <c:pt idx="6">
                  <c:v>196</c:v>
                </c:pt>
                <c:pt idx="7">
                  <c:v>181</c:v>
                </c:pt>
                <c:pt idx="8">
                  <c:v>152</c:v>
                </c:pt>
                <c:pt idx="9">
                  <c:v>172</c:v>
                </c:pt>
                <c:pt idx="10">
                  <c:v>152</c:v>
                </c:pt>
                <c:pt idx="11">
                  <c:v>150</c:v>
                </c:pt>
                <c:pt idx="12">
                  <c:v>178</c:v>
                </c:pt>
                <c:pt idx="13">
                  <c:v>154</c:v>
                </c:pt>
                <c:pt idx="14">
                  <c:v>190</c:v>
                </c:pt>
                <c:pt idx="15">
                  <c:v>195</c:v>
                </c:pt>
                <c:pt idx="16">
                  <c:v>182</c:v>
                </c:pt>
                <c:pt idx="17">
                  <c:v>184</c:v>
                </c:pt>
                <c:pt idx="18">
                  <c:v>156</c:v>
                </c:pt>
                <c:pt idx="19">
                  <c:v>154</c:v>
                </c:pt>
              </c:numCache>
            </c:numRef>
          </c:xVal>
          <c:yVal>
            <c:numRef>
              <c:f>'Príklad 2'!$K$4:$K$23</c:f>
              <c:numCache>
                <c:formatCode>0.0000</c:formatCode>
                <c:ptCount val="20"/>
                <c:pt idx="0">
                  <c:v>36.119538409109531</c:v>
                </c:pt>
                <c:pt idx="1">
                  <c:v>63.700700177869322</c:v>
                </c:pt>
                <c:pt idx="2">
                  <c:v>40.296111307888637</c:v>
                </c:pt>
                <c:pt idx="3">
                  <c:v>38.211582787783698</c:v>
                </c:pt>
                <c:pt idx="4">
                  <c:v>55.680604207871745</c:v>
                </c:pt>
                <c:pt idx="5">
                  <c:v>86.066884956596923</c:v>
                </c:pt>
                <c:pt idx="6">
                  <c:v>82.246249828101128</c:v>
                </c:pt>
                <c:pt idx="7">
                  <c:v>67.662571784499889</c:v>
                </c:pt>
                <c:pt idx="8">
                  <c:v>38.211582787783698</c:v>
                </c:pt>
                <c:pt idx="9">
                  <c:v>58.703300573705988</c:v>
                </c:pt>
                <c:pt idx="10">
                  <c:v>38.211582787783698</c:v>
                </c:pt>
                <c:pt idx="11">
                  <c:v>36.119538409109531</c:v>
                </c:pt>
                <c:pt idx="12">
                  <c:v>64.694151705753697</c:v>
                </c:pt>
                <c:pt idx="13">
                  <c:v>40.296111307888637</c:v>
                </c:pt>
                <c:pt idx="14">
                  <c:v>76.462924247346535</c:v>
                </c:pt>
                <c:pt idx="15">
                  <c:v>81.286807286045146</c:v>
                </c:pt>
                <c:pt idx="16">
                  <c:v>68.64809713275379</c:v>
                </c:pt>
                <c:pt idx="17">
                  <c:v>70.613289061683631</c:v>
                </c:pt>
                <c:pt idx="18">
                  <c:v>42.373005836567543</c:v>
                </c:pt>
                <c:pt idx="19">
                  <c:v>40.296111307888637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37-1B4B-8CFD-7213134DDAD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'Príklad 2'!$G$4:$G$23</c:f>
              <c:numCache>
                <c:formatCode>0.0000</c:formatCode>
                <c:ptCount val="20"/>
                <c:pt idx="0">
                  <c:v>150</c:v>
                </c:pt>
                <c:pt idx="1">
                  <c:v>177</c:v>
                </c:pt>
                <c:pt idx="2">
                  <c:v>154</c:v>
                </c:pt>
                <c:pt idx="3">
                  <c:v>152</c:v>
                </c:pt>
                <c:pt idx="4">
                  <c:v>169</c:v>
                </c:pt>
                <c:pt idx="5">
                  <c:v>200</c:v>
                </c:pt>
                <c:pt idx="6">
                  <c:v>196</c:v>
                </c:pt>
                <c:pt idx="7">
                  <c:v>181</c:v>
                </c:pt>
                <c:pt idx="8">
                  <c:v>152</c:v>
                </c:pt>
                <c:pt idx="9">
                  <c:v>172</c:v>
                </c:pt>
                <c:pt idx="10">
                  <c:v>152</c:v>
                </c:pt>
                <c:pt idx="11">
                  <c:v>150</c:v>
                </c:pt>
                <c:pt idx="12">
                  <c:v>178</c:v>
                </c:pt>
                <c:pt idx="13">
                  <c:v>154</c:v>
                </c:pt>
                <c:pt idx="14">
                  <c:v>190</c:v>
                </c:pt>
                <c:pt idx="15">
                  <c:v>195</c:v>
                </c:pt>
                <c:pt idx="16">
                  <c:v>182</c:v>
                </c:pt>
                <c:pt idx="17">
                  <c:v>184</c:v>
                </c:pt>
                <c:pt idx="18">
                  <c:v>156</c:v>
                </c:pt>
                <c:pt idx="19">
                  <c:v>154</c:v>
                </c:pt>
              </c:numCache>
            </c:numRef>
          </c:xVal>
          <c:yVal>
            <c:numRef>
              <c:f>'Príklad 2'!$L$4:$L$23</c:f>
              <c:numCache>
                <c:formatCode>0.0000</c:formatCode>
                <c:ptCount val="20"/>
                <c:pt idx="0">
                  <c:v>62.084467064517163</c:v>
                </c:pt>
                <c:pt idx="1">
                  <c:v>88.977482766851182</c:v>
                </c:pt>
                <c:pt idx="2">
                  <c:v>65.978142679974141</c:v>
                </c:pt>
                <c:pt idx="3">
                  <c:v>64.02754694296101</c:v>
                </c:pt>
                <c:pt idx="4">
                  <c:v>80.857081708376526</c:v>
                </c:pt>
                <c:pt idx="5">
                  <c:v>113.01522694498136</c:v>
                </c:pt>
                <c:pt idx="6">
                  <c:v>108.76561355924102</c:v>
                </c:pt>
                <c:pt idx="7">
                  <c:v>93.085859674456756</c:v>
                </c:pt>
                <c:pt idx="8">
                  <c:v>64.02754694296101</c:v>
                </c:pt>
                <c:pt idx="9">
                  <c:v>83.887071728219368</c:v>
                </c:pt>
                <c:pt idx="10">
                  <c:v>64.02754694296101</c:v>
                </c:pt>
                <c:pt idx="11">
                  <c:v>62.084467064517163</c:v>
                </c:pt>
                <c:pt idx="12">
                  <c:v>90.001593367525871</c:v>
                </c:pt>
                <c:pt idx="13">
                  <c:v>65.978142679974141</c:v>
                </c:pt>
                <c:pt idx="14">
                  <c:v>102.4435663686414</c:v>
                </c:pt>
                <c:pt idx="15">
                  <c:v>107.70749397273794</c:v>
                </c:pt>
                <c:pt idx="16">
                  <c:v>94.117896454761919</c:v>
                </c:pt>
                <c:pt idx="17">
                  <c:v>96.187828782950092</c:v>
                </c:pt>
                <c:pt idx="18">
                  <c:v>67.936372408413305</c:v>
                </c:pt>
                <c:pt idx="19">
                  <c:v>65.978142679974141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37-1B4B-8CFD-7213134DDAD0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'Príklad 2'!$A$4:$A$23</c:f>
              <c:numCache>
                <c:formatCode>0.0000</c:formatCode>
                <c:ptCount val="20"/>
                <c:pt idx="0">
                  <c:v>150</c:v>
                </c:pt>
                <c:pt idx="1">
                  <c:v>177</c:v>
                </c:pt>
                <c:pt idx="2">
                  <c:v>154</c:v>
                </c:pt>
                <c:pt idx="3">
                  <c:v>152</c:v>
                </c:pt>
                <c:pt idx="4">
                  <c:v>169</c:v>
                </c:pt>
                <c:pt idx="5">
                  <c:v>200</c:v>
                </c:pt>
                <c:pt idx="6">
                  <c:v>196</c:v>
                </c:pt>
                <c:pt idx="7">
                  <c:v>181</c:v>
                </c:pt>
                <c:pt idx="8">
                  <c:v>152</c:v>
                </c:pt>
                <c:pt idx="9">
                  <c:v>172</c:v>
                </c:pt>
                <c:pt idx="10">
                  <c:v>152</c:v>
                </c:pt>
                <c:pt idx="11">
                  <c:v>150</c:v>
                </c:pt>
                <c:pt idx="12">
                  <c:v>178</c:v>
                </c:pt>
                <c:pt idx="13">
                  <c:v>154</c:v>
                </c:pt>
                <c:pt idx="14">
                  <c:v>190</c:v>
                </c:pt>
                <c:pt idx="15">
                  <c:v>195</c:v>
                </c:pt>
                <c:pt idx="16">
                  <c:v>182</c:v>
                </c:pt>
                <c:pt idx="17">
                  <c:v>184</c:v>
                </c:pt>
                <c:pt idx="18">
                  <c:v>156</c:v>
                </c:pt>
                <c:pt idx="19">
                  <c:v>154</c:v>
                </c:pt>
              </c:numCache>
            </c:numRef>
          </c:xVal>
          <c:yVal>
            <c:numRef>
              <c:f>'Príklad 2'!$B$4:$B$23</c:f>
              <c:numCache>
                <c:formatCode>0.0000000000000</c:formatCode>
                <c:ptCount val="20"/>
                <c:pt idx="0">
                  <c:v>50.439765218123881</c:v>
                </c:pt>
                <c:pt idx="1">
                  <c:v>73.187912440909315</c:v>
                </c:pt>
                <c:pt idx="2">
                  <c:v>53.223118804124248</c:v>
                </c:pt>
                <c:pt idx="3">
                  <c:v>43.763103903511222</c:v>
                </c:pt>
                <c:pt idx="4">
                  <c:v>68.508636005000128</c:v>
                </c:pt>
                <c:pt idx="5">
                  <c:v>94.464449979056482</c:v>
                </c:pt>
                <c:pt idx="6">
                  <c:v>99.424545369522093</c:v>
                </c:pt>
                <c:pt idx="7">
                  <c:v>73.703292268249257</c:v>
                </c:pt>
                <c:pt idx="8">
                  <c:v>49.888221905129662</c:v>
                </c:pt>
                <c:pt idx="9">
                  <c:v>73.995890168108957</c:v>
                </c:pt>
                <c:pt idx="10">
                  <c:v>58.037306645999138</c:v>
                </c:pt>
                <c:pt idx="11">
                  <c:v>46.007799123494053</c:v>
                </c:pt>
                <c:pt idx="12">
                  <c:v>77.631893722862657</c:v>
                </c:pt>
                <c:pt idx="13">
                  <c:v>57.209055967964801</c:v>
                </c:pt>
                <c:pt idx="14">
                  <c:v>90.179853518718915</c:v>
                </c:pt>
                <c:pt idx="15">
                  <c:v>98.141602375765785</c:v>
                </c:pt>
                <c:pt idx="16">
                  <c:v>79.708734856183924</c:v>
                </c:pt>
                <c:pt idx="17">
                  <c:v>88.405863665316872</c:v>
                </c:pt>
                <c:pt idx="18">
                  <c:v>41.795669608995773</c:v>
                </c:pt>
                <c:pt idx="19">
                  <c:v>65.818202772477463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37-1B4B-8CFD-7213134DD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18416"/>
        <c:axId val="661919072"/>
      </c:scatterChart>
      <c:valAx>
        <c:axId val="661918416"/>
        <c:scaling>
          <c:orientation val="minMax"/>
          <c:max val="210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Výška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19072"/>
        <c:crosses val="autoZero"/>
        <c:crossBetween val="midCat"/>
      </c:valAx>
      <c:valAx>
        <c:axId val="6619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Váha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1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17</xdr:row>
      <xdr:rowOff>199570</xdr:rowOff>
    </xdr:from>
    <xdr:to>
      <xdr:col>5</xdr:col>
      <xdr:colOff>1515478</xdr:colOff>
      <xdr:row>30</xdr:row>
      <xdr:rowOff>125142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F48889-9B3F-F144-A6A3-54E257B1F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1912256</xdr:colOff>
      <xdr:row>18</xdr:row>
      <xdr:rowOff>9072</xdr:rowOff>
    </xdr:from>
    <xdr:to>
      <xdr:col>8</xdr:col>
      <xdr:colOff>1158971</xdr:colOff>
      <xdr:row>30</xdr:row>
      <xdr:rowOff>134215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2064F2-AED6-F043-A925-AA057E6ED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527050</xdr:colOff>
      <xdr:row>51</xdr:row>
      <xdr:rowOff>25400</xdr:rowOff>
    </xdr:from>
    <xdr:to>
      <xdr:col>7</xdr:col>
      <xdr:colOff>1619800</xdr:colOff>
      <xdr:row>63</xdr:row>
      <xdr:rowOff>132400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F989AE-D127-D74F-8EFA-A0F2E211D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346516</xdr:colOff>
      <xdr:row>1</xdr:row>
      <xdr:rowOff>15488</xdr:rowOff>
    </xdr:from>
    <xdr:to>
      <xdr:col>19</xdr:col>
      <xdr:colOff>105766</xdr:colOff>
      <xdr:row>13</xdr:row>
      <xdr:rowOff>108378</xdr:rowOff>
    </xdr:to>
    <xdr:graphicFrame macro="">
      <xdr:nvGraphicFramePr>
        <xdr:cNvPr id="2" name="Graf 4">
          <a:extLst>
            <a:ext uri="{FF2B5EF4-FFF2-40B4-BE49-F238E27FC236}">
              <a16:creationId xmlns:a16="http://schemas.microsoft.com/office/drawing/2014/main" id="{8A0750B2-BC6E-B14D-AEFB-CB6840633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362465</xdr:colOff>
      <xdr:row>14</xdr:row>
      <xdr:rowOff>170204</xdr:rowOff>
    </xdr:from>
    <xdr:to>
      <xdr:col>19</xdr:col>
      <xdr:colOff>135322</xdr:colOff>
      <xdr:row>28</xdr:row>
      <xdr:rowOff>35904</xdr:rowOff>
    </xdr:to>
    <xdr:graphicFrame macro="">
      <xdr:nvGraphicFramePr>
        <xdr:cNvPr id="3" name="Graf 5">
          <a:extLst>
            <a:ext uri="{FF2B5EF4-FFF2-40B4-BE49-F238E27FC236}">
              <a16:creationId xmlns:a16="http://schemas.microsoft.com/office/drawing/2014/main" id="{4669AE30-A6F1-BB43-A67C-F7B4527F4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408516</xdr:colOff>
      <xdr:row>29</xdr:row>
      <xdr:rowOff>58561</xdr:rowOff>
    </xdr:from>
    <xdr:to>
      <xdr:col>19</xdr:col>
      <xdr:colOff>168271</xdr:colOff>
      <xdr:row>42</xdr:row>
      <xdr:rowOff>109117</xdr:rowOff>
    </xdr:to>
    <xdr:graphicFrame macro="">
      <xdr:nvGraphicFramePr>
        <xdr:cNvPr id="4" name="Graf 6">
          <a:extLst>
            <a:ext uri="{FF2B5EF4-FFF2-40B4-BE49-F238E27FC236}">
              <a16:creationId xmlns:a16="http://schemas.microsoft.com/office/drawing/2014/main" id="{9E4C5DC7-B30E-7C4E-BCBE-05D0CD557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5E636-41B7-3048-8D50-95828B442005}">
  <dimension ref="A1:K150"/>
  <sheetViews>
    <sheetView zoomScaleNormal="100" workbookViewId="0">
      <selection activeCell="K58" sqref="K58"/>
    </sheetView>
  </sheetViews>
  <sheetFormatPr baseColWidth="10" defaultRowHeight="16"/>
  <cols>
    <col min="1" max="1" width="10.83203125" style="1"/>
    <col min="2" max="2" width="26" style="1" customWidth="1"/>
    <col min="3" max="3" width="14.33203125" style="1" customWidth="1"/>
    <col min="4" max="4" width="34.6640625" style="1" customWidth="1"/>
    <col min="5" max="5" width="27.83203125" style="1" customWidth="1"/>
    <col min="6" max="6" width="32.1640625" style="1" customWidth="1"/>
    <col min="7" max="7" width="29" style="1" customWidth="1"/>
    <col min="8" max="8" width="24.33203125" style="1" customWidth="1"/>
    <col min="9" max="9" width="24.1640625" style="1" customWidth="1"/>
    <col min="10" max="10" width="17.1640625" style="1" customWidth="1"/>
    <col min="11" max="11" width="24.1640625" style="1" customWidth="1"/>
    <col min="12" max="16384" width="10.83203125" style="1"/>
  </cols>
  <sheetData>
    <row r="1" spans="1:11" ht="22" thickBot="1">
      <c r="A1" s="3">
        <v>24</v>
      </c>
    </row>
    <row r="2" spans="1:11">
      <c r="A2" s="4" t="s">
        <v>3</v>
      </c>
      <c r="B2" s="1" t="s">
        <v>5</v>
      </c>
    </row>
    <row r="3" spans="1:11" ht="17" thickBot="1">
      <c r="A3" s="5" t="s">
        <v>0</v>
      </c>
      <c r="B3" s="5" t="s">
        <v>0</v>
      </c>
      <c r="C3" s="1" t="s">
        <v>12</v>
      </c>
      <c r="D3" s="2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13</v>
      </c>
      <c r="K3" s="1" t="s">
        <v>20</v>
      </c>
    </row>
    <row r="4" spans="1:11">
      <c r="A4" s="2">
        <v>1.38</v>
      </c>
      <c r="B4" s="2">
        <v>-2.2799999999999998</v>
      </c>
      <c r="D4" s="1">
        <f>MIN(B4:B53)</f>
        <v>-2.2799999999999998</v>
      </c>
      <c r="E4" s="1">
        <f>MAX(B4:B53)</f>
        <v>3.21</v>
      </c>
      <c r="F4" s="1">
        <f>D4</f>
        <v>-2.2799999999999998</v>
      </c>
      <c r="G4" s="1">
        <f>E4</f>
        <v>3.21</v>
      </c>
      <c r="H4" s="1">
        <f>E4-D4</f>
        <v>5.49</v>
      </c>
      <c r="I4" s="1">
        <v>11</v>
      </c>
      <c r="J4" s="1">
        <f>(E4-D4)/I4</f>
        <v>0.49909090909090909</v>
      </c>
      <c r="K4" s="1">
        <f>COUNT(B4:B53)</f>
        <v>50</v>
      </c>
    </row>
    <row r="5" spans="1:11">
      <c r="A5" s="2">
        <v>0.72</v>
      </c>
      <c r="B5" s="2">
        <v>-0.79</v>
      </c>
      <c r="D5" s="2"/>
    </row>
    <row r="6" spans="1:11">
      <c r="A6" s="2">
        <v>0.18</v>
      </c>
      <c r="B6" s="2">
        <v>-0.76</v>
      </c>
      <c r="C6" s="1" t="s">
        <v>14</v>
      </c>
      <c r="D6" s="2" t="s">
        <v>23</v>
      </c>
      <c r="E6" s="1" t="s">
        <v>15</v>
      </c>
      <c r="F6" s="1" t="s">
        <v>16</v>
      </c>
      <c r="G6" s="1" t="s">
        <v>17</v>
      </c>
      <c r="H6" s="1" t="s">
        <v>19</v>
      </c>
      <c r="I6" s="1" t="s">
        <v>18</v>
      </c>
      <c r="J6" s="1" t="s">
        <v>21</v>
      </c>
      <c r="K6" s="1" t="s">
        <v>22</v>
      </c>
    </row>
    <row r="7" spans="1:11">
      <c r="A7" s="2">
        <v>-0.11</v>
      </c>
      <c r="B7" s="2">
        <v>-0.68</v>
      </c>
      <c r="D7" s="2">
        <v>1</v>
      </c>
      <c r="E7" s="1">
        <f>$D$4</f>
        <v>-2.2799999999999998</v>
      </c>
      <c r="F7" s="1">
        <f>E7+J4</f>
        <v>-1.7809090909090908</v>
      </c>
      <c r="G7" s="1">
        <f>(E7+F7)/2</f>
        <v>-2.0304545454545453</v>
      </c>
      <c r="H7" s="1">
        <f>$I$7</f>
        <v>1</v>
      </c>
      <c r="I7" s="1">
        <f>COUNTIFS($B$4:$B$53,"&gt;="&amp;E7, $B$4:$B$53, "&lt;"&amp;F7)</f>
        <v>1</v>
      </c>
      <c r="J7" s="1">
        <f>I7/50</f>
        <v>0.02</v>
      </c>
      <c r="K7" s="1">
        <f>H7/50</f>
        <v>0.02</v>
      </c>
    </row>
    <row r="8" spans="1:11">
      <c r="A8" s="2">
        <v>1.05</v>
      </c>
      <c r="B8" s="2">
        <v>-0.65</v>
      </c>
      <c r="D8" s="2">
        <v>2</v>
      </c>
      <c r="E8" s="1">
        <f>F7</f>
        <v>-1.7809090909090908</v>
      </c>
      <c r="F8" s="1">
        <f t="shared" ref="F8:F17" si="0">E8+0.5</f>
        <v>-1.2809090909090908</v>
      </c>
      <c r="G8" s="1">
        <f>(E8+F8)/2</f>
        <v>-1.5309090909090908</v>
      </c>
      <c r="H8" s="1">
        <f>H7+I8</f>
        <v>1</v>
      </c>
      <c r="I8" s="1">
        <f>COUNTIFS($B$4:$B$53,"&gt;="&amp;E8, $B$4:$B$53, "&lt;"&amp;F8)</f>
        <v>0</v>
      </c>
      <c r="J8" s="1">
        <f t="shared" ref="J8:J17" si="1">I8/50</f>
        <v>0</v>
      </c>
      <c r="K8" s="1">
        <f t="shared" ref="K8:K17" si="2">H8/50</f>
        <v>0.02</v>
      </c>
    </row>
    <row r="9" spans="1:11">
      <c r="A9" s="2">
        <v>1.45</v>
      </c>
      <c r="B9" s="2">
        <v>-0.55000000000000004</v>
      </c>
      <c r="D9" s="2">
        <v>3</v>
      </c>
      <c r="E9" s="1">
        <f>F8</f>
        <v>-1.2809090909090908</v>
      </c>
      <c r="F9" s="1">
        <f t="shared" si="0"/>
        <v>-0.78090909090909078</v>
      </c>
      <c r="G9" s="1">
        <f>(E9+F9)/2</f>
        <v>-1.0309090909090908</v>
      </c>
      <c r="H9" s="1">
        <f t="shared" ref="H9:H17" si="3">H8+I9</f>
        <v>2</v>
      </c>
      <c r="I9" s="1">
        <f>COUNTIFS($B$4:$B$53,"&gt;="&amp;E9, $B$4:$B$53, "&lt;"&amp;F9)</f>
        <v>1</v>
      </c>
      <c r="J9" s="1">
        <f t="shared" si="1"/>
        <v>0.02</v>
      </c>
      <c r="K9" s="1">
        <f t="shared" si="2"/>
        <v>0.04</v>
      </c>
    </row>
    <row r="10" spans="1:11">
      <c r="A10" s="2">
        <v>-0.28000000000000003</v>
      </c>
      <c r="B10" s="2">
        <v>-0.54</v>
      </c>
      <c r="D10" s="2">
        <v>4</v>
      </c>
      <c r="E10" s="1">
        <f>F9</f>
        <v>-0.78090909090909078</v>
      </c>
      <c r="F10" s="1">
        <f t="shared" si="0"/>
        <v>-0.28090909090909078</v>
      </c>
      <c r="G10" s="1">
        <f>(E10+F10)/2</f>
        <v>-0.53090909090909078</v>
      </c>
      <c r="H10" s="1">
        <f t="shared" si="3"/>
        <v>9</v>
      </c>
      <c r="I10" s="1">
        <f>COUNTIFS($B$4:$B$53,"&gt;="&amp;E10, $B$4:$B$53, "&lt;"&amp;F10)</f>
        <v>7</v>
      </c>
      <c r="J10" s="1">
        <f t="shared" si="1"/>
        <v>0.14000000000000001</v>
      </c>
      <c r="K10" s="1">
        <f t="shared" si="2"/>
        <v>0.18</v>
      </c>
    </row>
    <row r="11" spans="1:11">
      <c r="A11" s="2">
        <v>2.4900000000000002</v>
      </c>
      <c r="B11" s="2">
        <v>-0.53</v>
      </c>
      <c r="D11" s="2">
        <v>5</v>
      </c>
      <c r="E11" s="1">
        <f>F10</f>
        <v>-0.28090909090909078</v>
      </c>
      <c r="F11" s="1">
        <f t="shared" si="0"/>
        <v>0.21909090909090922</v>
      </c>
      <c r="G11" s="1">
        <f>(E11+F11)/2</f>
        <v>-3.0909090909090775E-2</v>
      </c>
      <c r="H11" s="1">
        <f t="shared" si="3"/>
        <v>15</v>
      </c>
      <c r="I11" s="1">
        <f>COUNTIFS($B$4:$B$53,"&gt;="&amp;E11, $B$4:$B$53, "&lt;"&amp;F11)</f>
        <v>6</v>
      </c>
      <c r="J11" s="1">
        <f t="shared" si="1"/>
        <v>0.12</v>
      </c>
      <c r="K11" s="1">
        <f t="shared" si="2"/>
        <v>0.3</v>
      </c>
    </row>
    <row r="12" spans="1:11">
      <c r="A12" s="2">
        <v>-0.54</v>
      </c>
      <c r="B12" s="2">
        <v>-0.48</v>
      </c>
      <c r="D12" s="2">
        <v>6</v>
      </c>
      <c r="E12" s="1">
        <f>F11</f>
        <v>0.21909090909090922</v>
      </c>
      <c r="F12" s="1">
        <f t="shared" si="0"/>
        <v>0.71909090909090922</v>
      </c>
      <c r="G12" s="1">
        <f>(E12+F12)/2</f>
        <v>0.46909090909090922</v>
      </c>
      <c r="H12" s="1">
        <f t="shared" si="3"/>
        <v>25</v>
      </c>
      <c r="I12" s="1">
        <f>COUNTIFS($B$4:$B$53,"&gt;="&amp;E12, $B$4:$B$53, "&lt;"&amp;F12)</f>
        <v>10</v>
      </c>
      <c r="J12" s="1">
        <f t="shared" si="1"/>
        <v>0.2</v>
      </c>
      <c r="K12" s="1">
        <f t="shared" si="2"/>
        <v>0.5</v>
      </c>
    </row>
    <row r="13" spans="1:11">
      <c r="A13" s="2">
        <v>1.88</v>
      </c>
      <c r="B13" s="2">
        <v>-0.28000000000000003</v>
      </c>
      <c r="D13" s="2">
        <v>7</v>
      </c>
      <c r="E13" s="1">
        <f>F12</f>
        <v>0.71909090909090922</v>
      </c>
      <c r="F13" s="1">
        <f t="shared" si="0"/>
        <v>1.2190909090909092</v>
      </c>
      <c r="G13" s="1">
        <f>(E13+F13)/2</f>
        <v>0.96909090909090922</v>
      </c>
      <c r="H13" s="1">
        <f t="shared" si="3"/>
        <v>36</v>
      </c>
      <c r="I13" s="1">
        <f>COUNTIFS($B$4:$B$53,"&gt;="&amp;E13, $B$4:$B$53, "&lt;"&amp;F13)</f>
        <v>11</v>
      </c>
      <c r="J13" s="1">
        <f t="shared" si="1"/>
        <v>0.22</v>
      </c>
      <c r="K13" s="1">
        <f t="shared" si="2"/>
        <v>0.72</v>
      </c>
    </row>
    <row r="14" spans="1:11">
      <c r="A14" s="2">
        <v>2.37</v>
      </c>
      <c r="B14" s="2">
        <v>-0.2</v>
      </c>
      <c r="D14" s="2">
        <v>8</v>
      </c>
      <c r="E14" s="1">
        <f>F13</f>
        <v>1.2190909090909092</v>
      </c>
      <c r="F14" s="1">
        <f t="shared" si="0"/>
        <v>1.7190909090909092</v>
      </c>
      <c r="G14" s="1">
        <f>(E14+F14)/2</f>
        <v>1.4690909090909092</v>
      </c>
      <c r="H14" s="1">
        <f t="shared" si="3"/>
        <v>41</v>
      </c>
      <c r="I14" s="1">
        <f>COUNTIFS($B$4:$B$53,"&gt;="&amp;E14, $B$4:$B$53, "&lt;"&amp;F14)</f>
        <v>5</v>
      </c>
      <c r="J14" s="1">
        <f t="shared" si="1"/>
        <v>0.1</v>
      </c>
      <c r="K14" s="1">
        <f t="shared" si="2"/>
        <v>0.82</v>
      </c>
    </row>
    <row r="15" spans="1:11">
      <c r="A15" s="2">
        <v>0.95</v>
      </c>
      <c r="B15" s="2">
        <v>-0.11</v>
      </c>
      <c r="D15" s="2">
        <v>9</v>
      </c>
      <c r="E15" s="1">
        <f>F14</f>
        <v>1.7190909090909092</v>
      </c>
      <c r="F15" s="1">
        <f t="shared" si="0"/>
        <v>2.2190909090909092</v>
      </c>
      <c r="G15" s="1">
        <f>(E15+F15)/2</f>
        <v>1.9690909090909092</v>
      </c>
      <c r="H15" s="1">
        <f t="shared" si="3"/>
        <v>44</v>
      </c>
      <c r="I15" s="1">
        <f>COUNTIFS($B$4:$B$53,"&gt;="&amp;E15, $B$4:$B$53, "&lt;"&amp;F15)</f>
        <v>3</v>
      </c>
      <c r="J15" s="1">
        <f t="shared" si="1"/>
        <v>0.06</v>
      </c>
      <c r="K15" s="1">
        <f t="shared" si="2"/>
        <v>0.88</v>
      </c>
    </row>
    <row r="16" spans="1:11">
      <c r="A16" s="2">
        <v>-0.55000000000000004</v>
      </c>
      <c r="B16" s="2">
        <v>7.0000000000000007E-2</v>
      </c>
      <c r="D16" s="2">
        <v>10</v>
      </c>
      <c r="E16" s="1">
        <f>F15</f>
        <v>2.2190909090909092</v>
      </c>
      <c r="F16" s="1">
        <f t="shared" si="0"/>
        <v>2.7190909090909092</v>
      </c>
      <c r="G16" s="1">
        <f>(E16+F16)/2</f>
        <v>2.4690909090909092</v>
      </c>
      <c r="H16" s="1">
        <f t="shared" si="3"/>
        <v>46</v>
      </c>
      <c r="I16" s="1">
        <f>COUNTIFS($B$4:$B$53,"&gt;="&amp;E16, $B$4:$B$53, "&lt;"&amp;F16)</f>
        <v>2</v>
      </c>
      <c r="J16" s="1">
        <f t="shared" si="1"/>
        <v>0.04</v>
      </c>
      <c r="K16" s="1">
        <f t="shared" si="2"/>
        <v>0.92</v>
      </c>
    </row>
    <row r="17" spans="1:11">
      <c r="A17" s="2">
        <v>2.0499999999999998</v>
      </c>
      <c r="B17" s="2">
        <v>0.18</v>
      </c>
      <c r="D17" s="2">
        <v>11</v>
      </c>
      <c r="E17" s="1">
        <f>F16</f>
        <v>2.7190909090909092</v>
      </c>
      <c r="F17" s="1">
        <f>E4</f>
        <v>3.21</v>
      </c>
      <c r="G17" s="1">
        <f>(E17+F17)/2</f>
        <v>2.9645454545454548</v>
      </c>
      <c r="H17" s="1">
        <f t="shared" si="3"/>
        <v>50</v>
      </c>
      <c r="I17" s="1">
        <f>COUNTIFS($B$4:$B$53,"&gt;="&amp;E17, $B$4:$B$53, "&lt;="&amp;F17)</f>
        <v>4</v>
      </c>
      <c r="J17" s="1">
        <f t="shared" si="1"/>
        <v>0.08</v>
      </c>
      <c r="K17" s="1">
        <f t="shared" si="2"/>
        <v>1</v>
      </c>
    </row>
    <row r="18" spans="1:11">
      <c r="A18" s="2">
        <v>1.29</v>
      </c>
      <c r="B18" s="2">
        <v>0.19</v>
      </c>
      <c r="D18" s="2"/>
    </row>
    <row r="19" spans="1:11">
      <c r="A19" s="2">
        <v>7.0000000000000007E-2</v>
      </c>
      <c r="B19" s="2">
        <v>0.37</v>
      </c>
      <c r="D19" s="2"/>
    </row>
    <row r="20" spans="1:11">
      <c r="A20" s="2">
        <v>1.59</v>
      </c>
      <c r="B20" s="2">
        <v>0.39</v>
      </c>
      <c r="D20" s="2"/>
      <c r="E20" s="6"/>
      <c r="F20" s="6"/>
    </row>
    <row r="21" spans="1:11">
      <c r="A21" s="2">
        <v>-0.2</v>
      </c>
      <c r="B21" s="2">
        <v>0.4</v>
      </c>
      <c r="D21" s="2"/>
      <c r="E21" s="7"/>
      <c r="F21" s="7"/>
    </row>
    <row r="22" spans="1:11">
      <c r="A22" s="2">
        <v>-0.79</v>
      </c>
      <c r="B22" s="2">
        <v>0.4</v>
      </c>
      <c r="D22" s="2"/>
      <c r="E22" s="7"/>
      <c r="F22" s="7"/>
    </row>
    <row r="23" spans="1:11">
      <c r="A23" s="2">
        <v>0.37</v>
      </c>
      <c r="B23" s="2">
        <v>0.47</v>
      </c>
      <c r="D23" s="2"/>
      <c r="E23" s="7"/>
      <c r="F23" s="7"/>
    </row>
    <row r="24" spans="1:11">
      <c r="A24" s="2">
        <v>0.95</v>
      </c>
      <c r="B24" s="2">
        <v>0.49</v>
      </c>
      <c r="D24" s="2"/>
      <c r="E24" s="7"/>
      <c r="F24" s="7"/>
    </row>
    <row r="25" spans="1:11">
      <c r="A25" s="2">
        <v>0.97</v>
      </c>
      <c r="B25" s="2">
        <v>0.51</v>
      </c>
      <c r="D25" s="2"/>
      <c r="E25" s="7"/>
      <c r="F25" s="7"/>
    </row>
    <row r="26" spans="1:11">
      <c r="A26" s="2">
        <v>-2.2799999999999998</v>
      </c>
      <c r="B26" s="2">
        <v>0.6</v>
      </c>
      <c r="D26" s="2"/>
      <c r="E26" s="7"/>
      <c r="F26" s="7"/>
    </row>
    <row r="27" spans="1:11">
      <c r="A27" s="2">
        <v>2.88</v>
      </c>
      <c r="B27" s="2">
        <v>0.66</v>
      </c>
      <c r="D27" s="2"/>
      <c r="E27" s="7"/>
      <c r="F27" s="7"/>
    </row>
    <row r="28" spans="1:11">
      <c r="A28" s="2">
        <v>0.78</v>
      </c>
      <c r="B28" s="2">
        <v>0.7</v>
      </c>
      <c r="D28" s="2"/>
      <c r="E28" s="7"/>
      <c r="F28" s="7"/>
    </row>
    <row r="29" spans="1:11">
      <c r="A29" s="2">
        <v>0.78</v>
      </c>
      <c r="B29" s="2">
        <v>0.72</v>
      </c>
      <c r="D29" s="2"/>
      <c r="E29" s="7"/>
      <c r="F29" s="7"/>
    </row>
    <row r="30" spans="1:11">
      <c r="A30" s="2">
        <v>-0.65</v>
      </c>
      <c r="B30" s="2">
        <v>0.78</v>
      </c>
      <c r="D30" s="2"/>
      <c r="E30" s="7"/>
      <c r="F30" s="7"/>
    </row>
    <row r="31" spans="1:11">
      <c r="A31" s="2">
        <v>0.39</v>
      </c>
      <c r="B31" s="2">
        <v>0.78</v>
      </c>
      <c r="D31" s="2"/>
      <c r="E31" s="7"/>
      <c r="F31" s="7"/>
    </row>
    <row r="32" spans="1:11">
      <c r="A32" s="2">
        <v>0.49</v>
      </c>
      <c r="B32" s="2">
        <v>0.86</v>
      </c>
      <c r="D32" s="2"/>
      <c r="E32" s="7"/>
      <c r="F32" s="7"/>
    </row>
    <row r="33" spans="1:11">
      <c r="A33" s="2">
        <v>0.86</v>
      </c>
      <c r="B33" s="2">
        <v>0.93</v>
      </c>
      <c r="D33" s="2"/>
    </row>
    <row r="34" spans="1:11">
      <c r="A34" s="2">
        <v>1.88</v>
      </c>
      <c r="B34" s="2">
        <v>0.95</v>
      </c>
      <c r="C34" s="1" t="s">
        <v>24</v>
      </c>
      <c r="D34" s="2" t="s">
        <v>25</v>
      </c>
      <c r="E34" s="1" t="s">
        <v>26</v>
      </c>
      <c r="F34" s="2" t="s">
        <v>27</v>
      </c>
      <c r="G34" s="1" t="s">
        <v>29</v>
      </c>
      <c r="H34" s="1" t="s">
        <v>28</v>
      </c>
    </row>
    <row r="35" spans="1:11">
      <c r="A35" s="2">
        <v>0.47</v>
      </c>
      <c r="B35" s="2">
        <v>0.95</v>
      </c>
      <c r="D35" s="2">
        <f>AVERAGE(B4:B53)</f>
        <v>0.74379999999999991</v>
      </c>
      <c r="E35" s="1">
        <f>MEDIAN(B4:B53)</f>
        <v>0.71</v>
      </c>
      <c r="F35" s="1">
        <f>_xlfn.MODE.SNGL(B4:B53)</f>
        <v>0.4</v>
      </c>
      <c r="G35" s="1">
        <f>_xlfn.VAR.P(B4:B53)</f>
        <v>1.2120275599999997</v>
      </c>
      <c r="H35" s="1">
        <f>_xlfn.STDEV.P(B4:B53)</f>
        <v>1.100921232423101</v>
      </c>
    </row>
    <row r="36" spans="1:11">
      <c r="A36" s="2">
        <v>0.51</v>
      </c>
      <c r="B36" s="2">
        <v>0.97</v>
      </c>
      <c r="D36" s="2"/>
    </row>
    <row r="37" spans="1:11">
      <c r="A37" s="2">
        <v>0.93</v>
      </c>
      <c r="B37" s="2">
        <v>1.05</v>
      </c>
      <c r="C37" s="1" t="s">
        <v>30</v>
      </c>
      <c r="D37" s="2" t="s">
        <v>31</v>
      </c>
      <c r="E37" s="1" t="s">
        <v>32</v>
      </c>
      <c r="F37" s="2" t="s">
        <v>33</v>
      </c>
    </row>
    <row r="38" spans="1:11">
      <c r="A38" s="2">
        <v>3.21</v>
      </c>
      <c r="B38" s="2">
        <v>1.07</v>
      </c>
      <c r="D38" s="2">
        <f>AVERAGE(B4:B53)</f>
        <v>0.74379999999999991</v>
      </c>
      <c r="E38" s="1">
        <f>_xlfn.VAR.S(B4:B53)</f>
        <v>1.2367628163265305</v>
      </c>
      <c r="F38" s="1">
        <f>_xlfn.STDEV.S(B4:B53)</f>
        <v>1.1120983842837515</v>
      </c>
    </row>
    <row r="39" spans="1:11">
      <c r="A39" s="2">
        <v>0.6</v>
      </c>
      <c r="B39" s="2">
        <v>1.1399999999999999</v>
      </c>
      <c r="D39" s="2"/>
    </row>
    <row r="40" spans="1:11">
      <c r="A40" s="2">
        <v>0.4</v>
      </c>
      <c r="B40" s="2">
        <v>1.29</v>
      </c>
      <c r="C40" s="1" t="s">
        <v>34</v>
      </c>
      <c r="D40" s="2"/>
    </row>
    <row r="41" spans="1:11">
      <c r="A41" s="2">
        <v>1.1399999999999999</v>
      </c>
      <c r="B41" s="2">
        <v>1.32</v>
      </c>
      <c r="D41" s="2" t="s">
        <v>23</v>
      </c>
      <c r="E41" s="1" t="s">
        <v>15</v>
      </c>
      <c r="F41" s="1" t="s">
        <v>16</v>
      </c>
      <c r="G41" s="1" t="s">
        <v>17</v>
      </c>
      <c r="H41" s="1" t="s">
        <v>19</v>
      </c>
      <c r="I41" s="1" t="s">
        <v>18</v>
      </c>
      <c r="J41" s="1" t="s">
        <v>35</v>
      </c>
      <c r="K41" s="1" t="s">
        <v>36</v>
      </c>
    </row>
    <row r="42" spans="1:11">
      <c r="A42" s="2">
        <v>2.82</v>
      </c>
      <c r="B42" s="2">
        <v>1.38</v>
      </c>
      <c r="D42" s="2">
        <v>1</v>
      </c>
      <c r="E42" s="1">
        <v>-1000</v>
      </c>
      <c r="F42" s="1">
        <f>$F$10</f>
        <v>-0.28090909090909078</v>
      </c>
      <c r="G42" s="1">
        <f t="shared" ref="G42:G47" si="4">(E42+F42)/2</f>
        <v>-500.14045454545453</v>
      </c>
      <c r="H42" s="1">
        <f>I42</f>
        <v>9</v>
      </c>
      <c r="I42" s="1">
        <f t="shared" ref="I42:I47" si="5">COUNTIFS($B$4:$B$53,"&gt;="&amp;E42, $B$4:$B$53, "&lt;"&amp;F42)</f>
        <v>9</v>
      </c>
      <c r="J42" s="1">
        <f t="shared" ref="J42:J47" si="6">(_xlfn.NORM.DIST(F42,$D$38,$F$38,TRUE)-_xlfn.NORM.DIST(E42,$D$38,$F$38,TRUE))*$K$4</f>
        <v>8.9207868386954203</v>
      </c>
      <c r="K42" s="1">
        <f>(J42-I42)^2/J42</f>
        <v>7.0338245239171936E-4</v>
      </c>
    </row>
    <row r="43" spans="1:11">
      <c r="A43" s="2">
        <v>1.07</v>
      </c>
      <c r="B43" s="2">
        <v>1.45</v>
      </c>
      <c r="D43" s="2">
        <v>2</v>
      </c>
      <c r="E43" s="1">
        <f>F42</f>
        <v>-0.28090909090909078</v>
      </c>
      <c r="F43" s="1">
        <f>E43+$J$4</f>
        <v>0.21818181818181831</v>
      </c>
      <c r="G43" s="1">
        <f t="shared" si="4"/>
        <v>-3.1363636363636233E-2</v>
      </c>
      <c r="H43" s="1">
        <f>H42+I43</f>
        <v>15</v>
      </c>
      <c r="I43" s="1">
        <f t="shared" si="5"/>
        <v>6</v>
      </c>
      <c r="J43" s="1">
        <f t="shared" si="6"/>
        <v>6.9910282943689017</v>
      </c>
      <c r="K43" s="1">
        <f t="shared" ref="K43:K47" si="7">(J43-I43)^2/J43</f>
        <v>0.14048535335364346</v>
      </c>
    </row>
    <row r="44" spans="1:11">
      <c r="A44" s="2">
        <v>1.32</v>
      </c>
      <c r="B44" s="2">
        <v>1.59</v>
      </c>
      <c r="D44" s="2">
        <v>3</v>
      </c>
      <c r="E44" s="1">
        <f>F43</f>
        <v>0.21818181818181831</v>
      </c>
      <c r="F44" s="1">
        <f>E44+$J$4</f>
        <v>0.7172727272727274</v>
      </c>
      <c r="G44" s="1">
        <f t="shared" si="4"/>
        <v>0.46772727272727288</v>
      </c>
      <c r="H44" s="1">
        <f>H43+I44</f>
        <v>25</v>
      </c>
      <c r="I44" s="1">
        <f t="shared" si="5"/>
        <v>10</v>
      </c>
      <c r="J44" s="1">
        <f t="shared" si="6"/>
        <v>8.6124244785569939</v>
      </c>
      <c r="K44" s="1">
        <f t="shared" si="7"/>
        <v>0.22355677341514688</v>
      </c>
    </row>
    <row r="45" spans="1:11">
      <c r="A45" s="2">
        <v>0.66</v>
      </c>
      <c r="B45" s="2">
        <v>1.88</v>
      </c>
      <c r="D45" s="2">
        <v>4</v>
      </c>
      <c r="E45" s="1">
        <f>F44</f>
        <v>0.7172727272727274</v>
      </c>
      <c r="F45" s="1">
        <f>E45+$J$4</f>
        <v>1.2163636363636365</v>
      </c>
      <c r="G45" s="1">
        <f t="shared" si="4"/>
        <v>0.96681818181818202</v>
      </c>
      <c r="H45" s="1">
        <f>H44+I45</f>
        <v>36</v>
      </c>
      <c r="I45" s="1">
        <f t="shared" si="5"/>
        <v>11</v>
      </c>
      <c r="J45" s="1">
        <f t="shared" si="6"/>
        <v>8.7035623701424232</v>
      </c>
      <c r="K45" s="1">
        <f t="shared" si="7"/>
        <v>0.60591578063679563</v>
      </c>
    </row>
    <row r="46" spans="1:11">
      <c r="A46" s="2">
        <v>-0.53</v>
      </c>
      <c r="B46" s="2">
        <v>1.88</v>
      </c>
      <c r="D46" s="2">
        <v>5</v>
      </c>
      <c r="E46" s="1">
        <f>F45</f>
        <v>1.2163636363636365</v>
      </c>
      <c r="F46" s="1">
        <f>E46+$J$4</f>
        <v>1.7154545454545456</v>
      </c>
      <c r="G46" s="1">
        <f t="shared" si="4"/>
        <v>1.4659090909090911</v>
      </c>
      <c r="H46" s="1">
        <f>H45+I46</f>
        <v>41</v>
      </c>
      <c r="I46" s="1">
        <f t="shared" si="5"/>
        <v>5</v>
      </c>
      <c r="J46" s="1">
        <f t="shared" si="6"/>
        <v>7.2153304718395148</v>
      </c>
      <c r="K46" s="1">
        <f t="shared" si="7"/>
        <v>0.6801752350241963</v>
      </c>
    </row>
    <row r="47" spans="1:11">
      <c r="A47" s="2">
        <v>-0.76</v>
      </c>
      <c r="B47" s="2">
        <v>2.0499999999999998</v>
      </c>
      <c r="D47" s="2">
        <v>6</v>
      </c>
      <c r="E47" s="1">
        <f>F46</f>
        <v>1.7154545454545456</v>
      </c>
      <c r="F47" s="1">
        <v>1000</v>
      </c>
      <c r="G47" s="1">
        <f t="shared" si="4"/>
        <v>500.85772727272729</v>
      </c>
      <c r="H47" s="1">
        <f>H46+I47</f>
        <v>50</v>
      </c>
      <c r="I47" s="1">
        <f t="shared" si="5"/>
        <v>9</v>
      </c>
      <c r="J47" s="1">
        <f t="shared" si="6"/>
        <v>9.556867546396747</v>
      </c>
      <c r="K47" s="1">
        <f t="shared" si="7"/>
        <v>3.2448023656752631E-2</v>
      </c>
    </row>
    <row r="48" spans="1:11">
      <c r="A48" s="2">
        <v>2.8</v>
      </c>
      <c r="B48" s="2">
        <v>2.37</v>
      </c>
    </row>
    <row r="49" spans="1:9">
      <c r="A49" s="2">
        <v>0.4</v>
      </c>
      <c r="B49" s="2">
        <v>2.4900000000000002</v>
      </c>
      <c r="D49" s="1" t="s">
        <v>37</v>
      </c>
      <c r="E49" s="1" t="s">
        <v>38</v>
      </c>
      <c r="F49" s="1" t="s">
        <v>39</v>
      </c>
      <c r="G49" s="1" t="s">
        <v>40</v>
      </c>
      <c r="H49" s="1" t="s">
        <v>41</v>
      </c>
      <c r="I49" s="1" t="s">
        <v>42</v>
      </c>
    </row>
    <row r="50" spans="1:9">
      <c r="A50" s="2">
        <v>0.7</v>
      </c>
      <c r="B50" s="2">
        <v>2.8</v>
      </c>
      <c r="D50" s="1">
        <f>SUM(K42:K47)</f>
        <v>1.6832845485389265</v>
      </c>
      <c r="E50" s="1">
        <f>CHIINV(F50,G50)</f>
        <v>7.8147279032511792</v>
      </c>
      <c r="F50" s="1">
        <v>0.05</v>
      </c>
      <c r="G50" s="1">
        <f>D47-2-1</f>
        <v>3</v>
      </c>
      <c r="H50" s="1">
        <v>0</v>
      </c>
      <c r="I50" s="1">
        <f>E50</f>
        <v>7.8147279032511792</v>
      </c>
    </row>
    <row r="51" spans="1:9">
      <c r="A51" s="2">
        <v>-0.68</v>
      </c>
      <c r="B51" s="2">
        <v>2.82</v>
      </c>
      <c r="D51" s="2" t="s">
        <v>43</v>
      </c>
    </row>
    <row r="52" spans="1:9">
      <c r="A52" s="2">
        <v>0.19</v>
      </c>
      <c r="B52" s="2">
        <v>2.88</v>
      </c>
      <c r="D52" s="2"/>
    </row>
    <row r="53" spans="1:9">
      <c r="A53" s="2">
        <v>-0.48</v>
      </c>
      <c r="B53" s="2">
        <v>3.21</v>
      </c>
      <c r="D53" s="2"/>
    </row>
    <row r="66" spans="3:6">
      <c r="C66" s="1" t="s">
        <v>44</v>
      </c>
    </row>
    <row r="67" spans="3:6">
      <c r="D67" s="2" t="s">
        <v>31</v>
      </c>
      <c r="E67" s="1" t="s">
        <v>32</v>
      </c>
      <c r="F67" s="2" t="s">
        <v>33</v>
      </c>
    </row>
    <row r="68" spans="3:6">
      <c r="D68" s="2">
        <f>AVERAGE(B4:B53)</f>
        <v>0.74379999999999991</v>
      </c>
      <c r="E68" s="1">
        <f>_xlfn.VAR.S(B4:B83)</f>
        <v>1.2367628163265305</v>
      </c>
      <c r="F68" s="1">
        <f>_xlfn.STDEV.S(B4:B83)</f>
        <v>1.1120983842837515</v>
      </c>
    </row>
    <row r="71" spans="3:6">
      <c r="D71" s="8" t="s">
        <v>49</v>
      </c>
    </row>
    <row r="72" spans="3:6">
      <c r="D72" s="1" t="s">
        <v>51</v>
      </c>
      <c r="E72" s="1" t="s">
        <v>45</v>
      </c>
      <c r="F72" s="1" t="s">
        <v>46</v>
      </c>
    </row>
    <row r="73" spans="3:6">
      <c r="D73" s="1">
        <f>TINV(E73,F73)</f>
        <v>2.0095752371292388</v>
      </c>
      <c r="E73" s="1">
        <v>0.05</v>
      </c>
      <c r="F73" s="1">
        <f>$K$4-1</f>
        <v>49</v>
      </c>
    </row>
    <row r="75" spans="3:6">
      <c r="D75" s="1" t="s">
        <v>52</v>
      </c>
      <c r="E75" s="1" t="s">
        <v>45</v>
      </c>
      <c r="F75" s="1" t="s">
        <v>46</v>
      </c>
    </row>
    <row r="76" spans="3:6">
      <c r="D76" s="1">
        <f>TINV(E76,F76)</f>
        <v>2.6799519736315514</v>
      </c>
      <c r="E76" s="1">
        <v>0.01</v>
      </c>
      <c r="F76" s="1">
        <f>$K$4-1</f>
        <v>49</v>
      </c>
    </row>
    <row r="78" spans="3:6">
      <c r="D78" s="1" t="s">
        <v>47</v>
      </c>
      <c r="E78" s="1" t="s">
        <v>48</v>
      </c>
    </row>
    <row r="79" spans="3:6">
      <c r="D79" s="1">
        <f>D68-D73*F68/SQRT(K4)</f>
        <v>0.42774513618467602</v>
      </c>
      <c r="E79" s="1">
        <f>D68+D73*F68/SQRT(K4)</f>
        <v>1.0598548638153238</v>
      </c>
    </row>
    <row r="81" spans="4:7">
      <c r="D81" s="1" t="s">
        <v>47</v>
      </c>
      <c r="E81" s="1" t="s">
        <v>48</v>
      </c>
    </row>
    <row r="82" spans="4:7">
      <c r="D82" s="1">
        <f>D68-D76*F68/SQRT(K4)</f>
        <v>0.32231199576497566</v>
      </c>
      <c r="E82" s="1">
        <f>D68+D76*F68/SQRT(K4)</f>
        <v>1.1652880042350242</v>
      </c>
    </row>
    <row r="84" spans="4:7">
      <c r="D84" s="8" t="s">
        <v>50</v>
      </c>
    </row>
    <row r="85" spans="4:7">
      <c r="D85" s="1" t="s">
        <v>54</v>
      </c>
      <c r="E85" s="1" t="s">
        <v>56</v>
      </c>
      <c r="F85" s="1" t="s">
        <v>53</v>
      </c>
      <c r="G85" s="1" t="s">
        <v>46</v>
      </c>
    </row>
    <row r="86" spans="4:7">
      <c r="D86" s="1">
        <f>CHIINV(1-F86,G86)</f>
        <v>31.554916462667144</v>
      </c>
      <c r="E86" s="1">
        <f>CHIINV(F86,G86)</f>
        <v>70.22241356643454</v>
      </c>
      <c r="F86" s="1">
        <v>2.5000000000000001E-2</v>
      </c>
      <c r="G86" s="1">
        <f>K4-1</f>
        <v>49</v>
      </c>
    </row>
    <row r="88" spans="4:7">
      <c r="D88" s="1" t="s">
        <v>55</v>
      </c>
      <c r="E88" s="1" t="s">
        <v>57</v>
      </c>
      <c r="F88" s="1" t="s">
        <v>53</v>
      </c>
      <c r="G88" s="1" t="s">
        <v>46</v>
      </c>
    </row>
    <row r="89" spans="4:7">
      <c r="D89" s="1">
        <f>CHIINV(1-F89,G89)</f>
        <v>27.249349069569636</v>
      </c>
      <c r="E89" s="1">
        <f>CHIINV(F89,G89)</f>
        <v>78.230708086689944</v>
      </c>
      <c r="F89" s="1">
        <v>5.0000000000000001E-3</v>
      </c>
      <c r="G89" s="1">
        <f>K4-1</f>
        <v>49</v>
      </c>
    </row>
    <row r="91" spans="4:7">
      <c r="D91" s="1" t="s">
        <v>47</v>
      </c>
      <c r="E91" s="1" t="s">
        <v>48</v>
      </c>
    </row>
    <row r="92" spans="4:7">
      <c r="D92" s="1">
        <f>((K4-1)*F68)/E86</f>
        <v>0.77600324543602317</v>
      </c>
      <c r="E92" s="1">
        <f>((K4-1)*F68)/D86</f>
        <v>1.7269201423611655</v>
      </c>
    </row>
    <row r="94" spans="4:7">
      <c r="D94" s="1" t="s">
        <v>58</v>
      </c>
      <c r="E94" s="1" t="s">
        <v>59</v>
      </c>
    </row>
    <row r="95" spans="4:7">
      <c r="D95" s="1">
        <f>((K4-1)*F68)/E89</f>
        <v>0.69656560911501142</v>
      </c>
      <c r="E95" s="1">
        <f>((K4-1)*F68)/D89</f>
        <v>1.9997843137749662</v>
      </c>
    </row>
    <row r="97" spans="3:6">
      <c r="D97" s="8" t="s">
        <v>60</v>
      </c>
    </row>
    <row r="98" spans="3:6">
      <c r="D98" s="1" t="s">
        <v>47</v>
      </c>
      <c r="E98" s="1" t="s">
        <v>48</v>
      </c>
    </row>
    <row r="99" spans="3:6">
      <c r="D99" s="1">
        <f>SQRT(D92)</f>
        <v>0.88091046391561456</v>
      </c>
      <c r="E99" s="1">
        <f>SQRT(E92)</f>
        <v>1.3141233360537989</v>
      </c>
    </row>
    <row r="101" spans="3:6">
      <c r="D101" s="1" t="s">
        <v>58</v>
      </c>
      <c r="E101" s="1" t="s">
        <v>59</v>
      </c>
    </row>
    <row r="102" spans="3:6">
      <c r="D102" s="1">
        <f>SQRT(D95)</f>
        <v>0.83460506175975913</v>
      </c>
      <c r="E102" s="1">
        <f>SQRT(E95)</f>
        <v>1.414137303720882</v>
      </c>
    </row>
    <row r="104" spans="3:6">
      <c r="C104" s="1" t="s">
        <v>61</v>
      </c>
    </row>
    <row r="105" spans="3:6">
      <c r="D105" s="1" t="s">
        <v>62</v>
      </c>
    </row>
    <row r="106" spans="3:6">
      <c r="D106" s="1">
        <f>(D68-0)/F68*SQRT(K4)</f>
        <v>4.7293120040390155</v>
      </c>
    </row>
    <row r="108" spans="3:6">
      <c r="D108" s="1" t="s">
        <v>63</v>
      </c>
      <c r="E108" s="1" t="s">
        <v>45</v>
      </c>
      <c r="F108" s="1" t="s">
        <v>46</v>
      </c>
    </row>
    <row r="109" spans="3:6">
      <c r="D109" s="1">
        <f>TINV(E109,F109)</f>
        <v>2.0095752371292388</v>
      </c>
      <c r="E109" s="1">
        <v>0.05</v>
      </c>
      <c r="F109" s="1">
        <v>49</v>
      </c>
    </row>
    <row r="111" spans="3:6">
      <c r="D111" s="1" t="s">
        <v>47</v>
      </c>
      <c r="E111" s="1" t="s">
        <v>47</v>
      </c>
    </row>
    <row r="112" spans="3:6">
      <c r="D112" s="1">
        <f>-D109</f>
        <v>-2.0095752371292388</v>
      </c>
      <c r="E112" s="1">
        <f>D109</f>
        <v>2.0095752371292388</v>
      </c>
    </row>
    <row r="114" spans="3:8">
      <c r="D114" s="1" t="s">
        <v>64</v>
      </c>
    </row>
    <row r="116" spans="3:8">
      <c r="C116" s="1" t="s">
        <v>65</v>
      </c>
    </row>
    <row r="117" spans="3:8">
      <c r="D117" s="1" t="s">
        <v>66</v>
      </c>
      <c r="E117" s="1" t="s">
        <v>67</v>
      </c>
    </row>
    <row r="118" spans="3:8">
      <c r="D118" s="2">
        <v>1.38</v>
      </c>
      <c r="E118" s="2">
        <v>0.95</v>
      </c>
    </row>
    <row r="119" spans="3:8">
      <c r="D119" s="2">
        <v>0.72</v>
      </c>
      <c r="E119" s="2">
        <v>0.97</v>
      </c>
    </row>
    <row r="120" spans="3:8">
      <c r="D120" s="2">
        <v>0.18</v>
      </c>
      <c r="E120" s="2">
        <v>-2.2799999999999998</v>
      </c>
      <c r="G120" s="1" t="s">
        <v>70</v>
      </c>
      <c r="H120" s="1" t="s">
        <v>71</v>
      </c>
    </row>
    <row r="121" spans="3:8">
      <c r="D121" s="2">
        <v>-0.11</v>
      </c>
      <c r="E121" s="2">
        <v>2.88</v>
      </c>
      <c r="F121" s="1" t="s">
        <v>68</v>
      </c>
      <c r="G121" s="1">
        <f>COUNT(D118:D137)</f>
        <v>20</v>
      </c>
      <c r="H121" s="1">
        <f>COUNT(E118:E147)</f>
        <v>30</v>
      </c>
    </row>
    <row r="122" spans="3:8">
      <c r="D122" s="2">
        <v>1.05</v>
      </c>
      <c r="E122" s="2">
        <v>0.78</v>
      </c>
      <c r="F122" s="1" t="s">
        <v>25</v>
      </c>
      <c r="G122" s="1">
        <f>AVERAGE(D118:D137)</f>
        <v>0.76849999999999996</v>
      </c>
      <c r="H122" s="1">
        <f>AVERAGE(E118:E147)</f>
        <v>0.72733333333333339</v>
      </c>
    </row>
    <row r="123" spans="3:8">
      <c r="D123" s="2">
        <v>1.45</v>
      </c>
      <c r="E123" s="2">
        <v>0.78</v>
      </c>
      <c r="F123" s="1" t="s">
        <v>29</v>
      </c>
      <c r="G123" s="1">
        <f>_xlfn.VAR.P(D118:D137)</f>
        <v>0.99937275000000003</v>
      </c>
      <c r="H123" s="1">
        <f>_xlfn.VAR.P(E118:E147)</f>
        <v>1.3531195555555553</v>
      </c>
    </row>
    <row r="124" spans="3:8">
      <c r="D124" s="2">
        <v>-0.28000000000000003</v>
      </c>
      <c r="E124" s="2">
        <v>-0.65</v>
      </c>
      <c r="F124" s="1" t="s">
        <v>69</v>
      </c>
      <c r="G124" s="1">
        <f>_xlfn.STDEV.P(D118:D137)</f>
        <v>0.99968632580424943</v>
      </c>
      <c r="H124" s="1">
        <f>_xlfn.STDEV.P(E118:E147)</f>
        <v>1.163236672201988</v>
      </c>
    </row>
    <row r="125" spans="3:8">
      <c r="D125" s="2">
        <v>2.4900000000000002</v>
      </c>
      <c r="E125" s="2">
        <v>0.39</v>
      </c>
    </row>
    <row r="126" spans="3:8">
      <c r="D126" s="2">
        <v>-0.54</v>
      </c>
      <c r="E126" s="2">
        <v>0.49</v>
      </c>
      <c r="F126" s="8" t="s">
        <v>77</v>
      </c>
    </row>
    <row r="127" spans="3:8">
      <c r="D127" s="2">
        <v>1.88</v>
      </c>
      <c r="E127" s="2">
        <v>0.86</v>
      </c>
      <c r="F127" s="1" t="s">
        <v>62</v>
      </c>
      <c r="G127" s="1">
        <f>G123/H123</f>
        <v>0.73856943822653121</v>
      </c>
    </row>
    <row r="128" spans="3:8">
      <c r="D128" s="2">
        <v>2.37</v>
      </c>
      <c r="E128" s="2">
        <v>1.88</v>
      </c>
    </row>
    <row r="129" spans="4:9">
      <c r="D129" s="2">
        <v>0.95</v>
      </c>
      <c r="E129" s="2">
        <v>0.47</v>
      </c>
      <c r="F129" s="1" t="s">
        <v>72</v>
      </c>
      <c r="G129" s="1" t="s">
        <v>45</v>
      </c>
      <c r="H129" s="1" t="s">
        <v>74</v>
      </c>
      <c r="I129" s="1" t="s">
        <v>75</v>
      </c>
    </row>
    <row r="130" spans="4:9">
      <c r="D130" s="2">
        <v>-0.55000000000000004</v>
      </c>
      <c r="E130" s="2">
        <v>0.51</v>
      </c>
      <c r="F130" s="1">
        <f>_xlfn.F.INV(G130/2,H130,I130)</f>
        <v>0.41632966758773404</v>
      </c>
      <c r="G130" s="1">
        <v>0.05</v>
      </c>
      <c r="H130" s="1">
        <f>G121-1</f>
        <v>19</v>
      </c>
      <c r="I130" s="1">
        <f>H121-1</f>
        <v>29</v>
      </c>
    </row>
    <row r="131" spans="4:9">
      <c r="D131" s="2">
        <v>2.0499999999999998</v>
      </c>
      <c r="E131" s="2">
        <v>0.93</v>
      </c>
    </row>
    <row r="132" spans="4:9">
      <c r="D132" s="2">
        <v>1.29</v>
      </c>
      <c r="E132" s="2">
        <v>3.21</v>
      </c>
      <c r="F132" s="1" t="s">
        <v>73</v>
      </c>
      <c r="G132" s="1" t="s">
        <v>45</v>
      </c>
      <c r="H132" s="1" t="s">
        <v>74</v>
      </c>
      <c r="I132" s="1" t="s">
        <v>75</v>
      </c>
    </row>
    <row r="133" spans="4:9">
      <c r="D133" s="2">
        <v>7.0000000000000007E-2</v>
      </c>
      <c r="E133" s="2">
        <v>0.6</v>
      </c>
      <c r="F133" s="1">
        <f>_xlfn.F.INV(1-G133/2,H133,I133)</f>
        <v>2.2312738331007593</v>
      </c>
      <c r="G133" s="1">
        <v>0.05</v>
      </c>
      <c r="H133" s="1">
        <f>G121-1</f>
        <v>19</v>
      </c>
      <c r="I133" s="1">
        <f>H121-1</f>
        <v>29</v>
      </c>
    </row>
    <row r="134" spans="4:9">
      <c r="D134" s="2">
        <v>1.59</v>
      </c>
      <c r="E134" s="2">
        <v>0.4</v>
      </c>
    </row>
    <row r="135" spans="4:9">
      <c r="D135" s="2">
        <v>-0.2</v>
      </c>
      <c r="E135" s="2">
        <v>1.1399999999999999</v>
      </c>
      <c r="F135" s="1" t="s">
        <v>47</v>
      </c>
      <c r="G135" s="1" t="s">
        <v>47</v>
      </c>
    </row>
    <row r="136" spans="4:9">
      <c r="D136" s="2">
        <v>-0.79</v>
      </c>
      <c r="E136" s="2">
        <v>2.82</v>
      </c>
      <c r="F136" s="1">
        <f>F130</f>
        <v>0.41632966758773404</v>
      </c>
      <c r="G136" s="1">
        <f>F133</f>
        <v>2.2312738331007593</v>
      </c>
    </row>
    <row r="137" spans="4:9">
      <c r="D137" s="2">
        <v>0.37</v>
      </c>
      <c r="E137" s="2">
        <v>1.07</v>
      </c>
    </row>
    <row r="138" spans="4:9">
      <c r="E138" s="2">
        <v>1.32</v>
      </c>
      <c r="F138" s="1" t="s">
        <v>76</v>
      </c>
    </row>
    <row r="139" spans="4:9">
      <c r="E139" s="2">
        <v>0.66</v>
      </c>
    </row>
    <row r="140" spans="4:9">
      <c r="E140" s="2">
        <v>-0.53</v>
      </c>
      <c r="F140" s="8" t="s">
        <v>78</v>
      </c>
    </row>
    <row r="141" spans="4:9">
      <c r="E141" s="2">
        <v>-0.76</v>
      </c>
    </row>
    <row r="142" spans="4:9">
      <c r="E142" s="2">
        <v>2.8</v>
      </c>
      <c r="F142" s="1" t="s">
        <v>62</v>
      </c>
      <c r="G142" s="1">
        <f>(G122-H122-0)/SQRT((G121-1)*G123+(H121-1)*H123)*SQRT(G121*H121*(G121+H121-2)/(G121+H121))</f>
        <v>0.1294759061703781</v>
      </c>
    </row>
    <row r="143" spans="4:9">
      <c r="E143" s="2">
        <v>0.4</v>
      </c>
    </row>
    <row r="144" spans="4:9">
      <c r="E144" s="2">
        <v>0.7</v>
      </c>
      <c r="F144" s="1" t="s">
        <v>79</v>
      </c>
      <c r="G144" s="1" t="s">
        <v>45</v>
      </c>
      <c r="H144" s="1" t="s">
        <v>46</v>
      </c>
    </row>
    <row r="145" spans="5:8">
      <c r="E145" s="2">
        <v>-0.68</v>
      </c>
      <c r="F145" s="1">
        <f>_xlfn.T.INV(1-G145/2,H145)</f>
        <v>2.0106347576242314</v>
      </c>
      <c r="G145" s="1">
        <v>0.05</v>
      </c>
      <c r="H145" s="1">
        <f>G121+H121-2</f>
        <v>48</v>
      </c>
    </row>
    <row r="146" spans="5:8">
      <c r="E146" s="2">
        <v>0.19</v>
      </c>
    </row>
    <row r="147" spans="5:8">
      <c r="E147" s="2">
        <v>-0.48</v>
      </c>
      <c r="F147" s="1" t="s">
        <v>47</v>
      </c>
      <c r="G147" s="1" t="s">
        <v>48</v>
      </c>
    </row>
    <row r="148" spans="5:8">
      <c r="E148" s="9"/>
      <c r="F148" s="1">
        <f>-F145</f>
        <v>-2.0106347576242314</v>
      </c>
      <c r="G148" s="1">
        <f>F145</f>
        <v>2.0106347576242314</v>
      </c>
    </row>
    <row r="149" spans="5:8">
      <c r="E149" s="9"/>
    </row>
    <row r="150" spans="5:8">
      <c r="E150" s="9"/>
      <c r="F150" s="1" t="s">
        <v>76</v>
      </c>
    </row>
  </sheetData>
  <sortState xmlns:xlrd2="http://schemas.microsoft.com/office/spreadsheetml/2017/richdata2" ref="E21:E31">
    <sortCondition ref="E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E510-A1CE-BE4A-9AC5-4C4E12E5BBAD}">
  <dimension ref="A1:R58"/>
  <sheetViews>
    <sheetView tabSelected="1" zoomScaleNormal="100" workbookViewId="0">
      <selection activeCell="G32" sqref="G32"/>
    </sheetView>
  </sheetViews>
  <sheetFormatPr baseColWidth="10" defaultColWidth="8.83203125" defaultRowHeight="15"/>
  <cols>
    <col min="1" max="1" width="14.6640625" style="12" bestFit="1" customWidth="1"/>
    <col min="2" max="2" width="18" style="12" bestFit="1" customWidth="1"/>
    <col min="3" max="3" width="11.6640625" style="12" customWidth="1"/>
    <col min="4" max="4" width="11.6640625" style="12" bestFit="1" customWidth="1"/>
    <col min="5" max="5" width="22.33203125" style="12" customWidth="1"/>
    <col min="6" max="6" width="8.83203125" style="12"/>
    <col min="7" max="7" width="14.6640625" style="12" bestFit="1" customWidth="1"/>
    <col min="8" max="8" width="13.33203125" style="12" bestFit="1" customWidth="1"/>
    <col min="9" max="9" width="8.83203125" style="12"/>
    <col min="10" max="11" width="8.6640625" style="12" customWidth="1"/>
    <col min="12" max="12" width="9" style="12" customWidth="1"/>
    <col min="13" max="13" width="7.33203125" style="12" customWidth="1"/>
    <col min="14" max="14" width="12.1640625" style="12" bestFit="1" customWidth="1"/>
    <col min="15" max="15" width="20.1640625" style="12" bestFit="1" customWidth="1"/>
    <col min="16" max="16" width="12.1640625" style="12" bestFit="1" customWidth="1"/>
    <col min="17" max="17" width="12.83203125" style="12" bestFit="1" customWidth="1"/>
    <col min="18" max="18" width="12.5" style="12" bestFit="1" customWidth="1"/>
    <col min="19" max="16384" width="8.83203125" style="12"/>
  </cols>
  <sheetData>
    <row r="1" spans="1:15" ht="25" thickBot="1">
      <c r="A1" s="10">
        <v>6</v>
      </c>
      <c r="B1" s="11"/>
      <c r="G1" s="12" t="s">
        <v>111</v>
      </c>
    </row>
    <row r="2" spans="1:15" ht="16">
      <c r="A2" s="13" t="s">
        <v>4</v>
      </c>
      <c r="B2" s="14"/>
      <c r="G2" s="15" t="s">
        <v>110</v>
      </c>
      <c r="H2" s="15" t="s">
        <v>109</v>
      </c>
      <c r="I2" s="16" t="s">
        <v>108</v>
      </c>
      <c r="J2" s="17"/>
      <c r="K2" s="16" t="s">
        <v>107</v>
      </c>
      <c r="L2" s="17"/>
      <c r="M2" s="18" t="s">
        <v>106</v>
      </c>
    </row>
    <row r="3" spans="1:15" ht="17" thickBot="1">
      <c r="A3" s="19" t="s">
        <v>1</v>
      </c>
      <c r="B3" s="20" t="s">
        <v>2</v>
      </c>
      <c r="D3" s="12" t="s">
        <v>24</v>
      </c>
      <c r="G3" s="21"/>
      <c r="H3" s="21"/>
      <c r="I3" s="22" t="s">
        <v>122</v>
      </c>
      <c r="J3" s="23" t="s">
        <v>123</v>
      </c>
      <c r="K3" s="22" t="s">
        <v>122</v>
      </c>
      <c r="L3" s="23" t="s">
        <v>123</v>
      </c>
      <c r="M3" s="24"/>
    </row>
    <row r="4" spans="1:15" ht="15.75" customHeight="1" thickBot="1">
      <c r="A4" s="2">
        <v>150</v>
      </c>
      <c r="B4" s="36">
        <v>50.439765218123881</v>
      </c>
      <c r="D4" s="25" t="s">
        <v>86</v>
      </c>
      <c r="E4" s="26">
        <f>(ABS(B30) * SQRT(B24 - 2)) / SQRT(1 - POWER(B30, 2))</f>
        <v>13.270020456314787</v>
      </c>
      <c r="G4" s="27">
        <f>A4</f>
        <v>150</v>
      </c>
      <c r="H4" s="28">
        <f t="shared" ref="H4:H23" si="0">$E$14 + $E$13 * G4</f>
        <v>49.102002736813347</v>
      </c>
      <c r="I4" s="29">
        <f>H4 - $E$5 * SQRT($E$16) * SQRT(M4)</f>
        <v>44.901265229211752</v>
      </c>
      <c r="J4" s="29">
        <f t="shared" ref="J4:J23" si="1">H4 + $E$5 * SQRT($E$16) * SQRT(M4)</f>
        <v>53.302740244414942</v>
      </c>
      <c r="K4" s="29">
        <f t="shared" ref="K4:K23" si="2">H4 - $E$5 * SQRT($E$16) * SQRT(M4 + 1)</f>
        <v>36.119538409109531</v>
      </c>
      <c r="L4" s="29">
        <f t="shared" ref="L4:L23" si="3">H4 + $E$5 * SQRT($E$16) * SQRT(M4 + 1)</f>
        <v>62.084467064517163</v>
      </c>
      <c r="M4" s="30">
        <f>1 / $B$24 + ($B$24 * (G4 - $B$25)^2) / $E$10</f>
        <v>0.1169410730585889</v>
      </c>
    </row>
    <row r="5" spans="1:15" ht="16" thickBot="1">
      <c r="A5" s="2">
        <v>177</v>
      </c>
      <c r="B5" s="36">
        <v>73.187912440909315</v>
      </c>
      <c r="D5" s="25" t="s">
        <v>105</v>
      </c>
      <c r="E5" s="26">
        <v>2.1009220370000001</v>
      </c>
      <c r="G5" s="27">
        <f t="shared" ref="G5:G23" si="4">A5</f>
        <v>177</v>
      </c>
      <c r="H5" s="31">
        <f t="shared" si="0"/>
        <v>76.339091472360252</v>
      </c>
      <c r="I5" s="32">
        <f t="shared" ref="I4:I23" si="5">H5 - $E$5 * SQRT($E$16) * SQRT(M5)</f>
        <v>73.367433668989747</v>
      </c>
      <c r="J5" s="32">
        <f t="shared" si="1"/>
        <v>79.310749275730757</v>
      </c>
      <c r="K5" s="32">
        <f t="shared" si="2"/>
        <v>63.700700177869322</v>
      </c>
      <c r="L5" s="32">
        <f t="shared" si="3"/>
        <v>88.977482766851182</v>
      </c>
      <c r="M5" s="30">
        <f t="shared" ref="M4:M23" si="6">1 / $B$24 + ($B$24 * (G5 - $B$25)^2) / $E$10</f>
        <v>5.85212481828324E-2</v>
      </c>
    </row>
    <row r="6" spans="1:15" ht="16" thickBot="1">
      <c r="A6" s="2">
        <v>154</v>
      </c>
      <c r="B6" s="36">
        <v>53.223118804124248</v>
      </c>
      <c r="D6" s="25" t="s">
        <v>104</v>
      </c>
      <c r="E6" s="26" t="s">
        <v>103</v>
      </c>
      <c r="G6" s="27">
        <f t="shared" si="4"/>
        <v>154</v>
      </c>
      <c r="H6" s="31">
        <f t="shared" si="0"/>
        <v>53.137126993931389</v>
      </c>
      <c r="I6" s="32">
        <f t="shared" si="5"/>
        <v>49.396338382306183</v>
      </c>
      <c r="J6" s="32">
        <f t="shared" si="1"/>
        <v>56.877915605556595</v>
      </c>
      <c r="K6" s="32">
        <f t="shared" si="2"/>
        <v>40.296111307888637</v>
      </c>
      <c r="L6" s="32">
        <f t="shared" si="3"/>
        <v>65.978142679974141</v>
      </c>
      <c r="M6" s="30">
        <f t="shared" si="6"/>
        <v>9.273471043645834E-2</v>
      </c>
    </row>
    <row r="7" spans="1:15" ht="16" thickBot="1">
      <c r="A7" s="2">
        <v>152</v>
      </c>
      <c r="B7" s="36">
        <v>43.763103903511222</v>
      </c>
      <c r="D7" s="25"/>
      <c r="E7" s="37" t="s">
        <v>112</v>
      </c>
      <c r="G7" s="27">
        <f t="shared" si="4"/>
        <v>152</v>
      </c>
      <c r="H7" s="31">
        <f t="shared" si="0"/>
        <v>51.119564865372354</v>
      </c>
      <c r="I7" s="32">
        <f t="shared" si="5"/>
        <v>47.154994661299938</v>
      </c>
      <c r="J7" s="32">
        <f t="shared" si="1"/>
        <v>55.08413506944477</v>
      </c>
      <c r="K7" s="32">
        <f t="shared" si="2"/>
        <v>38.211582787783698</v>
      </c>
      <c r="L7" s="32">
        <f t="shared" si="3"/>
        <v>64.02754694296101</v>
      </c>
      <c r="M7" s="30">
        <f t="shared" si="6"/>
        <v>0.10416173636701717</v>
      </c>
    </row>
    <row r="8" spans="1:15" ht="16" thickBot="1">
      <c r="A8" s="2">
        <v>169</v>
      </c>
      <c r="B8" s="36">
        <v>68.508636005000128</v>
      </c>
      <c r="D8" s="25"/>
      <c r="E8" s="26"/>
      <c r="G8" s="27">
        <f t="shared" si="4"/>
        <v>169</v>
      </c>
      <c r="H8" s="31">
        <f t="shared" si="0"/>
        <v>68.268842958124139</v>
      </c>
      <c r="I8" s="32">
        <f t="shared" si="5"/>
        <v>65.518284756408605</v>
      </c>
      <c r="J8" s="32">
        <f t="shared" si="1"/>
        <v>71.019401159839674</v>
      </c>
      <c r="K8" s="32">
        <f t="shared" si="2"/>
        <v>55.680604207871745</v>
      </c>
      <c r="L8" s="32">
        <f t="shared" si="3"/>
        <v>80.857081708376526</v>
      </c>
      <c r="M8" s="30">
        <f t="shared" si="6"/>
        <v>5.0136921464552557E-2</v>
      </c>
    </row>
    <row r="9" spans="1:15" ht="16" thickBot="1">
      <c r="A9" s="2">
        <v>200</v>
      </c>
      <c r="B9" s="36">
        <v>94.464449979056482</v>
      </c>
      <c r="D9" s="25" t="s">
        <v>30</v>
      </c>
      <c r="E9" s="26"/>
      <c r="G9" s="27">
        <f t="shared" si="4"/>
        <v>200</v>
      </c>
      <c r="H9" s="31">
        <f t="shared" si="0"/>
        <v>99.541055950789143</v>
      </c>
      <c r="I9" s="32">
        <f t="shared" si="5"/>
        <v>94.004351193589258</v>
      </c>
      <c r="J9" s="32">
        <f t="shared" si="1"/>
        <v>105.07776070798903</v>
      </c>
      <c r="K9" s="32">
        <f t="shared" si="2"/>
        <v>86.066884956596923</v>
      </c>
      <c r="L9" s="32">
        <f t="shared" si="3"/>
        <v>113.01522694498136</v>
      </c>
      <c r="M9" s="30">
        <f t="shared" si="6"/>
        <v>0.20315088407315995</v>
      </c>
    </row>
    <row r="10" spans="1:15" ht="16" thickBot="1">
      <c r="A10" s="2">
        <v>196</v>
      </c>
      <c r="B10" s="36">
        <v>99.424545369522093</v>
      </c>
      <c r="D10" s="25" t="s">
        <v>102</v>
      </c>
      <c r="E10" s="26">
        <f>B24 * B27 - POWER(B31,2)</f>
        <v>118316</v>
      </c>
      <c r="G10" s="27">
        <f t="shared" si="4"/>
        <v>196</v>
      </c>
      <c r="H10" s="31">
        <f t="shared" si="0"/>
        <v>95.505931693671073</v>
      </c>
      <c r="I10" s="32">
        <f t="shared" si="5"/>
        <v>90.513840071535796</v>
      </c>
      <c r="J10" s="32">
        <f t="shared" si="1"/>
        <v>100.49802331580635</v>
      </c>
      <c r="K10" s="32">
        <f t="shared" si="2"/>
        <v>82.246249828101128</v>
      </c>
      <c r="L10" s="32">
        <f t="shared" si="3"/>
        <v>108.76561355924102</v>
      </c>
      <c r="M10" s="30">
        <f t="shared" si="6"/>
        <v>0.16515095168869801</v>
      </c>
    </row>
    <row r="11" spans="1:15" ht="16" thickBot="1">
      <c r="A11" s="2">
        <v>181</v>
      </c>
      <c r="B11" s="36">
        <v>73.703292268249257</v>
      </c>
      <c r="D11" s="25"/>
      <c r="E11" s="26"/>
      <c r="G11" s="27">
        <f t="shared" si="4"/>
        <v>181</v>
      </c>
      <c r="H11" s="31">
        <f t="shared" si="0"/>
        <v>80.374215729478323</v>
      </c>
      <c r="I11" s="32">
        <f t="shared" si="5"/>
        <v>77.105009805775197</v>
      </c>
      <c r="J11" s="32">
        <f t="shared" si="1"/>
        <v>83.643421653181449</v>
      </c>
      <c r="K11" s="32">
        <f t="shared" si="2"/>
        <v>67.662571784499889</v>
      </c>
      <c r="L11" s="32">
        <f t="shared" si="3"/>
        <v>93.085859674456756</v>
      </c>
      <c r="M11" s="30">
        <f t="shared" si="6"/>
        <v>7.0827276108049619E-2</v>
      </c>
    </row>
    <row r="12" spans="1:15" ht="16" thickBot="1">
      <c r="A12" s="2">
        <v>152</v>
      </c>
      <c r="B12" s="36">
        <v>49.888221905129662</v>
      </c>
      <c r="D12" s="25" t="s">
        <v>101</v>
      </c>
      <c r="E12" s="26"/>
      <c r="G12" s="27">
        <f t="shared" si="4"/>
        <v>152</v>
      </c>
      <c r="H12" s="31">
        <f t="shared" si="0"/>
        <v>51.119564865372354</v>
      </c>
      <c r="I12" s="32">
        <f t="shared" si="5"/>
        <v>47.154994661299938</v>
      </c>
      <c r="J12" s="32">
        <f t="shared" si="1"/>
        <v>55.08413506944477</v>
      </c>
      <c r="K12" s="32">
        <f t="shared" si="2"/>
        <v>38.211582787783698</v>
      </c>
      <c r="L12" s="32">
        <f t="shared" si="3"/>
        <v>64.02754694296101</v>
      </c>
      <c r="M12" s="30">
        <f t="shared" si="6"/>
        <v>0.10416173636701717</v>
      </c>
    </row>
    <row r="13" spans="1:15" ht="16" thickBot="1">
      <c r="A13" s="2">
        <v>172</v>
      </c>
      <c r="B13" s="36">
        <v>73.995890168108957</v>
      </c>
      <c r="D13" s="25" t="s">
        <v>100</v>
      </c>
      <c r="E13" s="26">
        <f>(1 / E10) * (B24 * B29 - B31 * B32)</f>
        <v>1.0087810642795159</v>
      </c>
      <c r="G13" s="27">
        <f t="shared" si="4"/>
        <v>172</v>
      </c>
      <c r="H13" s="31">
        <f t="shared" si="0"/>
        <v>71.295186150962678</v>
      </c>
      <c r="I13" s="32">
        <f t="shared" si="5"/>
        <v>68.527985764580478</v>
      </c>
      <c r="J13" s="32">
        <f t="shared" si="1"/>
        <v>74.062386537344878</v>
      </c>
      <c r="K13" s="32">
        <f t="shared" si="2"/>
        <v>58.703300573705988</v>
      </c>
      <c r="L13" s="32">
        <f t="shared" si="3"/>
        <v>83.887071728219368</v>
      </c>
      <c r="M13" s="30">
        <f t="shared" si="6"/>
        <v>5.0745461307008348E-2</v>
      </c>
    </row>
    <row r="14" spans="1:15" ht="16" thickBot="1">
      <c r="A14" s="2">
        <v>152</v>
      </c>
      <c r="B14" s="36">
        <v>58.037306645999138</v>
      </c>
      <c r="D14" s="25" t="s">
        <v>99</v>
      </c>
      <c r="E14" s="26">
        <f>B26 - E13 * B25</f>
        <v>-102.21515690511404</v>
      </c>
      <c r="G14" s="27">
        <f t="shared" si="4"/>
        <v>152</v>
      </c>
      <c r="H14" s="31">
        <f t="shared" si="0"/>
        <v>51.119564865372354</v>
      </c>
      <c r="I14" s="32">
        <f t="shared" si="5"/>
        <v>47.154994661299938</v>
      </c>
      <c r="J14" s="32">
        <f t="shared" si="1"/>
        <v>55.08413506944477</v>
      </c>
      <c r="K14" s="32">
        <f t="shared" si="2"/>
        <v>38.211582787783698</v>
      </c>
      <c r="L14" s="32">
        <f t="shared" si="3"/>
        <v>64.02754694296101</v>
      </c>
      <c r="M14" s="30">
        <f t="shared" si="6"/>
        <v>0.10416173636701717</v>
      </c>
      <c r="N14" s="33"/>
      <c r="O14" s="33"/>
    </row>
    <row r="15" spans="1:15" ht="16" thickBot="1">
      <c r="A15" s="2">
        <v>150</v>
      </c>
      <c r="B15" s="36">
        <v>46.007799123494053</v>
      </c>
      <c r="D15" s="25" t="s">
        <v>98</v>
      </c>
      <c r="E15" s="26">
        <f>B28 - E14 * B32 - E13 * B29</f>
        <v>615.37046259760973</v>
      </c>
      <c r="G15" s="27">
        <f t="shared" si="4"/>
        <v>150</v>
      </c>
      <c r="H15" s="31">
        <f t="shared" si="0"/>
        <v>49.102002736813347</v>
      </c>
      <c r="I15" s="32">
        <f t="shared" si="5"/>
        <v>44.901265229211752</v>
      </c>
      <c r="J15" s="32">
        <f t="shared" si="1"/>
        <v>53.302740244414942</v>
      </c>
      <c r="K15" s="32">
        <f t="shared" si="2"/>
        <v>36.119538409109531</v>
      </c>
      <c r="L15" s="32">
        <f t="shared" si="3"/>
        <v>62.084467064517163</v>
      </c>
      <c r="M15" s="30">
        <f t="shared" si="6"/>
        <v>0.1169410730585889</v>
      </c>
    </row>
    <row r="16" spans="1:15" ht="16" thickBot="1">
      <c r="A16" s="2">
        <v>178</v>
      </c>
      <c r="B16" s="36">
        <v>77.631893722862657</v>
      </c>
      <c r="D16" s="25" t="s">
        <v>97</v>
      </c>
      <c r="E16" s="26">
        <f>E15 / (20 - 2)</f>
        <v>34.187247922089426</v>
      </c>
      <c r="G16" s="27">
        <f t="shared" si="4"/>
        <v>178</v>
      </c>
      <c r="H16" s="31">
        <f t="shared" si="0"/>
        <v>77.347872536639784</v>
      </c>
      <c r="I16" s="32">
        <f t="shared" si="5"/>
        <v>74.311679780296856</v>
      </c>
      <c r="J16" s="32">
        <f t="shared" si="1"/>
        <v>80.384065292982712</v>
      </c>
      <c r="K16" s="32">
        <f t="shared" si="2"/>
        <v>64.694151705753697</v>
      </c>
      <c r="L16" s="32">
        <f t="shared" si="3"/>
        <v>90.001593367525871</v>
      </c>
      <c r="M16" s="30">
        <f t="shared" si="6"/>
        <v>6.1090638628756876E-2</v>
      </c>
    </row>
    <row r="17" spans="1:18" ht="16" thickBot="1">
      <c r="A17" s="2">
        <v>154</v>
      </c>
      <c r="B17" s="36">
        <v>57.209055967964801</v>
      </c>
      <c r="D17" s="25"/>
      <c r="E17" s="26"/>
      <c r="G17" s="27">
        <f t="shared" si="4"/>
        <v>154</v>
      </c>
      <c r="H17" s="31">
        <f t="shared" si="0"/>
        <v>53.137126993931389</v>
      </c>
      <c r="I17" s="32">
        <f t="shared" si="5"/>
        <v>49.396338382306183</v>
      </c>
      <c r="J17" s="32">
        <f t="shared" si="1"/>
        <v>56.877915605556595</v>
      </c>
      <c r="K17" s="32">
        <f t="shared" si="2"/>
        <v>40.296111307888637</v>
      </c>
      <c r="L17" s="32">
        <f t="shared" si="3"/>
        <v>65.978142679974141</v>
      </c>
      <c r="M17" s="30">
        <f t="shared" si="6"/>
        <v>9.273471043645834E-2</v>
      </c>
    </row>
    <row r="18" spans="1:18" ht="16" thickBot="1">
      <c r="A18" s="2">
        <v>190</v>
      </c>
      <c r="B18" s="36">
        <v>90.179853518718915</v>
      </c>
      <c r="D18" s="25" t="s">
        <v>96</v>
      </c>
      <c r="E18" s="26"/>
      <c r="G18" s="27">
        <f t="shared" si="4"/>
        <v>190</v>
      </c>
      <c r="H18" s="31">
        <f t="shared" si="0"/>
        <v>89.453245307993967</v>
      </c>
      <c r="I18" s="32">
        <f t="shared" si="5"/>
        <v>85.228288876695657</v>
      </c>
      <c r="J18" s="32">
        <f t="shared" si="1"/>
        <v>93.678201739292277</v>
      </c>
      <c r="K18" s="32">
        <f t="shared" si="2"/>
        <v>76.462924247346535</v>
      </c>
      <c r="L18" s="32">
        <f t="shared" si="3"/>
        <v>102.4435663686414</v>
      </c>
      <c r="M18" s="30">
        <f t="shared" si="6"/>
        <v>0.11829338381960171</v>
      </c>
    </row>
    <row r="19" spans="1:18" ht="16" thickBot="1">
      <c r="A19" s="2">
        <v>195</v>
      </c>
      <c r="B19" s="36">
        <v>98.141602375765785</v>
      </c>
      <c r="D19" s="25" t="s">
        <v>95</v>
      </c>
      <c r="E19" s="26">
        <v>-100</v>
      </c>
      <c r="G19" s="27">
        <f t="shared" si="4"/>
        <v>195</v>
      </c>
      <c r="H19" s="31">
        <f t="shared" si="0"/>
        <v>94.497150629391541</v>
      </c>
      <c r="I19" s="32">
        <f t="shared" si="5"/>
        <v>89.637625257838749</v>
      </c>
      <c r="J19" s="32">
        <f t="shared" si="1"/>
        <v>99.356676000944333</v>
      </c>
      <c r="K19" s="32">
        <f t="shared" si="2"/>
        <v>81.286807286045146</v>
      </c>
      <c r="L19" s="32">
        <f t="shared" si="3"/>
        <v>107.70749397273794</v>
      </c>
      <c r="M19" s="30">
        <f t="shared" si="6"/>
        <v>0.1564961628182156</v>
      </c>
      <c r="N19" s="33"/>
      <c r="O19" s="33"/>
      <c r="P19" s="33"/>
      <c r="Q19" s="33"/>
      <c r="R19" s="33"/>
    </row>
    <row r="20" spans="1:18" ht="16" thickBot="1">
      <c r="A20" s="2">
        <v>182</v>
      </c>
      <c r="B20" s="36">
        <v>79.708734856183924</v>
      </c>
      <c r="D20" s="25" t="s">
        <v>94</v>
      </c>
      <c r="E20" s="26">
        <v>-100</v>
      </c>
      <c r="G20" s="27">
        <f t="shared" si="4"/>
        <v>182</v>
      </c>
      <c r="H20" s="31">
        <f t="shared" si="0"/>
        <v>81.382996793757854</v>
      </c>
      <c r="I20" s="32">
        <f t="shared" si="5"/>
        <v>78.024502344825407</v>
      </c>
      <c r="J20" s="32">
        <f t="shared" si="1"/>
        <v>84.741491242690302</v>
      </c>
      <c r="K20" s="32">
        <f t="shared" si="2"/>
        <v>68.64809713275379</v>
      </c>
      <c r="L20" s="32">
        <f t="shared" si="3"/>
        <v>94.117896454761919</v>
      </c>
      <c r="M20" s="30">
        <f t="shared" si="6"/>
        <v>7.4748977314986961E-2</v>
      </c>
    </row>
    <row r="21" spans="1:18" ht="16" thickBot="1">
      <c r="A21" s="2">
        <v>184</v>
      </c>
      <c r="B21" s="36">
        <v>88.405863665316872</v>
      </c>
      <c r="D21" s="25" t="s">
        <v>93</v>
      </c>
      <c r="E21" s="26">
        <f>B27 / E10</f>
        <v>4.9294769938131786</v>
      </c>
      <c r="G21" s="27">
        <f t="shared" si="4"/>
        <v>184</v>
      </c>
      <c r="H21" s="31">
        <f t="shared" si="0"/>
        <v>83.400558922316861</v>
      </c>
      <c r="I21" s="32">
        <f t="shared" si="5"/>
        <v>79.848645905880844</v>
      </c>
      <c r="J21" s="32">
        <f t="shared" si="1"/>
        <v>86.952471938752879</v>
      </c>
      <c r="K21" s="32">
        <f t="shared" si="2"/>
        <v>70.613289061683631</v>
      </c>
      <c r="L21" s="32">
        <f t="shared" si="3"/>
        <v>96.187828782950092</v>
      </c>
      <c r="M21" s="30">
        <f t="shared" si="6"/>
        <v>8.3606612799621324E-2</v>
      </c>
    </row>
    <row r="22" spans="1:18" ht="16" thickBot="1">
      <c r="A22" s="2">
        <v>156</v>
      </c>
      <c r="B22" s="36">
        <v>41.795669608995773</v>
      </c>
      <c r="D22" s="25" t="s">
        <v>86</v>
      </c>
      <c r="E22" s="26">
        <f>(E14 - E19) / (SQRT(E16) * SQRT(E21))</f>
        <v>-0.17063652613948144</v>
      </c>
      <c r="G22" s="27">
        <f t="shared" si="4"/>
        <v>156</v>
      </c>
      <c r="H22" s="31">
        <f t="shared" si="0"/>
        <v>55.154689122490424</v>
      </c>
      <c r="I22" s="32">
        <f t="shared" si="5"/>
        <v>51.622941225300004</v>
      </c>
      <c r="J22" s="32">
        <f t="shared" si="1"/>
        <v>58.686437019680845</v>
      </c>
      <c r="K22" s="32">
        <f t="shared" si="2"/>
        <v>42.373005836567543</v>
      </c>
      <c r="L22" s="32">
        <f t="shared" si="3"/>
        <v>67.936372408413305</v>
      </c>
      <c r="M22" s="30">
        <f t="shared" si="6"/>
        <v>8.2659995266912367E-2</v>
      </c>
    </row>
    <row r="23" spans="1:18" ht="16" thickBot="1">
      <c r="A23" s="2">
        <v>154</v>
      </c>
      <c r="B23" s="36">
        <v>65.818202772477463</v>
      </c>
      <c r="D23" s="25" t="s">
        <v>84</v>
      </c>
      <c r="E23" s="26" t="s">
        <v>83</v>
      </c>
      <c r="G23" s="27">
        <f t="shared" si="4"/>
        <v>154</v>
      </c>
      <c r="H23" s="34">
        <f t="shared" si="0"/>
        <v>53.137126993931389</v>
      </c>
      <c r="I23" s="35">
        <f t="shared" si="5"/>
        <v>49.396338382306183</v>
      </c>
      <c r="J23" s="35">
        <f t="shared" si="1"/>
        <v>56.877915605556595</v>
      </c>
      <c r="K23" s="35">
        <f t="shared" si="2"/>
        <v>40.296111307888637</v>
      </c>
      <c r="L23" s="35">
        <f t="shared" si="3"/>
        <v>65.978142679974141</v>
      </c>
      <c r="M23" s="30">
        <f t="shared" si="6"/>
        <v>9.273471043645834E-2</v>
      </c>
    </row>
    <row r="24" spans="1:18">
      <c r="A24" s="25" t="s">
        <v>68</v>
      </c>
      <c r="B24" s="26">
        <f>COUNT(A4:A23)</f>
        <v>20</v>
      </c>
      <c r="E24" s="25" t="s">
        <v>121</v>
      </c>
    </row>
    <row r="25" spans="1:18">
      <c r="A25" s="25" t="s">
        <v>119</v>
      </c>
      <c r="B25" s="26">
        <f>AVERAGE(A4:A23)</f>
        <v>169.9</v>
      </c>
      <c r="D25" s="25"/>
    </row>
    <row r="26" spans="1:18">
      <c r="A26" s="25" t="s">
        <v>120</v>
      </c>
      <c r="B26" s="26">
        <f>AVERAGE(B4:B23)</f>
        <v>69.176745915975715</v>
      </c>
      <c r="D26" s="25" t="s">
        <v>92</v>
      </c>
      <c r="E26" s="26">
        <v>1</v>
      </c>
    </row>
    <row r="27" spans="1:18">
      <c r="A27" s="25" t="s">
        <v>91</v>
      </c>
      <c r="B27" s="26">
        <f>SUMSQ(A4:A23)</f>
        <v>583236</v>
      </c>
      <c r="D27" s="25" t="s">
        <v>90</v>
      </c>
      <c r="E27" s="26">
        <v>1</v>
      </c>
      <c r="J27" s="33"/>
      <c r="K27" s="33"/>
      <c r="L27" s="33"/>
      <c r="M27" s="33"/>
      <c r="O27" s="33"/>
      <c r="P27" s="33"/>
    </row>
    <row r="28" spans="1:18">
      <c r="A28" s="25" t="s">
        <v>89</v>
      </c>
      <c r="B28" s="26">
        <f>SUMSQ(B4:B23)</f>
        <v>102343.96416331873</v>
      </c>
      <c r="D28" s="25" t="s">
        <v>88</v>
      </c>
      <c r="E28" s="26">
        <f>B24 / E10</f>
        <v>1.690388451266101E-4</v>
      </c>
    </row>
    <row r="29" spans="1:18">
      <c r="A29" s="25" t="s">
        <v>87</v>
      </c>
      <c r="B29" s="26">
        <f>SUMPRODUCT(A4:A23,B4:B23)</f>
        <v>241030.32964255026</v>
      </c>
      <c r="D29" s="25" t="s">
        <v>86</v>
      </c>
      <c r="E29" s="26">
        <f>(E13 - E26) / (SQRT(E16) * SQRT(E28))</f>
        <v>0.11551059664328837</v>
      </c>
    </row>
    <row r="30" spans="1:18">
      <c r="A30" s="25" t="s">
        <v>85</v>
      </c>
      <c r="B30" s="26">
        <f>(B29 - B24 * B25 * B26) / SQRT((B27 - B24 * POWER(B25,2)) * (B28 - B24 * POWER(B26,2)))</f>
        <v>0.95250257944509309</v>
      </c>
      <c r="D30" s="25" t="s">
        <v>84</v>
      </c>
      <c r="E30" s="26" t="s">
        <v>83</v>
      </c>
    </row>
    <row r="31" spans="1:18">
      <c r="A31" s="25" t="s">
        <v>82</v>
      </c>
      <c r="B31" s="26">
        <f>SUM(A4:A23)</f>
        <v>3398</v>
      </c>
      <c r="E31" s="25" t="s">
        <v>81</v>
      </c>
    </row>
    <row r="32" spans="1:18">
      <c r="A32" s="25" t="s">
        <v>80</v>
      </c>
      <c r="B32" s="26">
        <f>SUM(B4:B23)</f>
        <v>1383.5349183195144</v>
      </c>
    </row>
    <row r="33" spans="1:5">
      <c r="A33" s="25"/>
      <c r="B33" s="26"/>
    </row>
    <row r="34" spans="1:5">
      <c r="A34" s="25"/>
      <c r="B34" s="26"/>
    </row>
    <row r="35" spans="1:5">
      <c r="A35" s="25"/>
      <c r="B35" s="26"/>
    </row>
    <row r="36" spans="1:5">
      <c r="A36" s="39" t="s">
        <v>113</v>
      </c>
      <c r="B36" s="37" t="s">
        <v>114</v>
      </c>
      <c r="C36" s="40" t="s">
        <v>115</v>
      </c>
      <c r="D36" s="40" t="s">
        <v>116</v>
      </c>
      <c r="E36" s="40" t="s">
        <v>117</v>
      </c>
    </row>
    <row r="37" spans="1:5">
      <c r="A37" s="25">
        <f>A4</f>
        <v>150</v>
      </c>
      <c r="B37" s="38">
        <f>B4</f>
        <v>50.439765218123881</v>
      </c>
      <c r="C37" s="12">
        <f>A37^2</f>
        <v>22500</v>
      </c>
      <c r="D37" s="12">
        <f>B37^2</f>
        <v>2544.1699152594597</v>
      </c>
      <c r="E37" s="12">
        <f>A37*B37</f>
        <v>7565.9647827185818</v>
      </c>
    </row>
    <row r="38" spans="1:5">
      <c r="A38" s="25">
        <f t="shared" ref="A38:B55" si="7">A5</f>
        <v>177</v>
      </c>
      <c r="B38" s="38">
        <f t="shared" si="7"/>
        <v>73.187912440909315</v>
      </c>
      <c r="C38" s="12">
        <f t="shared" ref="C38:C57" si="8">A38^2</f>
        <v>31329</v>
      </c>
      <c r="D38" s="12">
        <f t="shared" ref="D38:D56" si="9">B38^2</f>
        <v>5356.4705274582084</v>
      </c>
      <c r="E38" s="12">
        <f t="shared" ref="E38:E57" si="10">A38*B38</f>
        <v>12954.260502040948</v>
      </c>
    </row>
    <row r="39" spans="1:5">
      <c r="A39" s="25">
        <f t="shared" si="7"/>
        <v>154</v>
      </c>
      <c r="B39" s="38">
        <f t="shared" si="7"/>
        <v>53.223118804124248</v>
      </c>
      <c r="C39" s="12">
        <f t="shared" si="8"/>
        <v>23716</v>
      </c>
      <c r="D39" s="12">
        <f t="shared" si="9"/>
        <v>2832.7003752379242</v>
      </c>
      <c r="E39" s="12">
        <f t="shared" si="10"/>
        <v>8196.3602958351348</v>
      </c>
    </row>
    <row r="40" spans="1:5">
      <c r="A40" s="25">
        <f t="shared" si="7"/>
        <v>152</v>
      </c>
      <c r="B40" s="38">
        <f t="shared" si="7"/>
        <v>43.763103903511222</v>
      </c>
      <c r="C40" s="12">
        <f t="shared" si="8"/>
        <v>23104</v>
      </c>
      <c r="D40" s="12">
        <f t="shared" si="9"/>
        <v>1915.2092632695192</v>
      </c>
      <c r="E40" s="12">
        <f t="shared" si="10"/>
        <v>6651.9917933337056</v>
      </c>
    </row>
    <row r="41" spans="1:5">
      <c r="A41" s="25">
        <f t="shared" si="7"/>
        <v>169</v>
      </c>
      <c r="B41" s="38">
        <f t="shared" si="7"/>
        <v>68.508636005000128</v>
      </c>
      <c r="C41" s="12">
        <f t="shared" si="8"/>
        <v>28561</v>
      </c>
      <c r="D41" s="12">
        <f t="shared" si="9"/>
        <v>4693.4332072655998</v>
      </c>
      <c r="E41" s="12">
        <f t="shared" si="10"/>
        <v>11577.959484845022</v>
      </c>
    </row>
    <row r="42" spans="1:5">
      <c r="A42" s="25">
        <f t="shared" si="7"/>
        <v>200</v>
      </c>
      <c r="B42" s="38">
        <f t="shared" si="7"/>
        <v>94.464449979056482</v>
      </c>
      <c r="C42" s="12">
        <f t="shared" si="8"/>
        <v>40000</v>
      </c>
      <c r="D42" s="12">
        <f t="shared" si="9"/>
        <v>8923.5323098456647</v>
      </c>
      <c r="E42" s="12">
        <f t="shared" si="10"/>
        <v>18892.889995811296</v>
      </c>
    </row>
    <row r="43" spans="1:5">
      <c r="A43" s="25">
        <f t="shared" si="7"/>
        <v>196</v>
      </c>
      <c r="B43" s="38">
        <f t="shared" si="7"/>
        <v>99.424545369522093</v>
      </c>
      <c r="C43" s="12">
        <f t="shared" si="8"/>
        <v>38416</v>
      </c>
      <c r="D43" s="12">
        <f t="shared" si="9"/>
        <v>9885.2402219361575</v>
      </c>
      <c r="E43" s="12">
        <f t="shared" si="10"/>
        <v>19487.21089242633</v>
      </c>
    </row>
    <row r="44" spans="1:5">
      <c r="A44" s="25">
        <f t="shared" si="7"/>
        <v>181</v>
      </c>
      <c r="B44" s="38">
        <f t="shared" si="7"/>
        <v>73.703292268249257</v>
      </c>
      <c r="C44" s="12">
        <f t="shared" si="8"/>
        <v>32761</v>
      </c>
      <c r="D44" s="12">
        <f t="shared" si="9"/>
        <v>5432.1752911789708</v>
      </c>
      <c r="E44" s="12">
        <f t="shared" si="10"/>
        <v>13340.295900553116</v>
      </c>
    </row>
    <row r="45" spans="1:5">
      <c r="A45" s="25">
        <f t="shared" si="7"/>
        <v>152</v>
      </c>
      <c r="B45" s="38">
        <f t="shared" si="7"/>
        <v>49.888221905129662</v>
      </c>
      <c r="C45" s="12">
        <f t="shared" si="8"/>
        <v>23104</v>
      </c>
      <c r="D45" s="12">
        <f t="shared" si="9"/>
        <v>2488.8346848554588</v>
      </c>
      <c r="E45" s="12">
        <f t="shared" si="10"/>
        <v>7583.0097295797086</v>
      </c>
    </row>
    <row r="46" spans="1:5">
      <c r="A46" s="25">
        <f t="shared" si="7"/>
        <v>172</v>
      </c>
      <c r="B46" s="38">
        <f t="shared" si="7"/>
        <v>73.995890168108957</v>
      </c>
      <c r="C46" s="12">
        <f t="shared" si="8"/>
        <v>29584</v>
      </c>
      <c r="D46" s="12">
        <f t="shared" si="9"/>
        <v>5475.3917617708439</v>
      </c>
      <c r="E46" s="12">
        <f t="shared" si="10"/>
        <v>12727.293108914741</v>
      </c>
    </row>
    <row r="47" spans="1:5">
      <c r="A47" s="25">
        <f t="shared" si="7"/>
        <v>152</v>
      </c>
      <c r="B47" s="38">
        <f t="shared" si="7"/>
        <v>58.037306645999138</v>
      </c>
      <c r="C47" s="12">
        <f t="shared" si="8"/>
        <v>23104</v>
      </c>
      <c r="D47" s="12">
        <f t="shared" si="9"/>
        <v>3368.3289627217355</v>
      </c>
      <c r="E47" s="12">
        <f t="shared" si="10"/>
        <v>8821.670610191868</v>
      </c>
    </row>
    <row r="48" spans="1:5">
      <c r="A48" s="25">
        <f t="shared" si="7"/>
        <v>150</v>
      </c>
      <c r="B48" s="38">
        <f t="shared" si="7"/>
        <v>46.007799123494053</v>
      </c>
      <c r="C48" s="12">
        <f t="shared" si="8"/>
        <v>22500</v>
      </c>
      <c r="D48" s="12">
        <f t="shared" si="9"/>
        <v>2116.7175801877802</v>
      </c>
      <c r="E48" s="12">
        <f t="shared" si="10"/>
        <v>6901.1698685241081</v>
      </c>
    </row>
    <row r="49" spans="1:6">
      <c r="A49" s="25">
        <f t="shared" si="7"/>
        <v>178</v>
      </c>
      <c r="B49" s="38">
        <f t="shared" si="7"/>
        <v>77.631893722862657</v>
      </c>
      <c r="C49" s="12">
        <f t="shared" si="8"/>
        <v>31684</v>
      </c>
      <c r="D49" s="12">
        <f t="shared" si="9"/>
        <v>6026.7109229978423</v>
      </c>
      <c r="E49" s="12">
        <f t="shared" si="10"/>
        <v>13818.477082669553</v>
      </c>
    </row>
    <row r="50" spans="1:6">
      <c r="A50" s="25">
        <f t="shared" si="7"/>
        <v>154</v>
      </c>
      <c r="B50" s="38">
        <f t="shared" si="7"/>
        <v>57.209055967964801</v>
      </c>
      <c r="C50" s="12">
        <f t="shared" si="8"/>
        <v>23716</v>
      </c>
      <c r="D50" s="12">
        <f t="shared" si="9"/>
        <v>3272.8760847457288</v>
      </c>
      <c r="E50" s="12">
        <f t="shared" si="10"/>
        <v>8810.1946190665785</v>
      </c>
    </row>
    <row r="51" spans="1:6">
      <c r="A51" s="25">
        <f t="shared" si="7"/>
        <v>190</v>
      </c>
      <c r="B51" s="38">
        <f t="shared" si="7"/>
        <v>90.179853518718915</v>
      </c>
      <c r="C51" s="12">
        <f t="shared" si="8"/>
        <v>36100</v>
      </c>
      <c r="D51" s="12">
        <f t="shared" si="9"/>
        <v>8132.4059806576006</v>
      </c>
      <c r="E51" s="12">
        <f t="shared" si="10"/>
        <v>17134.172168556594</v>
      </c>
    </row>
    <row r="52" spans="1:6">
      <c r="A52" s="25">
        <f t="shared" si="7"/>
        <v>195</v>
      </c>
      <c r="B52" s="38">
        <f t="shared" si="7"/>
        <v>98.141602375765785</v>
      </c>
      <c r="C52" s="12">
        <f t="shared" si="8"/>
        <v>38025</v>
      </c>
      <c r="D52" s="12">
        <f t="shared" si="9"/>
        <v>9631.7741168829161</v>
      </c>
      <c r="E52" s="12">
        <f t="shared" si="10"/>
        <v>19137.612463274327</v>
      </c>
    </row>
    <row r="53" spans="1:6">
      <c r="A53" s="25">
        <f t="shared" si="7"/>
        <v>182</v>
      </c>
      <c r="B53" s="38">
        <f t="shared" si="7"/>
        <v>79.708734856183924</v>
      </c>
      <c r="C53" s="12">
        <f t="shared" si="8"/>
        <v>33124</v>
      </c>
      <c r="D53" s="12">
        <f t="shared" si="9"/>
        <v>6353.4824123734297</v>
      </c>
      <c r="E53" s="12">
        <f t="shared" si="10"/>
        <v>14506.989743825474</v>
      </c>
    </row>
    <row r="54" spans="1:6">
      <c r="A54" s="25">
        <f t="shared" si="7"/>
        <v>184</v>
      </c>
      <c r="B54" s="38">
        <f t="shared" si="7"/>
        <v>88.405863665316872</v>
      </c>
      <c r="C54" s="12">
        <f t="shared" si="8"/>
        <v>33856</v>
      </c>
      <c r="D54" s="12">
        <f t="shared" si="9"/>
        <v>7815.5967304105943</v>
      </c>
      <c r="E54" s="12">
        <f t="shared" si="10"/>
        <v>16266.678914418304</v>
      </c>
    </row>
    <row r="55" spans="1:6">
      <c r="A55" s="25">
        <f t="shared" si="7"/>
        <v>156</v>
      </c>
      <c r="B55" s="38">
        <f t="shared" si="7"/>
        <v>41.795669608995773</v>
      </c>
      <c r="C55" s="12">
        <f t="shared" si="8"/>
        <v>24336</v>
      </c>
      <c r="D55" s="12">
        <f t="shared" si="9"/>
        <v>1746.8779980643328</v>
      </c>
      <c r="E55" s="12">
        <f t="shared" si="10"/>
        <v>6520.1244590033402</v>
      </c>
    </row>
    <row r="56" spans="1:6">
      <c r="A56" s="25">
        <f>A23</f>
        <v>154</v>
      </c>
      <c r="B56" s="38">
        <f t="shared" ref="B56" si="11">B23</f>
        <v>65.818202772477463</v>
      </c>
      <c r="C56" s="12">
        <f t="shared" si="8"/>
        <v>23716</v>
      </c>
      <c r="D56" s="12">
        <f t="shared" si="9"/>
        <v>4332.0358161989598</v>
      </c>
      <c r="E56" s="12">
        <f t="shared" si="10"/>
        <v>10136.003226961529</v>
      </c>
    </row>
    <row r="57" spans="1:6">
      <c r="A57" s="12">
        <f>SUM(A37:A56)</f>
        <v>3398</v>
      </c>
      <c r="B57" s="12">
        <f>SUM(B37:B56)</f>
        <v>1383.5349183195144</v>
      </c>
      <c r="C57" s="12">
        <f>SUM(C37:C56)</f>
        <v>583236</v>
      </c>
      <c r="D57" s="12">
        <f>SUM(D37:D56)</f>
        <v>102343.96416331873</v>
      </c>
      <c r="E57" s="12">
        <f>SUM(E37:E56)</f>
        <v>241030.32964255026</v>
      </c>
      <c r="F57" s="12" t="s">
        <v>118</v>
      </c>
    </row>
    <row r="58" spans="1:6">
      <c r="A58" s="12">
        <f>AVERAGE(A37:A56)</f>
        <v>169.9</v>
      </c>
      <c r="B58" s="12">
        <f>AVERAGE(B37:B56)</f>
        <v>69.176745915975715</v>
      </c>
      <c r="F58" s="12" t="s">
        <v>25</v>
      </c>
    </row>
  </sheetData>
  <mergeCells count="6">
    <mergeCell ref="M2:M3"/>
    <mergeCell ref="A1:B1"/>
    <mergeCell ref="G2:G3"/>
    <mergeCell ref="H2:H3"/>
    <mergeCell ref="K2:L2"/>
    <mergeCell ref="I2: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Příklad 1</vt:lpstr>
      <vt:lpstr>Príklad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Harmim</dc:creator>
  <cp:lastModifiedBy>Dominik Harmim</cp:lastModifiedBy>
  <dcterms:created xsi:type="dcterms:W3CDTF">2019-11-27T11:37:16Z</dcterms:created>
  <dcterms:modified xsi:type="dcterms:W3CDTF">2019-11-29T05:34:09Z</dcterms:modified>
</cp:coreProperties>
</file>